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3.xml" ContentType="application/vnd.ms-excel.controlproperties+xml"/>
  <Override PartName="/xl/comments2.xml" ContentType="application/vnd.openxmlformats-officedocument.spreadsheetml.comments+xml"/>
  <Override PartName="/xl/charts/chart6.xml" ContentType="application/vnd.openxmlformats-officedocument.drawingml.chart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7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drawings/drawing8.xml" ContentType="application/vnd.openxmlformats-officedocument.drawingml.chartshapes+xml"/>
  <Override PartName="/xl/charts/chart10.xml" ContentType="application/vnd.openxmlformats-officedocument.drawingml.chart+xml"/>
  <Override PartName="/xl/drawings/drawing9.xml" ContentType="application/vnd.openxmlformats-officedocument.drawing+xml"/>
  <Override PartName="/xl/ctrlProps/ctrlProp6.xml" ContentType="application/vnd.ms-excel.controlproperties+xml"/>
  <Override PartName="/xl/comments5.xml" ContentType="application/vnd.openxmlformats-officedocument.spreadsheetml.comments+xml"/>
  <Override PartName="/xl/charts/chart11.xml" ContentType="application/vnd.openxmlformats-officedocument.drawingml.chart+xml"/>
  <Override PartName="/xl/drawings/drawing10.xml" ContentType="application/vnd.openxmlformats-officedocument.drawingml.chartshapes+xml"/>
  <Override PartName="/xl/charts/chart12.xml" ContentType="application/vnd.openxmlformats-officedocument.drawingml.chart+xml"/>
  <Override PartName="/xl/drawings/drawing11.xml" ContentType="application/vnd.openxmlformats-officedocument.drawingml.chartshapes+xml"/>
  <Override PartName="/xl/drawings/drawing12.xml" ContentType="application/vnd.openxmlformats-officedocument.drawing+xml"/>
  <Override PartName="/xl/comments6.xml" ContentType="application/vnd.openxmlformats-officedocument.spreadsheetml.comments+xml"/>
  <Override PartName="/xl/charts/chart13.xml" ContentType="application/vnd.openxmlformats-officedocument.drawingml.chart+xml"/>
  <Override PartName="/xl/drawings/drawing13.xml" ContentType="application/vnd.openxmlformats-officedocument.drawing+xml"/>
  <Override PartName="/xl/charts/chart1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1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14.xml" ContentType="application/vnd.openxmlformats-officedocument.drawing+xml"/>
  <Override PartName="/xl/comments7.xml" ContentType="application/vnd.openxmlformats-officedocument.spreadsheetml.comments+xml"/>
  <Override PartName="/xl/drawings/drawing15.xml" ContentType="application/vnd.openxmlformats-officedocument.drawing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drawings/drawing16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embeddings/oleObject3.bin" ContentType="application/vnd.openxmlformats-officedocument.oleObject"/>
  <Override PartName="/xl/embeddings/oleObject4.bin" ContentType="application/vnd.openxmlformats-officedocument.oleObject"/>
  <Override PartName="/xl/embeddings/oleObject5.bin" ContentType="application/vnd.openxmlformats-officedocument.oleObject"/>
  <Override PartName="/xl/embeddings/oleObject6.bin" ContentType="application/vnd.openxmlformats-officedocument.oleObject"/>
  <Override PartName="/xl/charts/chart20.xml" ContentType="application/vnd.openxmlformats-officedocument.drawingml.chart+xml"/>
  <Override PartName="/xl/drawings/drawing17.xml" ContentType="application/vnd.openxmlformats-officedocument.drawing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drawings/drawing18.xml" ContentType="application/vnd.openxmlformats-officedocument.drawing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drawings/drawing19.xml" ContentType="application/vnd.openxmlformats-officedocument.drawing+xml"/>
  <Override PartName="/xl/comments10.xml" ContentType="application/vnd.openxmlformats-officedocument.spreadsheetml.comments+xml"/>
  <Override PartName="/xl/charts/chart2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/>
  <mc:AlternateContent xmlns:mc="http://schemas.openxmlformats.org/markup-compatibility/2006">
    <mc:Choice Requires="x15">
      <x15ac:absPath xmlns:x15ac="http://schemas.microsoft.com/office/spreadsheetml/2010/11/ac" url="D:\00 Leonardo\00 REPOSITORIOS\The-thermal-repository\PFlammam - Lucia V1 rev3\"/>
    </mc:Choice>
  </mc:AlternateContent>
  <xr:revisionPtr revIDLastSave="0" documentId="13_ncr:1_{4D78C9E3-A3CA-49CD-B026-DFF80FA3935C}" xr6:coauthVersionLast="47" xr6:coauthVersionMax="47" xr10:uidLastSave="{00000000-0000-0000-0000-000000000000}"/>
  <bookViews>
    <workbookView xWindow="-108" yWindow="-108" windowWidth="23256" windowHeight="12456" tabRatio="832" firstSheet="2" activeTab="2" xr2:uid="{00000000-000D-0000-FFFF-FFFF00000000}"/>
  </bookViews>
  <sheets>
    <sheet name="Intro" sheetId="1" r:id="rId1"/>
    <sheet name="Rocket Performance" sheetId="12" r:id="rId2"/>
    <sheet name="First iteration &amp; Mechanical" sheetId="15" r:id="rId3"/>
    <sheet name="Data and Kn" sheetId="2" r:id="rId4"/>
    <sheet name="Heat Transfer" sheetId="16" r:id="rId5"/>
    <sheet name="Pressure" sheetId="3" r:id="rId6"/>
    <sheet name="Performance" sheetId="4" r:id="rId7"/>
    <sheet name="Nozzle Design" sheetId="11" r:id="rId8"/>
    <sheet name="Nozzle Parameters" sheetId="18" r:id="rId9"/>
    <sheet name="Mechanical Joints" sheetId="19" r:id="rId10"/>
    <sheet name="O-ring Sealant" sheetId="20" r:id="rId11"/>
    <sheet name="Thermomechanical materials" sheetId="17" r:id="rId12"/>
    <sheet name="Thermomechanical analysis" sheetId="14" r:id="rId13"/>
    <sheet name="Output" sheetId="5" r:id="rId14"/>
    <sheet name="Motor Examples" sheetId="13" r:id="rId15"/>
    <sheet name="Class" sheetId="9" r:id="rId16"/>
    <sheet name="Propellant data" sheetId="6" r:id="rId17"/>
    <sheet name="Burnrate" sheetId="7" r:id="rId18"/>
    <sheet name="UnitsConv" sheetId="8" r:id="rId19"/>
    <sheet name="Revisions" sheetId="10" r:id="rId20"/>
  </sheets>
  <externalReferences>
    <externalReference r:id="rId21"/>
    <externalReference r:id="rId22"/>
  </externalReferences>
  <definedNames>
    <definedName name="_FoN1">'Heat Transfer'!$C$31</definedName>
    <definedName name="_FoN2">'Heat Transfer'!$C$32</definedName>
    <definedName name="_xleta.SEC" hidden="1" xlm="1">#NAME?</definedName>
    <definedName name="abmax">'Data and Kn'!$K$96</definedName>
    <definedName name="abo">'Data and Kn'!$C$33</definedName>
    <definedName name="ae_1">Burnrate!$E$52</definedName>
    <definedName name="aexit">Performance!$C$8</definedName>
    <definedName name="alpha">'Nozzle Design'!$Y$9</definedName>
    <definedName name="am_0">Burnrate!$J$28</definedName>
    <definedName name="am_1">Burnrate!$J$52</definedName>
    <definedName name="am_3">Burnrate!$J$58</definedName>
    <definedName name="am_4">Burnrate!$J$64</definedName>
    <definedName name="an_0">Burnrate!$K$28</definedName>
    <definedName name="an_4">Burnrate!$K$64</definedName>
    <definedName name="_xlnm.Print_Area" localSheetId="3">'Data and Kn'!$A$4:$M$40</definedName>
    <definedName name="_xlnm.Print_Area" localSheetId="13">Output!$A$2:$J$49</definedName>
    <definedName name="_xlnm.Print_Area" localSheetId="6">Performance!$B$1:$M$23</definedName>
    <definedName name="_xlnm.Print_Area" localSheetId="5">Pressure!$B$1:$M$20</definedName>
    <definedName name="astarf">Pressure!$I$862</definedName>
    <definedName name="at">'Data and Kn'!$C$36</definedName>
    <definedName name="atfinal">Performance!$E$862</definedName>
    <definedName name="b">'Thermomechanical analysis'!$C$20</definedName>
    <definedName name="beta">'Nozzle Design'!$Y$10</definedName>
    <definedName name="betaMechanical">'Thermomechanical analysis'!$C$19</definedName>
    <definedName name="BiAtmCase">'Heat Transfer'!$C$17</definedName>
    <definedName name="BiCombAb">'Heat Transfer'!$C$27</definedName>
    <definedName name="BiCombCase">'Heat Transfer'!$C$15</definedName>
    <definedName name="ca">'Thermomechanical analysis'!$M$24</definedName>
    <definedName name="cb">'Thermomechanical analysis'!$M$25</definedName>
    <definedName name="cc">'Thermomechanical analysis'!$M$26</definedName>
    <definedName name="cd">'Thermomechanical analysis'!$M$32</definedName>
    <definedName name="ce">'Thermomechanical analysis'!$M$33</definedName>
    <definedName name="chpressures">'Data and Kn'!$AA$17:$AA$36</definedName>
    <definedName name="ci">'Data and Kn'!$Y$20</definedName>
    <definedName name="cstar">Pressure!$C$17</definedName>
    <definedName name="dc">'Data and Kn'!$C$10</definedName>
    <definedName name="dcplot">'Nozzle Design'!$C$9</definedName>
    <definedName name="deltad">'Thermomechanical analysis'!$C$30</definedName>
    <definedName name="deltap">Pressure!$AA$909</definedName>
    <definedName name="deltat">Pressure!$D$864</definedName>
    <definedName name="deltax">'Data and Kn'!$C$96</definedName>
    <definedName name="dio">'Data and Kn'!$C$17</definedName>
    <definedName name="do">'Data and Kn'!$C$16</definedName>
    <definedName name="dto">'Data and Kn'!$C$37</definedName>
    <definedName name="e">'Thermomechanical analysis'!$C$16</definedName>
    <definedName name="ei">'Data and Kn'!$Y$21</definedName>
    <definedName name="erate">'Data and Kn'!$C$39</definedName>
    <definedName name="etac">Pressure!$C$13</definedName>
    <definedName name="etanoz">Performance!$C$4</definedName>
    <definedName name="exprat">Performance!$C$5</definedName>
    <definedName name="expratfinal">Performance!$F$862</definedName>
    <definedName name="fmax">Performance!$C$16</definedName>
    <definedName name="FoAb">'Heat Transfer'!$C$26</definedName>
    <definedName name="FoCase" comment="Fourier number for case">'Heat Transfer'!$C$14</definedName>
    <definedName name="ftu">'Thermomechanical analysis'!$C$15</definedName>
    <definedName name="fty">'Thermomechanical analysis'!$C$14</definedName>
    <definedName name="fueltype">'Data and Kn'!$X$31</definedName>
    <definedName name="gstar">Pressure!$C$18</definedName>
    <definedName name="itot">Performance!$C$17</definedName>
    <definedName name="itsum">Performance!$L$911</definedName>
    <definedName name="k">Pressure!$C$12</definedName>
    <definedName name="k2ph">Performance!$C$3</definedName>
    <definedName name="kn">'Data and Kn'!$C$35</definedName>
    <definedName name="kndxbn_">Burnrate!$G$8:$K$12</definedName>
    <definedName name="knotherbn_">Burnrate!$G$52:$K$56</definedName>
    <definedName name="knrange">'Data and Kn'!$M$45:$M$95</definedName>
    <definedName name="knsbcobn_">Burnrate!$G$28:$K$28</definedName>
    <definedName name="knselecttab">'Data and Kn'!$AN$32:$AO$39</definedName>
    <definedName name="knsobn_">Burnrate!$G$19:$K$23</definedName>
    <definedName name="knsubn_">Burnrate!$G$33:$K$33</definedName>
    <definedName name="ks_dx">'Propellant data'!$F$10</definedName>
    <definedName name="ks_er">'Propellant data'!$I$10</definedName>
    <definedName name="ks_fr">'Propellant data'!$K$10</definedName>
    <definedName name="ks_mn">'Propellant data'!$J$10</definedName>
    <definedName name="ks_ot">'Propellant data'!$L$10</definedName>
    <definedName name="ks_so">'Propellant data'!$G$10</definedName>
    <definedName name="ks_su">'Propellant data'!$H$10</definedName>
    <definedName name="kv">Pressure!$C$19</definedName>
    <definedName name="lc">'Data and Kn'!$C$11</definedName>
    <definedName name="lgo">'Data and Kn'!$C$23</definedName>
    <definedName name="lo">'Data and Kn'!$C$18</definedName>
    <definedName name="m">Pressure!$C$10</definedName>
    <definedName name="m_dx">'Propellant data'!$F$11</definedName>
    <definedName name="m_er">'Propellant data'!$I$11</definedName>
    <definedName name="m_fr">'Propellant data'!$K$11</definedName>
    <definedName name="m_mn">'Propellant data'!$J$11</definedName>
    <definedName name="m_ot">'Propellant data'!$L$11</definedName>
    <definedName name="m_so">'Propellant data'!$G$11</definedName>
    <definedName name="m_su">'Propellant data'!$H$11</definedName>
    <definedName name="me">Performance!$C$9</definedName>
    <definedName name="mef">Performance!$C$10</definedName>
    <definedName name="mgrain">'Data and Kn'!$C$29</definedName>
    <definedName name="motorclass">Class!$B$6:$D$27</definedName>
    <definedName name="n">'Data and Kn'!$C$19</definedName>
    <definedName name="ne_1">Burnrate!$F$52</definedName>
    <definedName name="nm_1">Burnrate!$K$52</definedName>
    <definedName name="nm_3">Burnrate!$K$58</definedName>
    <definedName name="nm_4">Burnrate!$K$64</definedName>
    <definedName name="note1">'Data and Kn'!$C$98</definedName>
    <definedName name="nu">'Thermomechanical analysis'!$C$17</definedName>
    <definedName name="osi">'Data and Kn'!$Y$19</definedName>
    <definedName name="otherbn_">Burnrate!$B$59:$F$63</definedName>
    <definedName name="patm">Pressure!$C$16</definedName>
    <definedName name="pbd">Pressure!$X$22</definedName>
    <definedName name="pbout">Pressure!$AB$862</definedName>
    <definedName name="pfinal">Pressure!$AB$909</definedName>
    <definedName name="pmax">Pressure!$AB$22</definedName>
    <definedName name="pmaxperc">Pressure!$AA$907</definedName>
    <definedName name="pmselect">'Data and Kn'!$AE$32</definedName>
    <definedName name="pressures">'Data and Kn'!$AA$17:$AA$57</definedName>
    <definedName name="propellants">'Data and Kn'!$X$17:$X$24</definedName>
    <definedName name="pselect">'Data and Kn'!$C$34</definedName>
    <definedName name="py">'Thermomechanical analysis'!$C$24</definedName>
    <definedName name="rat">Pressure!$C$11</definedName>
    <definedName name="ravg">Pressure!$P$863</definedName>
    <definedName name="rhopdex">'Propellant data'!$F$9</definedName>
    <definedName name="rhoper">'Propellant data'!$I$9</definedName>
    <definedName name="rhopfr">'Propellant data'!$K$9</definedName>
    <definedName name="rhopgrain">'Data and Kn'!$C$28</definedName>
    <definedName name="rhopgraini">'Data and Kn'!$C$26</definedName>
    <definedName name="rhopmn">'Propellant data'!$J$9</definedName>
    <definedName name="rhopot">'Propellant data'!$L$9</definedName>
    <definedName name="rhopsorb">'Propellant data'!$G$9</definedName>
    <definedName name="rhopsu">'Propellant data'!$H$9</definedName>
    <definedName name="rhorat">'Data and Kn'!$C$27</definedName>
    <definedName name="runiv">Pressure!$C$9</definedName>
    <definedName name="s">'Thermomechanical analysis'!$C$10</definedName>
    <definedName name="s_su">'Propellant data'!#REF!</definedName>
    <definedName name="Sf_plateTensileFailure">'Mechanical Joints'!$C$57</definedName>
    <definedName name="Sf_shearFailureBolts">'Mechanical Joints'!$C$61</definedName>
    <definedName name="surfacecondition">'Data and Kn'!$Y$17:$Y$18</definedName>
    <definedName name="t">'Thermomechanical analysis'!$C$9</definedName>
    <definedName name="Tatm" comment="atmosphere temperature">'Heat Transfer'!$C$6</definedName>
    <definedName name="tbinc">Pressure!$J$23</definedName>
    <definedName name="tbout">Pressure!$Q$862</definedName>
    <definedName name="Tcomb" comment="combustion temperature">'Heat Transfer'!$C$5</definedName>
    <definedName name="tincp">Pressure!$Q$12</definedName>
    <definedName name="to">Pressure!$C$15</definedName>
    <definedName name="to_dx">'Propellant data'!$F$12</definedName>
    <definedName name="to_er">'Propellant data'!$I$12</definedName>
    <definedName name="to_fr">'Propellant data'!$K$12</definedName>
    <definedName name="to_mn">'Propellant data'!$J$12</definedName>
    <definedName name="to_ot">'Propellant data'!$L$12</definedName>
    <definedName name="to_so">'Propellant data'!$G$12</definedName>
    <definedName name="to_su">'Propellant data'!$H$12</definedName>
    <definedName name="tothe">Pressure!$C$14</definedName>
    <definedName name="tthr">Pressure!$Q$909</definedName>
    <definedName name="tweb">[1]Calcs!$F$25</definedName>
    <definedName name="twebfinal">'Data and Kn'!$G$95</definedName>
    <definedName name="twebout">Pressure!$D$862</definedName>
    <definedName name="two">'Data and Kn'!$G$45</definedName>
    <definedName name="vc">'Data and Kn'!$C$12</definedName>
    <definedName name="vg">'Data and Kn'!$C$24</definedName>
    <definedName name="xfinal">'Data and Kn'!$C$95</definedName>
    <definedName name="xinc">'Data and Kn'!$C$42</definedName>
    <definedName name="xincp">Pressure!$C$24</definedName>
    <definedName name="Z_136183A0_5E83_4B15_A2A6_F3C23DCC406A_.wvu.Cols" localSheetId="15" hidden="1">Class!$A:$A</definedName>
    <definedName name="Z_136183A0_5E83_4B15_A2A6_F3C23DCC406A_.wvu.PrintArea" localSheetId="3" hidden="1">'Data and Kn'!$A$4:$M$40</definedName>
    <definedName name="Z_136183A0_5E83_4B15_A2A6_F3C23DCC406A_.wvu.PrintArea" localSheetId="13" hidden="1">Output!$A$2:$J$49</definedName>
    <definedName name="Z_136183A0_5E83_4B15_A2A6_F3C23DCC406A_.wvu.PrintArea" localSheetId="6" hidden="1">Performance!$B$1:$M$23</definedName>
    <definedName name="Z_136183A0_5E83_4B15_A2A6_F3C23DCC406A_.wvu.PrintArea" localSheetId="5" hidden="1">Pressure!$B$1:$M$20</definedName>
  </definedNames>
  <calcPr calcId="191029"/>
  <customWorkbookViews>
    <customWorkbookView name="vq591d - Personal View" guid="{136183A0-5E83-4B15-A2A6-F3C23DCC406A}" mergeInterval="0" changesSavedWin="1" personalView="1" maximized="1" xWindow="1" yWindow="1" windowWidth="1773" windowHeight="729" activeSheetId="5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5" i="19" l="1"/>
  <c r="C28" i="19"/>
  <c r="C27" i="19" s="1"/>
  <c r="D24" i="19"/>
  <c r="C97" i="15" l="1"/>
  <c r="C98" i="15"/>
  <c r="C101" i="15"/>
  <c r="M117" i="15"/>
  <c r="M118" i="15" s="1"/>
  <c r="C100" i="15"/>
  <c r="C99" i="15"/>
  <c r="C95" i="15"/>
  <c r="C96" i="15"/>
  <c r="C94" i="15"/>
  <c r="M72" i="15"/>
  <c r="D16" i="19"/>
  <c r="C53" i="19"/>
  <c r="C60" i="19"/>
  <c r="C23" i="19"/>
  <c r="C54" i="19"/>
  <c r="C66" i="19" s="1"/>
  <c r="C55" i="19"/>
  <c r="D18" i="19"/>
  <c r="C22" i="19"/>
  <c r="C21" i="19"/>
  <c r="C20" i="19"/>
  <c r="C19" i="19"/>
  <c r="M114" i="15"/>
  <c r="M123" i="15" s="1"/>
  <c r="M124" i="15" s="1"/>
  <c r="P108" i="15"/>
  <c r="P107" i="15"/>
  <c r="P114" i="15" s="1"/>
  <c r="M102" i="15"/>
  <c r="M135" i="15" s="1"/>
  <c r="M137" i="15" s="1"/>
  <c r="O153" i="15"/>
  <c r="P153" i="15" s="1"/>
  <c r="O154" i="15"/>
  <c r="P154" i="15" s="1"/>
  <c r="P159" i="15"/>
  <c r="Q159" i="15" s="1"/>
  <c r="J26" i="18"/>
  <c r="K26" i="18" s="1"/>
  <c r="L26" i="18" s="1"/>
  <c r="J28" i="18"/>
  <c r="K28" i="18"/>
  <c r="L28" i="18" s="1"/>
  <c r="J30" i="18"/>
  <c r="K30" i="18" s="1"/>
  <c r="L30" i="18" s="1"/>
  <c r="J31" i="18"/>
  <c r="K31" i="18" s="1"/>
  <c r="L31" i="18" s="1"/>
  <c r="J33" i="18"/>
  <c r="K33" i="18" s="1"/>
  <c r="L33" i="18" s="1"/>
  <c r="J35" i="18"/>
  <c r="K35" i="18" s="1"/>
  <c r="L35" i="18" s="1"/>
  <c r="J37" i="18"/>
  <c r="K37" i="18"/>
  <c r="L37" i="18" s="1"/>
  <c r="D70" i="15"/>
  <c r="E70" i="15" s="1"/>
  <c r="C50" i="15"/>
  <c r="C51" i="15" s="1"/>
  <c r="C49" i="15" s="1"/>
  <c r="C22" i="16"/>
  <c r="C24" i="16"/>
  <c r="P17" i="18"/>
  <c r="P18" i="18"/>
  <c r="J27" i="18" s="1"/>
  <c r="K27" i="18" s="1"/>
  <c r="L27" i="18" s="1"/>
  <c r="I37" i="18"/>
  <c r="I35" i="18"/>
  <c r="I33" i="18"/>
  <c r="I31" i="18"/>
  <c r="C13" i="18"/>
  <c r="B20" i="18"/>
  <c r="B21" i="18" s="1"/>
  <c r="B22" i="18" s="1"/>
  <c r="B23" i="18" s="1"/>
  <c r="B24" i="18" s="1"/>
  <c r="B25" i="18" s="1"/>
  <c r="B26" i="18" s="1"/>
  <c r="B27" i="18" s="1"/>
  <c r="B28" i="18" s="1"/>
  <c r="B29" i="18" s="1"/>
  <c r="B30" i="18" s="1"/>
  <c r="B31" i="18" s="1"/>
  <c r="B32" i="18" s="1"/>
  <c r="B33" i="18" s="1"/>
  <c r="B34" i="18" s="1"/>
  <c r="B35" i="18" s="1"/>
  <c r="B36" i="18" s="1"/>
  <c r="B37" i="18" s="1"/>
  <c r="B38" i="18" s="1"/>
  <c r="B39" i="18" s="1"/>
  <c r="B40" i="18" s="1"/>
  <c r="B41" i="18" s="1"/>
  <c r="B42" i="18" s="1"/>
  <c r="B43" i="18" s="1"/>
  <c r="B44" i="18" s="1"/>
  <c r="B45" i="18" s="1"/>
  <c r="C3" i="18"/>
  <c r="E19" i="18" s="1"/>
  <c r="C13" i="16"/>
  <c r="M75" i="15"/>
  <c r="J39" i="18" l="1"/>
  <c r="K39" i="18" s="1"/>
  <c r="L39" i="18" s="1"/>
  <c r="J34" i="18"/>
  <c r="K34" i="18" s="1"/>
  <c r="L34" i="18" s="1"/>
  <c r="J38" i="18"/>
  <c r="K38" i="18" s="1"/>
  <c r="L38" i="18" s="1"/>
  <c r="J29" i="18"/>
  <c r="K29" i="18" s="1"/>
  <c r="L29" i="18" s="1"/>
  <c r="M29" i="18" s="1"/>
  <c r="J32" i="18"/>
  <c r="K32" i="18" s="1"/>
  <c r="L32" i="18" s="1"/>
  <c r="M31" i="18" s="1"/>
  <c r="J25" i="18"/>
  <c r="K25" i="18" s="1"/>
  <c r="L25" i="18" s="1"/>
  <c r="J36" i="18"/>
  <c r="K36" i="18" s="1"/>
  <c r="L36" i="18" s="1"/>
  <c r="P117" i="15"/>
  <c r="P118" i="15" s="1"/>
  <c r="C56" i="19"/>
  <c r="C52" i="19" s="1"/>
  <c r="C51" i="19" s="1"/>
  <c r="P115" i="15"/>
  <c r="M115" i="15"/>
  <c r="P101" i="15"/>
  <c r="P102" i="15" s="1"/>
  <c r="C48" i="15"/>
  <c r="M25" i="18"/>
  <c r="M37" i="18"/>
  <c r="M30" i="18"/>
  <c r="M35" i="18"/>
  <c r="M34" i="18"/>
  <c r="M33" i="18"/>
  <c r="B46" i="18"/>
  <c r="M24" i="15"/>
  <c r="M28" i="15" s="1"/>
  <c r="M29" i="15" s="1"/>
  <c r="M60" i="15"/>
  <c r="M81" i="15"/>
  <c r="M82" i="15" s="1"/>
  <c r="P66" i="15"/>
  <c r="P65" i="15"/>
  <c r="P72" i="15" s="1"/>
  <c r="R26" i="15"/>
  <c r="T26" i="15" s="1"/>
  <c r="G55" i="17"/>
  <c r="M76" i="15"/>
  <c r="M73" i="15" s="1"/>
  <c r="C19" i="14"/>
  <c r="C24" i="14"/>
  <c r="C30" i="14" s="1"/>
  <c r="C31" i="14" s="1"/>
  <c r="Q195" i="15"/>
  <c r="Q196" i="15"/>
  <c r="Q194" i="15"/>
  <c r="P195" i="15"/>
  <c r="P196" i="15"/>
  <c r="P194" i="15"/>
  <c r="C4" i="13"/>
  <c r="C5" i="13"/>
  <c r="C6" i="13"/>
  <c r="C7" i="13"/>
  <c r="C3" i="13"/>
  <c r="C2" i="15"/>
  <c r="M26" i="15"/>
  <c r="M30" i="15" s="1"/>
  <c r="M36" i="15" s="1"/>
  <c r="M37" i="15" s="1"/>
  <c r="N38" i="15" s="1"/>
  <c r="P160" i="15"/>
  <c r="Q160" i="15" s="1"/>
  <c r="P161" i="15"/>
  <c r="Q161" i="15" s="1"/>
  <c r="O155" i="15"/>
  <c r="P155" i="15" s="1"/>
  <c r="O156" i="15"/>
  <c r="P156" i="15" s="1"/>
  <c r="D145" i="17"/>
  <c r="K145" i="17"/>
  <c r="D146" i="17"/>
  <c r="K146" i="17"/>
  <c r="D147" i="17"/>
  <c r="K147" i="17"/>
  <c r="D148" i="17"/>
  <c r="F148" i="17"/>
  <c r="K148" i="17"/>
  <c r="D149" i="17"/>
  <c r="F149" i="17"/>
  <c r="K149" i="17"/>
  <c r="D150" i="17"/>
  <c r="F150" i="17"/>
  <c r="K150" i="17"/>
  <c r="M150" i="17"/>
  <c r="D151" i="17"/>
  <c r="F151" i="17"/>
  <c r="K151" i="17"/>
  <c r="M151" i="17"/>
  <c r="D152" i="17"/>
  <c r="F152" i="17"/>
  <c r="K152" i="17"/>
  <c r="M152" i="17"/>
  <c r="K153" i="17"/>
  <c r="M153" i="17"/>
  <c r="I26" i="14"/>
  <c r="I32" i="14" s="1"/>
  <c r="I33" i="14" s="1"/>
  <c r="I34" i="14" s="1"/>
  <c r="I35" i="14" s="1"/>
  <c r="C8" i="14"/>
  <c r="N72" i="16"/>
  <c r="C28" i="16"/>
  <c r="C29" i="16" s="1"/>
  <c r="C25" i="16"/>
  <c r="C40" i="16"/>
  <c r="F72" i="16" s="1"/>
  <c r="C39" i="16"/>
  <c r="Q72" i="16" s="1"/>
  <c r="C35" i="16"/>
  <c r="G74" i="16"/>
  <c r="G74" i="17"/>
  <c r="E74" i="17"/>
  <c r="C74" i="17"/>
  <c r="G73" i="17"/>
  <c r="E73" i="17"/>
  <c r="C73" i="17"/>
  <c r="E72" i="17"/>
  <c r="G71" i="17"/>
  <c r="E71" i="17"/>
  <c r="C71" i="17"/>
  <c r="G70" i="17"/>
  <c r="E70" i="17"/>
  <c r="C70" i="17"/>
  <c r="G69" i="17"/>
  <c r="E69" i="17"/>
  <c r="C69" i="17"/>
  <c r="G68" i="17"/>
  <c r="E68" i="17"/>
  <c r="C68" i="17"/>
  <c r="G67" i="17"/>
  <c r="E67" i="17"/>
  <c r="C67" i="17"/>
  <c r="G66" i="17"/>
  <c r="E66" i="17"/>
  <c r="C66" i="17"/>
  <c r="G65" i="17"/>
  <c r="E65" i="17"/>
  <c r="C65" i="17"/>
  <c r="G64" i="17"/>
  <c r="E64" i="17"/>
  <c r="C64" i="17"/>
  <c r="G63" i="17"/>
  <c r="E63" i="17"/>
  <c r="C63" i="17"/>
  <c r="G62" i="17"/>
  <c r="E62" i="17"/>
  <c r="C62" i="17"/>
  <c r="G61" i="17"/>
  <c r="E61" i="17"/>
  <c r="C61" i="17"/>
  <c r="G60" i="17"/>
  <c r="E60" i="17"/>
  <c r="C60" i="17"/>
  <c r="G59" i="17"/>
  <c r="E59" i="17"/>
  <c r="C59" i="17"/>
  <c r="G58" i="17"/>
  <c r="E58" i="17"/>
  <c r="C58" i="17"/>
  <c r="G57" i="17"/>
  <c r="E57" i="17"/>
  <c r="C57" i="17"/>
  <c r="G56" i="17"/>
  <c r="E56" i="17"/>
  <c r="C56" i="17"/>
  <c r="E55" i="17"/>
  <c r="C55" i="17"/>
  <c r="G54" i="17"/>
  <c r="E54" i="17"/>
  <c r="C54" i="17"/>
  <c r="G53" i="17"/>
  <c r="E53" i="17"/>
  <c r="C53" i="17"/>
  <c r="G52" i="17"/>
  <c r="E52" i="17"/>
  <c r="C52" i="17"/>
  <c r="G51" i="17"/>
  <c r="E51" i="17"/>
  <c r="C51" i="17"/>
  <c r="B72" i="16"/>
  <c r="D7" i="16"/>
  <c r="D21" i="16"/>
  <c r="D35" i="16" s="1"/>
  <c r="C6" i="16"/>
  <c r="L74" i="16" s="1"/>
  <c r="B51" i="15"/>
  <c r="D51" i="15"/>
  <c r="B48" i="15"/>
  <c r="B49" i="15"/>
  <c r="B50" i="15"/>
  <c r="D47" i="15"/>
  <c r="B47" i="15"/>
  <c r="B35" i="17"/>
  <c r="D35" i="17" s="1"/>
  <c r="D39" i="17"/>
  <c r="D38" i="17"/>
  <c r="D37" i="17"/>
  <c r="D34" i="17"/>
  <c r="D33" i="17"/>
  <c r="X20" i="17"/>
  <c r="W20" i="17"/>
  <c r="V20" i="17"/>
  <c r="S20" i="17"/>
  <c r="Q20" i="17"/>
  <c r="P20" i="17"/>
  <c r="O20" i="17"/>
  <c r="N20" i="17"/>
  <c r="M20" i="17"/>
  <c r="L20" i="17"/>
  <c r="K20" i="17"/>
  <c r="J20" i="17"/>
  <c r="I20" i="17"/>
  <c r="H20" i="17"/>
  <c r="E19" i="17"/>
  <c r="E18" i="17"/>
  <c r="E17" i="17"/>
  <c r="E16" i="17"/>
  <c r="E15" i="17"/>
  <c r="E11" i="17"/>
  <c r="E10" i="17"/>
  <c r="E9" i="17"/>
  <c r="G8" i="17"/>
  <c r="G20" i="17" s="1"/>
  <c r="F8" i="17"/>
  <c r="F20" i="17" s="1"/>
  <c r="Q6" i="17"/>
  <c r="N6" i="17"/>
  <c r="K6" i="17"/>
  <c r="J6" i="17"/>
  <c r="I6" i="17"/>
  <c r="G6" i="17"/>
  <c r="F6" i="17"/>
  <c r="F1" i="15"/>
  <c r="B46" i="15" s="1"/>
  <c r="R41" i="15"/>
  <c r="T41" i="15" s="1"/>
  <c r="K15" i="15"/>
  <c r="K4" i="15"/>
  <c r="L4" i="15" s="1"/>
  <c r="L3" i="15"/>
  <c r="K13" i="15" s="1"/>
  <c r="L6" i="15"/>
  <c r="K14" i="15" s="1"/>
  <c r="J7" i="15"/>
  <c r="L7" i="15" s="1"/>
  <c r="B10" i="15"/>
  <c r="D10" i="15" s="1"/>
  <c r="D11" i="15"/>
  <c r="F11" i="15"/>
  <c r="E11" i="15"/>
  <c r="B12" i="15"/>
  <c r="D12" i="15" s="1"/>
  <c r="I17" i="12"/>
  <c r="I13" i="12"/>
  <c r="L11" i="13"/>
  <c r="I32" i="12"/>
  <c r="I19" i="12"/>
  <c r="I20" i="12" s="1"/>
  <c r="AI83" i="7"/>
  <c r="AH83" i="7"/>
  <c r="AI82" i="7"/>
  <c r="AH82" i="7"/>
  <c r="AI81" i="7"/>
  <c r="AH81" i="7"/>
  <c r="AI80" i="7"/>
  <c r="AH80" i="7"/>
  <c r="AI79" i="7"/>
  <c r="AH79" i="7"/>
  <c r="AI78" i="7"/>
  <c r="AH78" i="7"/>
  <c r="AI77" i="7"/>
  <c r="AH77" i="7"/>
  <c r="AI76" i="7"/>
  <c r="AH76" i="7"/>
  <c r="AI75" i="7"/>
  <c r="AH75" i="7"/>
  <c r="AI74" i="7"/>
  <c r="AH74" i="7"/>
  <c r="AI73" i="7"/>
  <c r="AH73" i="7"/>
  <c r="AI72" i="7"/>
  <c r="AH72" i="7"/>
  <c r="AI71" i="7"/>
  <c r="AH71" i="7"/>
  <c r="AI70" i="7"/>
  <c r="AH70" i="7"/>
  <c r="AI69" i="7"/>
  <c r="AH69" i="7"/>
  <c r="AI68" i="7"/>
  <c r="AH68" i="7"/>
  <c r="AI67" i="7"/>
  <c r="AH67" i="7"/>
  <c r="AI66" i="7"/>
  <c r="AH66" i="7"/>
  <c r="AI65" i="7"/>
  <c r="AH65" i="7"/>
  <c r="AI64" i="7"/>
  <c r="AH64" i="7"/>
  <c r="AI63" i="7"/>
  <c r="AH63" i="7"/>
  <c r="AI62" i="7"/>
  <c r="AH62" i="7"/>
  <c r="AI61" i="7"/>
  <c r="AH61" i="7"/>
  <c r="AI60" i="7"/>
  <c r="AH60" i="7"/>
  <c r="AI59" i="7"/>
  <c r="AH59" i="7"/>
  <c r="AI58" i="7"/>
  <c r="AH58" i="7"/>
  <c r="AI57" i="7"/>
  <c r="AH57" i="7"/>
  <c r="AI56" i="7"/>
  <c r="AH56" i="7"/>
  <c r="AI55" i="7"/>
  <c r="AH55" i="7"/>
  <c r="AI54" i="7"/>
  <c r="AH54" i="7"/>
  <c r="AI53" i="7"/>
  <c r="AH53" i="7"/>
  <c r="AI52" i="7"/>
  <c r="AH52" i="7"/>
  <c r="AI51" i="7"/>
  <c r="AH51" i="7"/>
  <c r="AI50" i="7"/>
  <c r="AH50" i="7"/>
  <c r="AI49" i="7"/>
  <c r="AH49" i="7"/>
  <c r="AI48" i="7"/>
  <c r="AH48" i="7"/>
  <c r="AI47" i="7"/>
  <c r="AH47" i="7"/>
  <c r="AI46" i="7"/>
  <c r="AH46" i="7"/>
  <c r="AI45" i="7"/>
  <c r="AH45" i="7"/>
  <c r="AI44" i="7"/>
  <c r="AH44" i="7"/>
  <c r="AI43" i="7"/>
  <c r="AH43" i="7"/>
  <c r="AI42" i="7"/>
  <c r="AH42" i="7"/>
  <c r="AI41" i="7"/>
  <c r="AH41" i="7"/>
  <c r="AI40" i="7"/>
  <c r="AH40" i="7"/>
  <c r="AI39" i="7"/>
  <c r="AH39" i="7"/>
  <c r="AI38" i="7"/>
  <c r="AH38" i="7"/>
  <c r="AI37" i="7"/>
  <c r="AH37" i="7"/>
  <c r="AI36" i="7"/>
  <c r="AH36" i="7"/>
  <c r="AI35" i="7"/>
  <c r="AH35" i="7"/>
  <c r="AI34" i="7"/>
  <c r="AH34" i="7"/>
  <c r="AI33" i="7"/>
  <c r="AH33" i="7"/>
  <c r="AI32" i="7"/>
  <c r="AH32" i="7"/>
  <c r="AI31" i="7"/>
  <c r="AH31" i="7"/>
  <c r="AI30" i="7"/>
  <c r="AH30" i="7"/>
  <c r="AI29" i="7"/>
  <c r="AH29" i="7"/>
  <c r="AI28" i="7"/>
  <c r="AH28" i="7"/>
  <c r="AI27" i="7"/>
  <c r="AH27" i="7"/>
  <c r="AI26" i="7"/>
  <c r="AH26" i="7"/>
  <c r="AI25" i="7"/>
  <c r="AH25" i="7"/>
  <c r="AI24" i="7"/>
  <c r="AH24" i="7"/>
  <c r="AI23" i="7"/>
  <c r="AH23" i="7"/>
  <c r="AI22" i="7"/>
  <c r="AH22" i="7"/>
  <c r="AI21" i="7"/>
  <c r="AH21" i="7"/>
  <c r="AI20" i="7"/>
  <c r="AH20" i="7"/>
  <c r="AI19" i="7"/>
  <c r="AH19" i="7"/>
  <c r="AI18" i="7"/>
  <c r="AH18" i="7"/>
  <c r="AI17" i="7"/>
  <c r="AH17" i="7"/>
  <c r="AI16" i="7"/>
  <c r="AH16" i="7"/>
  <c r="AI15" i="7"/>
  <c r="AH15" i="7"/>
  <c r="AI14" i="7"/>
  <c r="AH14" i="7"/>
  <c r="AI13" i="7"/>
  <c r="AH13" i="7"/>
  <c r="AI12" i="7"/>
  <c r="AH12" i="7"/>
  <c r="AI11" i="7"/>
  <c r="AH11" i="7"/>
  <c r="AI9" i="7"/>
  <c r="AH9" i="7"/>
  <c r="AI10" i="7"/>
  <c r="AH10" i="7"/>
  <c r="X31" i="2"/>
  <c r="O28" i="3" s="1"/>
  <c r="K12" i="6"/>
  <c r="K11" i="6"/>
  <c r="K10" i="6"/>
  <c r="AF83" i="7"/>
  <c r="AE83" i="7"/>
  <c r="AF82" i="7"/>
  <c r="AE82" i="7"/>
  <c r="AF81" i="7"/>
  <c r="AE81" i="7"/>
  <c r="AF80" i="7"/>
  <c r="AE80" i="7"/>
  <c r="AF79" i="7"/>
  <c r="AE79" i="7"/>
  <c r="AF78" i="7"/>
  <c r="AE78" i="7"/>
  <c r="AF77" i="7"/>
  <c r="AE77" i="7"/>
  <c r="AF76" i="7"/>
  <c r="AE76" i="7"/>
  <c r="AF75" i="7"/>
  <c r="AE75" i="7"/>
  <c r="AF74" i="7"/>
  <c r="AE74" i="7"/>
  <c r="AF73" i="7"/>
  <c r="AE73" i="7"/>
  <c r="AF72" i="7"/>
  <c r="AE72" i="7"/>
  <c r="AF71" i="7"/>
  <c r="AE71" i="7"/>
  <c r="AF70" i="7"/>
  <c r="AE70" i="7"/>
  <c r="AF69" i="7"/>
  <c r="AE69" i="7"/>
  <c r="AF68" i="7"/>
  <c r="AE68" i="7"/>
  <c r="AF67" i="7"/>
  <c r="AE67" i="7"/>
  <c r="AF66" i="7"/>
  <c r="AE66" i="7"/>
  <c r="AF65" i="7"/>
  <c r="AE65" i="7"/>
  <c r="AF64" i="7"/>
  <c r="AE64" i="7"/>
  <c r="AF63" i="7"/>
  <c r="AE63" i="7"/>
  <c r="AF62" i="7"/>
  <c r="AE62" i="7"/>
  <c r="AF61" i="7"/>
  <c r="AE61" i="7"/>
  <c r="AF60" i="7"/>
  <c r="AE60" i="7"/>
  <c r="AF59" i="7"/>
  <c r="AE59" i="7"/>
  <c r="AF58" i="7"/>
  <c r="AE58" i="7"/>
  <c r="AF57" i="7"/>
  <c r="AE57" i="7"/>
  <c r="AF56" i="7"/>
  <c r="AE56" i="7"/>
  <c r="AF55" i="7"/>
  <c r="AE55" i="7"/>
  <c r="AF54" i="7"/>
  <c r="AE54" i="7"/>
  <c r="AF53" i="7"/>
  <c r="AE53" i="7"/>
  <c r="AF52" i="7"/>
  <c r="AE52" i="7"/>
  <c r="AF51" i="7"/>
  <c r="AE51" i="7"/>
  <c r="AF50" i="7"/>
  <c r="AE50" i="7"/>
  <c r="AF49" i="7"/>
  <c r="AE49" i="7"/>
  <c r="AF48" i="7"/>
  <c r="AE48" i="7"/>
  <c r="AF47" i="7"/>
  <c r="AE47" i="7"/>
  <c r="AF46" i="7"/>
  <c r="AE46" i="7"/>
  <c r="AF45" i="7"/>
  <c r="AE45" i="7"/>
  <c r="AF44" i="7"/>
  <c r="AE44" i="7"/>
  <c r="AF43" i="7"/>
  <c r="AE43" i="7"/>
  <c r="AF42" i="7"/>
  <c r="AE42" i="7"/>
  <c r="AF41" i="7"/>
  <c r="AE41" i="7"/>
  <c r="AF40" i="7"/>
  <c r="AE40" i="7"/>
  <c r="AF39" i="7"/>
  <c r="AE39" i="7"/>
  <c r="AF38" i="7"/>
  <c r="AE38" i="7"/>
  <c r="AF37" i="7"/>
  <c r="AE37" i="7"/>
  <c r="AF36" i="7"/>
  <c r="AE36" i="7"/>
  <c r="AF35" i="7"/>
  <c r="AE35" i="7"/>
  <c r="AF34" i="7"/>
  <c r="AE34" i="7"/>
  <c r="AF33" i="7"/>
  <c r="AE33" i="7"/>
  <c r="AF32" i="7"/>
  <c r="AE32" i="7"/>
  <c r="AF31" i="7"/>
  <c r="AE31" i="7"/>
  <c r="AF30" i="7"/>
  <c r="AE30" i="7"/>
  <c r="AF29" i="7"/>
  <c r="AE29" i="7"/>
  <c r="AF28" i="7"/>
  <c r="AE28" i="7"/>
  <c r="AF27" i="7"/>
  <c r="AE27" i="7"/>
  <c r="AF26" i="7"/>
  <c r="AE26" i="7"/>
  <c r="AF25" i="7"/>
  <c r="AE25" i="7"/>
  <c r="AF24" i="7"/>
  <c r="AE24" i="7"/>
  <c r="AF23" i="7"/>
  <c r="AE23" i="7"/>
  <c r="AF22" i="7"/>
  <c r="AE22" i="7"/>
  <c r="AF21" i="7"/>
  <c r="AE21" i="7"/>
  <c r="AF20" i="7"/>
  <c r="AE20" i="7"/>
  <c r="AF19" i="7"/>
  <c r="AE19" i="7"/>
  <c r="AF18" i="7"/>
  <c r="AE18" i="7"/>
  <c r="AF17" i="7"/>
  <c r="AE17" i="7"/>
  <c r="AF16" i="7"/>
  <c r="AE16" i="7"/>
  <c r="AF15" i="7"/>
  <c r="AE15" i="7"/>
  <c r="AF14" i="7"/>
  <c r="AE14" i="7"/>
  <c r="AF13" i="7"/>
  <c r="AE13" i="7"/>
  <c r="AF12" i="7"/>
  <c r="AE12" i="7"/>
  <c r="AF11" i="7"/>
  <c r="AG11" i="7" s="1"/>
  <c r="AE11" i="7"/>
  <c r="AF10" i="7"/>
  <c r="AE10" i="7"/>
  <c r="AF9" i="7"/>
  <c r="AE9" i="7"/>
  <c r="AG9" i="7" s="1"/>
  <c r="N5" i="7"/>
  <c r="N9" i="7"/>
  <c r="O9" i="7"/>
  <c r="S9" i="7"/>
  <c r="T9" i="7"/>
  <c r="V9" i="7"/>
  <c r="W9" i="7"/>
  <c r="Y9" i="7"/>
  <c r="Z9" i="7"/>
  <c r="AB9" i="7"/>
  <c r="AC9" i="7"/>
  <c r="M10" i="7"/>
  <c r="N10" i="7" s="1"/>
  <c r="R10" i="7"/>
  <c r="S10" i="7"/>
  <c r="V10" i="7"/>
  <c r="X10" i="7" s="1"/>
  <c r="W10" i="7"/>
  <c r="Y10" i="7"/>
  <c r="Z10" i="7"/>
  <c r="AB10" i="7"/>
  <c r="AC10" i="7"/>
  <c r="V11" i="7"/>
  <c r="W11" i="7"/>
  <c r="Y11" i="7"/>
  <c r="AA11" i="7" s="1"/>
  <c r="Z11" i="7"/>
  <c r="AB11" i="7"/>
  <c r="AC11" i="7"/>
  <c r="AD11" i="7" s="1"/>
  <c r="N12" i="7"/>
  <c r="O12" i="7"/>
  <c r="V12" i="7"/>
  <c r="W12" i="7"/>
  <c r="Y12" i="7"/>
  <c r="Z12" i="7"/>
  <c r="AB12" i="7"/>
  <c r="AC12" i="7"/>
  <c r="M13" i="7"/>
  <c r="N13" i="7" s="1"/>
  <c r="V13" i="7"/>
  <c r="W13" i="7"/>
  <c r="Y13" i="7"/>
  <c r="Z13" i="7"/>
  <c r="AB13" i="7"/>
  <c r="AC13" i="7"/>
  <c r="S14" i="7"/>
  <c r="T14" i="7"/>
  <c r="V14" i="7"/>
  <c r="W14" i="7"/>
  <c r="Y14" i="7"/>
  <c r="Z14" i="7"/>
  <c r="AB14" i="7"/>
  <c r="AC14" i="7"/>
  <c r="R15" i="7"/>
  <c r="T15" i="7" s="1"/>
  <c r="V15" i="7"/>
  <c r="W15" i="7"/>
  <c r="Y15" i="7"/>
  <c r="Z15" i="7"/>
  <c r="AB15" i="7"/>
  <c r="AC15" i="7"/>
  <c r="V16" i="7"/>
  <c r="W16" i="7"/>
  <c r="Y16" i="7"/>
  <c r="Z16" i="7"/>
  <c r="AB16" i="7"/>
  <c r="AC16" i="7"/>
  <c r="V17" i="7"/>
  <c r="W17" i="7"/>
  <c r="Y17" i="7"/>
  <c r="Z17" i="7"/>
  <c r="AB17" i="7"/>
  <c r="AC17" i="7"/>
  <c r="V18" i="7"/>
  <c r="W18" i="7"/>
  <c r="Y18" i="7"/>
  <c r="Z18" i="7"/>
  <c r="AB18" i="7"/>
  <c r="AC18" i="7"/>
  <c r="N19" i="7"/>
  <c r="O19" i="7"/>
  <c r="S19" i="7"/>
  <c r="T19" i="7"/>
  <c r="V19" i="7"/>
  <c r="W19" i="7"/>
  <c r="Y19" i="7"/>
  <c r="Z19" i="7"/>
  <c r="AB19" i="7"/>
  <c r="AC19" i="7"/>
  <c r="M20" i="7"/>
  <c r="N20" i="7" s="1"/>
  <c r="R20" i="7"/>
  <c r="V20" i="7"/>
  <c r="W20" i="7"/>
  <c r="Y20" i="7"/>
  <c r="Z20" i="7"/>
  <c r="AB20" i="7"/>
  <c r="AD20" i="7" s="1"/>
  <c r="AC20" i="7"/>
  <c r="V21" i="7"/>
  <c r="W21" i="7"/>
  <c r="Y21" i="7"/>
  <c r="Z21" i="7"/>
  <c r="AB21" i="7"/>
  <c r="AC21" i="7"/>
  <c r="V22" i="7"/>
  <c r="W22" i="7"/>
  <c r="Y22" i="7"/>
  <c r="Z22" i="7"/>
  <c r="AB22" i="7"/>
  <c r="AC22" i="7"/>
  <c r="V23" i="7"/>
  <c r="W23" i="7"/>
  <c r="Y23" i="7"/>
  <c r="Z23" i="7"/>
  <c r="AB23" i="7"/>
  <c r="AC23" i="7"/>
  <c r="V24" i="7"/>
  <c r="W24" i="7"/>
  <c r="Y24" i="7"/>
  <c r="Z24" i="7"/>
  <c r="AB24" i="7"/>
  <c r="AC24" i="7"/>
  <c r="V25" i="7"/>
  <c r="W25" i="7"/>
  <c r="Y25" i="7"/>
  <c r="Z25" i="7"/>
  <c r="AB25" i="7"/>
  <c r="AC25" i="7"/>
  <c r="V26" i="7"/>
  <c r="W26" i="7"/>
  <c r="Y26" i="7"/>
  <c r="Z26" i="7"/>
  <c r="AB26" i="7"/>
  <c r="AC26" i="7"/>
  <c r="V27" i="7"/>
  <c r="W27" i="7"/>
  <c r="Y27" i="7"/>
  <c r="Z27" i="7"/>
  <c r="AB27" i="7"/>
  <c r="AC27" i="7"/>
  <c r="V28" i="7"/>
  <c r="W28" i="7"/>
  <c r="Y28" i="7"/>
  <c r="Z28" i="7"/>
  <c r="AB28" i="7"/>
  <c r="AC28" i="7"/>
  <c r="V29" i="7"/>
  <c r="W29" i="7"/>
  <c r="Y29" i="7"/>
  <c r="Z29" i="7"/>
  <c r="AB29" i="7"/>
  <c r="AC29" i="7"/>
  <c r="V30" i="7"/>
  <c r="W30" i="7"/>
  <c r="Y30" i="7"/>
  <c r="Z30" i="7"/>
  <c r="AB30" i="7"/>
  <c r="AC30" i="7"/>
  <c r="V31" i="7"/>
  <c r="W31" i="7"/>
  <c r="Y31" i="7"/>
  <c r="Z31" i="7"/>
  <c r="AB31" i="7"/>
  <c r="AC31" i="7"/>
  <c r="N32" i="7"/>
  <c r="P32" i="7" s="1"/>
  <c r="O32" i="7"/>
  <c r="V32" i="7"/>
  <c r="W32" i="7"/>
  <c r="Y32" i="7"/>
  <c r="Z32" i="7"/>
  <c r="AB32" i="7"/>
  <c r="AC32" i="7"/>
  <c r="M33" i="7"/>
  <c r="V33" i="7"/>
  <c r="W33" i="7"/>
  <c r="Y33" i="7"/>
  <c r="Z33" i="7"/>
  <c r="AB33" i="7"/>
  <c r="AC33" i="7"/>
  <c r="M34" i="7"/>
  <c r="S34" i="7"/>
  <c r="U34" i="7" s="1"/>
  <c r="T34" i="7"/>
  <c r="V34" i="7"/>
  <c r="W34" i="7"/>
  <c r="X34" i="7" s="1"/>
  <c r="Y34" i="7"/>
  <c r="Z34" i="7"/>
  <c r="AB34" i="7"/>
  <c r="AC34" i="7"/>
  <c r="R35" i="7"/>
  <c r="V35" i="7"/>
  <c r="W35" i="7"/>
  <c r="Y35" i="7"/>
  <c r="Z35" i="7"/>
  <c r="AB35" i="7"/>
  <c r="AC35" i="7"/>
  <c r="V36" i="7"/>
  <c r="W36" i="7"/>
  <c r="Y36" i="7"/>
  <c r="Z36" i="7"/>
  <c r="AB36" i="7"/>
  <c r="AC36" i="7"/>
  <c r="V37" i="7"/>
  <c r="W37" i="7"/>
  <c r="Y37" i="7"/>
  <c r="Z37" i="7"/>
  <c r="AB37" i="7"/>
  <c r="AC37" i="7"/>
  <c r="V38" i="7"/>
  <c r="W38" i="7"/>
  <c r="Y38" i="7"/>
  <c r="Z38" i="7"/>
  <c r="AB38" i="7"/>
  <c r="AC38" i="7"/>
  <c r="V39" i="7"/>
  <c r="W39" i="7"/>
  <c r="Y39" i="7"/>
  <c r="Z39" i="7"/>
  <c r="AB39" i="7"/>
  <c r="AC39" i="7"/>
  <c r="V40" i="7"/>
  <c r="W40" i="7"/>
  <c r="Y40" i="7"/>
  <c r="Z40" i="7"/>
  <c r="AB40" i="7"/>
  <c r="AC40" i="7"/>
  <c r="V41" i="7"/>
  <c r="W41" i="7"/>
  <c r="Y41" i="7"/>
  <c r="Z41" i="7"/>
  <c r="AB41" i="7"/>
  <c r="AC41" i="7"/>
  <c r="N42" i="7"/>
  <c r="O42" i="7"/>
  <c r="V42" i="7"/>
  <c r="W42" i="7"/>
  <c r="Y42" i="7"/>
  <c r="Z42" i="7"/>
  <c r="AB42" i="7"/>
  <c r="AC42" i="7"/>
  <c r="M43" i="7"/>
  <c r="M44" i="7" s="1"/>
  <c r="M45" i="7" s="1"/>
  <c r="V43" i="7"/>
  <c r="W43" i="7"/>
  <c r="Y43" i="7"/>
  <c r="Z43" i="7"/>
  <c r="AB43" i="7"/>
  <c r="AC43" i="7"/>
  <c r="V44" i="7"/>
  <c r="W44" i="7"/>
  <c r="Y44" i="7"/>
  <c r="Z44" i="7"/>
  <c r="AB44" i="7"/>
  <c r="AC44" i="7"/>
  <c r="V45" i="7"/>
  <c r="W45" i="7"/>
  <c r="Y45" i="7"/>
  <c r="Z45" i="7"/>
  <c r="AB45" i="7"/>
  <c r="AC45" i="7"/>
  <c r="V46" i="7"/>
  <c r="W46" i="7"/>
  <c r="Y46" i="7"/>
  <c r="Z46" i="7"/>
  <c r="AB46" i="7"/>
  <c r="AC46" i="7"/>
  <c r="V47" i="7"/>
  <c r="W47" i="7"/>
  <c r="Y47" i="7"/>
  <c r="Z47" i="7"/>
  <c r="AB47" i="7"/>
  <c r="AC47" i="7"/>
  <c r="V48" i="7"/>
  <c r="W48" i="7"/>
  <c r="Y48" i="7"/>
  <c r="Z48" i="7"/>
  <c r="AB48" i="7"/>
  <c r="AC48" i="7"/>
  <c r="V49" i="7"/>
  <c r="W49" i="7"/>
  <c r="Y49" i="7"/>
  <c r="Z49" i="7"/>
  <c r="AB49" i="7"/>
  <c r="AC49" i="7"/>
  <c r="V50" i="7"/>
  <c r="W50" i="7"/>
  <c r="Y50" i="7"/>
  <c r="Z50" i="7"/>
  <c r="AB50" i="7"/>
  <c r="AC50" i="7"/>
  <c r="V51" i="7"/>
  <c r="W51" i="7"/>
  <c r="Y51" i="7"/>
  <c r="Z51" i="7"/>
  <c r="AB51" i="7"/>
  <c r="AC51" i="7"/>
  <c r="V52" i="7"/>
  <c r="W52" i="7"/>
  <c r="Y52" i="7"/>
  <c r="Z52" i="7"/>
  <c r="AB52" i="7"/>
  <c r="AC52" i="7"/>
  <c r="V53" i="7"/>
  <c r="W53" i="7"/>
  <c r="Y53" i="7"/>
  <c r="Z53" i="7"/>
  <c r="AB53" i="7"/>
  <c r="AC53" i="7"/>
  <c r="V54" i="7"/>
  <c r="W54" i="7"/>
  <c r="Y54" i="7"/>
  <c r="Z54" i="7"/>
  <c r="AB54" i="7"/>
  <c r="AC54" i="7"/>
  <c r="V55" i="7"/>
  <c r="W55" i="7"/>
  <c r="Y55" i="7"/>
  <c r="Z55" i="7"/>
  <c r="AB55" i="7"/>
  <c r="AC55" i="7"/>
  <c r="S56" i="7"/>
  <c r="T56" i="7"/>
  <c r="U56" i="7" s="1"/>
  <c r="V56" i="7"/>
  <c r="W56" i="7"/>
  <c r="Y56" i="7"/>
  <c r="Z56" i="7"/>
  <c r="AB56" i="7"/>
  <c r="AC56" i="7"/>
  <c r="R57" i="7"/>
  <c r="V57" i="7"/>
  <c r="W57" i="7"/>
  <c r="Y57" i="7"/>
  <c r="AA57" i="7" s="1"/>
  <c r="Z57" i="7"/>
  <c r="AB57" i="7"/>
  <c r="AC57" i="7"/>
  <c r="V58" i="7"/>
  <c r="W58" i="7"/>
  <c r="Y58" i="7"/>
  <c r="Z58" i="7"/>
  <c r="AB58" i="7"/>
  <c r="AC58" i="7"/>
  <c r="V59" i="7"/>
  <c r="W59" i="7"/>
  <c r="Y59" i="7"/>
  <c r="Z59" i="7"/>
  <c r="AB59" i="7"/>
  <c r="AC59" i="7"/>
  <c r="V60" i="7"/>
  <c r="W60" i="7"/>
  <c r="Y60" i="7"/>
  <c r="Z60" i="7"/>
  <c r="AB60" i="7"/>
  <c r="AC60" i="7"/>
  <c r="V61" i="7"/>
  <c r="W61" i="7"/>
  <c r="Y61" i="7"/>
  <c r="Z61" i="7"/>
  <c r="AB61" i="7"/>
  <c r="AC61" i="7"/>
  <c r="V62" i="7"/>
  <c r="W62" i="7"/>
  <c r="Y62" i="7"/>
  <c r="Z62" i="7"/>
  <c r="AB62" i="7"/>
  <c r="AC62" i="7"/>
  <c r="V63" i="7"/>
  <c r="W63" i="7"/>
  <c r="Y63" i="7"/>
  <c r="Z63" i="7"/>
  <c r="AB63" i="7"/>
  <c r="AC63" i="7"/>
  <c r="V64" i="7"/>
  <c r="W64" i="7"/>
  <c r="Y64" i="7"/>
  <c r="Z64" i="7"/>
  <c r="AB64" i="7"/>
  <c r="AC64" i="7"/>
  <c r="V65" i="7"/>
  <c r="W65" i="7"/>
  <c r="Y65" i="7"/>
  <c r="Z65" i="7"/>
  <c r="AB65" i="7"/>
  <c r="AC65" i="7"/>
  <c r="V66" i="7"/>
  <c r="W66" i="7"/>
  <c r="Y66" i="7"/>
  <c r="Z66" i="7"/>
  <c r="AB66" i="7"/>
  <c r="AC66" i="7"/>
  <c r="V67" i="7"/>
  <c r="W67" i="7"/>
  <c r="Y67" i="7"/>
  <c r="Z67" i="7"/>
  <c r="AB67" i="7"/>
  <c r="AC67" i="7"/>
  <c r="V68" i="7"/>
  <c r="W68" i="7"/>
  <c r="Y68" i="7"/>
  <c r="Z68" i="7"/>
  <c r="AB68" i="7"/>
  <c r="AC68" i="7"/>
  <c r="V69" i="7"/>
  <c r="W69" i="7"/>
  <c r="Y69" i="7"/>
  <c r="Z69" i="7"/>
  <c r="AB69" i="7"/>
  <c r="AC69" i="7"/>
  <c r="V70" i="7"/>
  <c r="W70" i="7"/>
  <c r="Y70" i="7"/>
  <c r="Z70" i="7"/>
  <c r="AB70" i="7"/>
  <c r="AC70" i="7"/>
  <c r="V71" i="7"/>
  <c r="W71" i="7"/>
  <c r="Y71" i="7"/>
  <c r="Z71" i="7"/>
  <c r="AB71" i="7"/>
  <c r="AC71" i="7"/>
  <c r="V72" i="7"/>
  <c r="W72" i="7"/>
  <c r="Y72" i="7"/>
  <c r="Z72" i="7"/>
  <c r="AB72" i="7"/>
  <c r="AC72" i="7"/>
  <c r="V73" i="7"/>
  <c r="W73" i="7"/>
  <c r="Y73" i="7"/>
  <c r="Z73" i="7"/>
  <c r="AB73" i="7"/>
  <c r="AC73" i="7"/>
  <c r="V74" i="7"/>
  <c r="W74" i="7"/>
  <c r="Y74" i="7"/>
  <c r="Z74" i="7"/>
  <c r="AB74" i="7"/>
  <c r="AC74" i="7"/>
  <c r="V75" i="7"/>
  <c r="W75" i="7"/>
  <c r="Y75" i="7"/>
  <c r="Z75" i="7"/>
  <c r="AB75" i="7"/>
  <c r="AC75" i="7"/>
  <c r="V76" i="7"/>
  <c r="W76" i="7"/>
  <c r="Y76" i="7"/>
  <c r="Z76" i="7"/>
  <c r="AB76" i="7"/>
  <c r="AC76" i="7"/>
  <c r="V77" i="7"/>
  <c r="W77" i="7"/>
  <c r="Y77" i="7"/>
  <c r="Z77" i="7"/>
  <c r="AB77" i="7"/>
  <c r="AC77" i="7"/>
  <c r="V78" i="7"/>
  <c r="W78" i="7"/>
  <c r="Y78" i="7"/>
  <c r="Z78" i="7"/>
  <c r="AB78" i="7"/>
  <c r="AC78" i="7"/>
  <c r="V79" i="7"/>
  <c r="W79" i="7"/>
  <c r="Y79" i="7"/>
  <c r="Z79" i="7"/>
  <c r="AB79" i="7"/>
  <c r="AC79" i="7"/>
  <c r="V80" i="7"/>
  <c r="W80" i="7"/>
  <c r="Y80" i="7"/>
  <c r="Z80" i="7"/>
  <c r="AB80" i="7"/>
  <c r="AC80" i="7"/>
  <c r="V81" i="7"/>
  <c r="W81" i="7"/>
  <c r="Y81" i="7"/>
  <c r="Z81" i="7"/>
  <c r="AB81" i="7"/>
  <c r="AC81" i="7"/>
  <c r="V82" i="7"/>
  <c r="W82" i="7"/>
  <c r="Y82" i="7"/>
  <c r="Z82" i="7"/>
  <c r="AB82" i="7"/>
  <c r="AC82" i="7"/>
  <c r="V83" i="7"/>
  <c r="W83" i="7"/>
  <c r="Y83" i="7"/>
  <c r="Z83" i="7"/>
  <c r="AB83" i="7"/>
  <c r="AC83" i="7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D22" i="9"/>
  <c r="B22" i="9" s="1"/>
  <c r="F22" i="9"/>
  <c r="D23" i="9" s="1"/>
  <c r="B23" i="9" s="1"/>
  <c r="C12" i="2"/>
  <c r="A16" i="2"/>
  <c r="A19" i="2"/>
  <c r="Y19" i="2"/>
  <c r="A22" i="2" s="1"/>
  <c r="Y20" i="2"/>
  <c r="A23" i="2" s="1"/>
  <c r="Y21" i="2"/>
  <c r="C30" i="2" s="1"/>
  <c r="C23" i="2"/>
  <c r="F45" i="2" s="1"/>
  <c r="AD32" i="2"/>
  <c r="AE32" i="2" s="1"/>
  <c r="AB34" i="2"/>
  <c r="AB35" i="2"/>
  <c r="AB36" i="2"/>
  <c r="AB37" i="2"/>
  <c r="AB38" i="2"/>
  <c r="AB39" i="2"/>
  <c r="AB40" i="2"/>
  <c r="AB41" i="2"/>
  <c r="AB42" i="2"/>
  <c r="AB43" i="2"/>
  <c r="AB44" i="2"/>
  <c r="AB45" i="2"/>
  <c r="B46" i="2"/>
  <c r="B47" i="2" s="1"/>
  <c r="B48" i="2" s="1"/>
  <c r="B49" i="2" s="1"/>
  <c r="B50" i="2" s="1"/>
  <c r="B51" i="2" s="1"/>
  <c r="B52" i="2" s="1"/>
  <c r="B53" i="2" s="1"/>
  <c r="B54" i="2" s="1"/>
  <c r="B55" i="2" s="1"/>
  <c r="B56" i="2" s="1"/>
  <c r="B57" i="2" s="1"/>
  <c r="B58" i="2" s="1"/>
  <c r="B59" i="2" s="1"/>
  <c r="B60" i="2" s="1"/>
  <c r="B61" i="2" s="1"/>
  <c r="B62" i="2" s="1"/>
  <c r="B63" i="2" s="1"/>
  <c r="B64" i="2" s="1"/>
  <c r="B65" i="2" s="1"/>
  <c r="B66" i="2" s="1"/>
  <c r="B67" i="2" s="1"/>
  <c r="B68" i="2" s="1"/>
  <c r="B69" i="2" s="1"/>
  <c r="B70" i="2" s="1"/>
  <c r="B71" i="2" s="1"/>
  <c r="B72" i="2" s="1"/>
  <c r="B73" i="2" s="1"/>
  <c r="B74" i="2" s="1"/>
  <c r="B75" i="2" s="1"/>
  <c r="B76" i="2" s="1"/>
  <c r="B77" i="2" s="1"/>
  <c r="B78" i="2" s="1"/>
  <c r="B79" i="2" s="1"/>
  <c r="B80" i="2" s="1"/>
  <c r="B81" i="2" s="1"/>
  <c r="B82" i="2" s="1"/>
  <c r="B83" i="2" s="1"/>
  <c r="B84" i="2" s="1"/>
  <c r="B85" i="2" s="1"/>
  <c r="B86" i="2" s="1"/>
  <c r="B87" i="2" s="1"/>
  <c r="B88" i="2" s="1"/>
  <c r="B89" i="2" s="1"/>
  <c r="B90" i="2" s="1"/>
  <c r="B91" i="2" s="1"/>
  <c r="B92" i="2" s="1"/>
  <c r="B93" i="2" s="1"/>
  <c r="B94" i="2" s="1"/>
  <c r="B95" i="2" s="1"/>
  <c r="C46" i="2"/>
  <c r="C47" i="2" s="1"/>
  <c r="AB46" i="2"/>
  <c r="AB47" i="2"/>
  <c r="AB48" i="2"/>
  <c r="AB49" i="2"/>
  <c r="AB50" i="2"/>
  <c r="AB51" i="2"/>
  <c r="AB52" i="2"/>
  <c r="AB53" i="2"/>
  <c r="AB54" i="2"/>
  <c r="AB55" i="2"/>
  <c r="AB56" i="2"/>
  <c r="AB57" i="2"/>
  <c r="C9" i="11"/>
  <c r="Y20" i="11" s="1"/>
  <c r="Y9" i="11"/>
  <c r="Y10" i="11"/>
  <c r="B7" i="5"/>
  <c r="B8" i="5"/>
  <c r="D24" i="5"/>
  <c r="B25" i="5"/>
  <c r="B26" i="5" s="1"/>
  <c r="B27" i="5" s="1"/>
  <c r="B28" i="5" s="1"/>
  <c r="B29" i="5" s="1"/>
  <c r="B30" i="5" s="1"/>
  <c r="B31" i="5" s="1"/>
  <c r="B32" i="5" s="1"/>
  <c r="B33" i="5" s="1"/>
  <c r="B34" i="5" s="1"/>
  <c r="B35" i="5" s="1"/>
  <c r="B36" i="5" s="1"/>
  <c r="B37" i="5" s="1"/>
  <c r="B38" i="5" s="1"/>
  <c r="B39" i="5" s="1"/>
  <c r="B40" i="5" s="1"/>
  <c r="B41" i="5" s="1"/>
  <c r="B42" i="5" s="1"/>
  <c r="B43" i="5" s="1"/>
  <c r="B44" i="5" s="1"/>
  <c r="B45" i="5" s="1"/>
  <c r="D4" i="4"/>
  <c r="C6" i="4"/>
  <c r="C25" i="4"/>
  <c r="I28" i="4"/>
  <c r="K28" i="4"/>
  <c r="E24" i="5" s="1"/>
  <c r="L28" i="4"/>
  <c r="C24" i="5" s="1"/>
  <c r="N28" i="4"/>
  <c r="N29" i="4" s="1"/>
  <c r="N30" i="4" s="1"/>
  <c r="N31" i="4" s="1"/>
  <c r="N32" i="4" s="1"/>
  <c r="N33" i="4" s="1"/>
  <c r="N34" i="4" s="1"/>
  <c r="N35" i="4" s="1"/>
  <c r="N36" i="4" s="1"/>
  <c r="N37" i="4" s="1"/>
  <c r="N38" i="4" s="1"/>
  <c r="N39" i="4" s="1"/>
  <c r="N40" i="4" s="1"/>
  <c r="N41" i="4" s="1"/>
  <c r="N42" i="4" s="1"/>
  <c r="N43" i="4" s="1"/>
  <c r="N44" i="4" s="1"/>
  <c r="N45" i="4" s="1"/>
  <c r="N46" i="4" s="1"/>
  <c r="N47" i="4" s="1"/>
  <c r="N48" i="4" s="1"/>
  <c r="N49" i="4" s="1"/>
  <c r="N50" i="4" s="1"/>
  <c r="N51" i="4" s="1"/>
  <c r="N52" i="4" s="1"/>
  <c r="N53" i="4" s="1"/>
  <c r="N54" i="4" s="1"/>
  <c r="N55" i="4" s="1"/>
  <c r="N56" i="4" s="1"/>
  <c r="N57" i="4" s="1"/>
  <c r="N58" i="4" s="1"/>
  <c r="N59" i="4" s="1"/>
  <c r="N60" i="4" s="1"/>
  <c r="N61" i="4" s="1"/>
  <c r="N62" i="4" s="1"/>
  <c r="N63" i="4" s="1"/>
  <c r="N64" i="4" s="1"/>
  <c r="N65" i="4" s="1"/>
  <c r="N66" i="4" s="1"/>
  <c r="N67" i="4" s="1"/>
  <c r="N68" i="4" s="1"/>
  <c r="N69" i="4" s="1"/>
  <c r="N70" i="4" s="1"/>
  <c r="N71" i="4" s="1"/>
  <c r="N72" i="4" s="1"/>
  <c r="N73" i="4" s="1"/>
  <c r="N74" i="4" s="1"/>
  <c r="N75" i="4" s="1"/>
  <c r="N76" i="4" s="1"/>
  <c r="N77" i="4" s="1"/>
  <c r="N78" i="4" s="1"/>
  <c r="N79" i="4" s="1"/>
  <c r="N80" i="4" s="1"/>
  <c r="N81" i="4" s="1"/>
  <c r="N82" i="4" s="1"/>
  <c r="N83" i="4" s="1"/>
  <c r="N84" i="4" s="1"/>
  <c r="N85" i="4" s="1"/>
  <c r="N86" i="4" s="1"/>
  <c r="N87" i="4" s="1"/>
  <c r="N88" i="4" s="1"/>
  <c r="N89" i="4" s="1"/>
  <c r="N90" i="4" s="1"/>
  <c r="N91" i="4" s="1"/>
  <c r="N92" i="4" s="1"/>
  <c r="N93" i="4" s="1"/>
  <c r="N94" i="4" s="1"/>
  <c r="N95" i="4" s="1"/>
  <c r="N96" i="4" s="1"/>
  <c r="N97" i="4" s="1"/>
  <c r="N98" i="4" s="1"/>
  <c r="N99" i="4" s="1"/>
  <c r="N100" i="4" s="1"/>
  <c r="N101" i="4" s="1"/>
  <c r="N102" i="4" s="1"/>
  <c r="N103" i="4" s="1"/>
  <c r="N104" i="4" s="1"/>
  <c r="N105" i="4" s="1"/>
  <c r="N106" i="4" s="1"/>
  <c r="N107" i="4" s="1"/>
  <c r="N108" i="4" s="1"/>
  <c r="N109" i="4" s="1"/>
  <c r="N110" i="4" s="1"/>
  <c r="N111" i="4" s="1"/>
  <c r="N112" i="4" s="1"/>
  <c r="N113" i="4" s="1"/>
  <c r="N114" i="4" s="1"/>
  <c r="N115" i="4" s="1"/>
  <c r="N116" i="4" s="1"/>
  <c r="N117" i="4" s="1"/>
  <c r="N118" i="4" s="1"/>
  <c r="N119" i="4" s="1"/>
  <c r="N120" i="4" s="1"/>
  <c r="N121" i="4" s="1"/>
  <c r="N122" i="4" s="1"/>
  <c r="N123" i="4" s="1"/>
  <c r="N124" i="4" s="1"/>
  <c r="N125" i="4" s="1"/>
  <c r="N126" i="4" s="1"/>
  <c r="N127" i="4" s="1"/>
  <c r="N128" i="4" s="1"/>
  <c r="N129" i="4" s="1"/>
  <c r="N130" i="4" s="1"/>
  <c r="N131" i="4" s="1"/>
  <c r="N132" i="4" s="1"/>
  <c r="N133" i="4" s="1"/>
  <c r="N134" i="4" s="1"/>
  <c r="N135" i="4" s="1"/>
  <c r="N136" i="4" s="1"/>
  <c r="N137" i="4" s="1"/>
  <c r="N138" i="4" s="1"/>
  <c r="N139" i="4" s="1"/>
  <c r="N140" i="4" s="1"/>
  <c r="N141" i="4" s="1"/>
  <c r="N142" i="4" s="1"/>
  <c r="N143" i="4" s="1"/>
  <c r="N144" i="4" s="1"/>
  <c r="N145" i="4" s="1"/>
  <c r="N146" i="4" s="1"/>
  <c r="N147" i="4" s="1"/>
  <c r="N148" i="4" s="1"/>
  <c r="N149" i="4" s="1"/>
  <c r="N150" i="4" s="1"/>
  <c r="N151" i="4" s="1"/>
  <c r="N152" i="4" s="1"/>
  <c r="N153" i="4" s="1"/>
  <c r="N154" i="4" s="1"/>
  <c r="N155" i="4" s="1"/>
  <c r="N156" i="4" s="1"/>
  <c r="N157" i="4" s="1"/>
  <c r="N158" i="4" s="1"/>
  <c r="N159" i="4" s="1"/>
  <c r="N160" i="4" s="1"/>
  <c r="N161" i="4" s="1"/>
  <c r="N162" i="4" s="1"/>
  <c r="N163" i="4" s="1"/>
  <c r="N164" i="4" s="1"/>
  <c r="N165" i="4" s="1"/>
  <c r="N166" i="4" s="1"/>
  <c r="N167" i="4" s="1"/>
  <c r="N168" i="4" s="1"/>
  <c r="N169" i="4" s="1"/>
  <c r="N170" i="4" s="1"/>
  <c r="N171" i="4" s="1"/>
  <c r="N172" i="4" s="1"/>
  <c r="N173" i="4" s="1"/>
  <c r="N174" i="4" s="1"/>
  <c r="N175" i="4" s="1"/>
  <c r="N176" i="4" s="1"/>
  <c r="N177" i="4" s="1"/>
  <c r="N178" i="4" s="1"/>
  <c r="N179" i="4" s="1"/>
  <c r="N180" i="4" s="1"/>
  <c r="N181" i="4" s="1"/>
  <c r="N182" i="4" s="1"/>
  <c r="N183" i="4" s="1"/>
  <c r="N184" i="4" s="1"/>
  <c r="N185" i="4" s="1"/>
  <c r="N186" i="4" s="1"/>
  <c r="N187" i="4" s="1"/>
  <c r="N188" i="4" s="1"/>
  <c r="N189" i="4" s="1"/>
  <c r="N190" i="4" s="1"/>
  <c r="N191" i="4" s="1"/>
  <c r="N192" i="4" s="1"/>
  <c r="N193" i="4" s="1"/>
  <c r="N194" i="4" s="1"/>
  <c r="N195" i="4" s="1"/>
  <c r="N196" i="4" s="1"/>
  <c r="N197" i="4" s="1"/>
  <c r="N198" i="4" s="1"/>
  <c r="N199" i="4" s="1"/>
  <c r="N200" i="4" s="1"/>
  <c r="N201" i="4" s="1"/>
  <c r="N202" i="4" s="1"/>
  <c r="N203" i="4" s="1"/>
  <c r="N204" i="4" s="1"/>
  <c r="N205" i="4" s="1"/>
  <c r="N206" i="4" s="1"/>
  <c r="N207" i="4" s="1"/>
  <c r="N208" i="4" s="1"/>
  <c r="N209" i="4" s="1"/>
  <c r="N210" i="4" s="1"/>
  <c r="N211" i="4" s="1"/>
  <c r="N212" i="4" s="1"/>
  <c r="N213" i="4" s="1"/>
  <c r="N214" i="4" s="1"/>
  <c r="N215" i="4" s="1"/>
  <c r="N216" i="4" s="1"/>
  <c r="N217" i="4" s="1"/>
  <c r="N218" i="4" s="1"/>
  <c r="N219" i="4" s="1"/>
  <c r="N220" i="4" s="1"/>
  <c r="N221" i="4" s="1"/>
  <c r="N222" i="4" s="1"/>
  <c r="N223" i="4" s="1"/>
  <c r="N224" i="4" s="1"/>
  <c r="N225" i="4" s="1"/>
  <c r="N226" i="4" s="1"/>
  <c r="N227" i="4" s="1"/>
  <c r="N228" i="4" s="1"/>
  <c r="N229" i="4" s="1"/>
  <c r="N230" i="4" s="1"/>
  <c r="N231" i="4" s="1"/>
  <c r="N232" i="4" s="1"/>
  <c r="N233" i="4" s="1"/>
  <c r="N234" i="4" s="1"/>
  <c r="N235" i="4" s="1"/>
  <c r="N236" i="4" s="1"/>
  <c r="N237" i="4" s="1"/>
  <c r="N238" i="4" s="1"/>
  <c r="N239" i="4" s="1"/>
  <c r="N240" i="4" s="1"/>
  <c r="N241" i="4" s="1"/>
  <c r="N242" i="4" s="1"/>
  <c r="N243" i="4" s="1"/>
  <c r="N244" i="4" s="1"/>
  <c r="N245" i="4" s="1"/>
  <c r="N246" i="4" s="1"/>
  <c r="N247" i="4" s="1"/>
  <c r="N248" i="4" s="1"/>
  <c r="N249" i="4" s="1"/>
  <c r="N250" i="4" s="1"/>
  <c r="N251" i="4" s="1"/>
  <c r="N252" i="4" s="1"/>
  <c r="N253" i="4" s="1"/>
  <c r="N254" i="4" s="1"/>
  <c r="N255" i="4" s="1"/>
  <c r="N256" i="4" s="1"/>
  <c r="N257" i="4" s="1"/>
  <c r="N258" i="4" s="1"/>
  <c r="N259" i="4" s="1"/>
  <c r="N260" i="4" s="1"/>
  <c r="N261" i="4" s="1"/>
  <c r="N262" i="4" s="1"/>
  <c r="N263" i="4" s="1"/>
  <c r="N264" i="4" s="1"/>
  <c r="N265" i="4" s="1"/>
  <c r="N266" i="4" s="1"/>
  <c r="N267" i="4" s="1"/>
  <c r="N268" i="4" s="1"/>
  <c r="N269" i="4" s="1"/>
  <c r="N270" i="4" s="1"/>
  <c r="N271" i="4" s="1"/>
  <c r="N272" i="4" s="1"/>
  <c r="N273" i="4" s="1"/>
  <c r="N274" i="4" s="1"/>
  <c r="N275" i="4" s="1"/>
  <c r="N276" i="4" s="1"/>
  <c r="N277" i="4" s="1"/>
  <c r="N278" i="4" s="1"/>
  <c r="N279" i="4" s="1"/>
  <c r="N280" i="4" s="1"/>
  <c r="N281" i="4" s="1"/>
  <c r="N282" i="4" s="1"/>
  <c r="N283" i="4" s="1"/>
  <c r="N284" i="4" s="1"/>
  <c r="N285" i="4" s="1"/>
  <c r="N286" i="4" s="1"/>
  <c r="N287" i="4" s="1"/>
  <c r="N288" i="4" s="1"/>
  <c r="N289" i="4" s="1"/>
  <c r="N290" i="4" s="1"/>
  <c r="N291" i="4" s="1"/>
  <c r="N292" i="4" s="1"/>
  <c r="N293" i="4" s="1"/>
  <c r="N294" i="4" s="1"/>
  <c r="N295" i="4" s="1"/>
  <c r="N296" i="4" s="1"/>
  <c r="N297" i="4" s="1"/>
  <c r="N298" i="4" s="1"/>
  <c r="N299" i="4" s="1"/>
  <c r="N300" i="4" s="1"/>
  <c r="N301" i="4" s="1"/>
  <c r="N302" i="4" s="1"/>
  <c r="N303" i="4" s="1"/>
  <c r="N304" i="4" s="1"/>
  <c r="N305" i="4" s="1"/>
  <c r="N306" i="4" s="1"/>
  <c r="N307" i="4" s="1"/>
  <c r="N308" i="4" s="1"/>
  <c r="N309" i="4" s="1"/>
  <c r="N310" i="4" s="1"/>
  <c r="N311" i="4" s="1"/>
  <c r="N312" i="4" s="1"/>
  <c r="N313" i="4" s="1"/>
  <c r="N314" i="4" s="1"/>
  <c r="N315" i="4" s="1"/>
  <c r="N316" i="4" s="1"/>
  <c r="N317" i="4" s="1"/>
  <c r="N318" i="4" s="1"/>
  <c r="N319" i="4" s="1"/>
  <c r="N320" i="4" s="1"/>
  <c r="N321" i="4" s="1"/>
  <c r="N322" i="4" s="1"/>
  <c r="N323" i="4" s="1"/>
  <c r="N324" i="4" s="1"/>
  <c r="N325" i="4" s="1"/>
  <c r="N326" i="4" s="1"/>
  <c r="N327" i="4" s="1"/>
  <c r="N328" i="4" s="1"/>
  <c r="N329" i="4" s="1"/>
  <c r="N330" i="4" s="1"/>
  <c r="N331" i="4" s="1"/>
  <c r="N332" i="4" s="1"/>
  <c r="N333" i="4" s="1"/>
  <c r="N334" i="4" s="1"/>
  <c r="N335" i="4" s="1"/>
  <c r="N336" i="4" s="1"/>
  <c r="N337" i="4" s="1"/>
  <c r="N338" i="4" s="1"/>
  <c r="N339" i="4" s="1"/>
  <c r="N340" i="4" s="1"/>
  <c r="N341" i="4" s="1"/>
  <c r="N342" i="4" s="1"/>
  <c r="N343" i="4" s="1"/>
  <c r="N344" i="4" s="1"/>
  <c r="N345" i="4" s="1"/>
  <c r="N346" i="4" s="1"/>
  <c r="N347" i="4" s="1"/>
  <c r="N348" i="4" s="1"/>
  <c r="N349" i="4" s="1"/>
  <c r="N350" i="4" s="1"/>
  <c r="N351" i="4" s="1"/>
  <c r="N352" i="4" s="1"/>
  <c r="N353" i="4" s="1"/>
  <c r="N354" i="4" s="1"/>
  <c r="N355" i="4" s="1"/>
  <c r="N356" i="4" s="1"/>
  <c r="N357" i="4" s="1"/>
  <c r="N358" i="4" s="1"/>
  <c r="N359" i="4" s="1"/>
  <c r="N360" i="4" s="1"/>
  <c r="N361" i="4" s="1"/>
  <c r="N362" i="4" s="1"/>
  <c r="N363" i="4" s="1"/>
  <c r="N364" i="4" s="1"/>
  <c r="N365" i="4" s="1"/>
  <c r="N366" i="4" s="1"/>
  <c r="N367" i="4" s="1"/>
  <c r="N368" i="4" s="1"/>
  <c r="N369" i="4" s="1"/>
  <c r="N370" i="4" s="1"/>
  <c r="N371" i="4" s="1"/>
  <c r="N372" i="4" s="1"/>
  <c r="N373" i="4" s="1"/>
  <c r="N374" i="4" s="1"/>
  <c r="N375" i="4" s="1"/>
  <c r="N376" i="4" s="1"/>
  <c r="N377" i="4" s="1"/>
  <c r="N378" i="4" s="1"/>
  <c r="N379" i="4" s="1"/>
  <c r="N380" i="4" s="1"/>
  <c r="N381" i="4" s="1"/>
  <c r="N382" i="4" s="1"/>
  <c r="N383" i="4" s="1"/>
  <c r="N384" i="4" s="1"/>
  <c r="N385" i="4" s="1"/>
  <c r="N386" i="4" s="1"/>
  <c r="N387" i="4" s="1"/>
  <c r="N388" i="4" s="1"/>
  <c r="N389" i="4" s="1"/>
  <c r="N390" i="4" s="1"/>
  <c r="N391" i="4" s="1"/>
  <c r="N392" i="4" s="1"/>
  <c r="N393" i="4" s="1"/>
  <c r="N394" i="4" s="1"/>
  <c r="N395" i="4" s="1"/>
  <c r="N396" i="4" s="1"/>
  <c r="N397" i="4" s="1"/>
  <c r="N398" i="4" s="1"/>
  <c r="N399" i="4" s="1"/>
  <c r="N400" i="4" s="1"/>
  <c r="N401" i="4" s="1"/>
  <c r="N402" i="4" s="1"/>
  <c r="N403" i="4" s="1"/>
  <c r="N404" i="4" s="1"/>
  <c r="N405" i="4" s="1"/>
  <c r="N406" i="4" s="1"/>
  <c r="N407" i="4" s="1"/>
  <c r="N408" i="4" s="1"/>
  <c r="N409" i="4" s="1"/>
  <c r="N410" i="4" s="1"/>
  <c r="N411" i="4" s="1"/>
  <c r="N412" i="4" s="1"/>
  <c r="N413" i="4" s="1"/>
  <c r="N414" i="4" s="1"/>
  <c r="N415" i="4" s="1"/>
  <c r="N416" i="4" s="1"/>
  <c r="N417" i="4" s="1"/>
  <c r="N418" i="4" s="1"/>
  <c r="N419" i="4" s="1"/>
  <c r="N420" i="4" s="1"/>
  <c r="N421" i="4" s="1"/>
  <c r="N422" i="4" s="1"/>
  <c r="N423" i="4" s="1"/>
  <c r="N424" i="4" s="1"/>
  <c r="N425" i="4" s="1"/>
  <c r="N426" i="4" s="1"/>
  <c r="N427" i="4" s="1"/>
  <c r="N428" i="4" s="1"/>
  <c r="N429" i="4" s="1"/>
  <c r="N430" i="4" s="1"/>
  <c r="N431" i="4" s="1"/>
  <c r="N432" i="4" s="1"/>
  <c r="N433" i="4" s="1"/>
  <c r="N434" i="4" s="1"/>
  <c r="N435" i="4" s="1"/>
  <c r="N436" i="4" s="1"/>
  <c r="N437" i="4" s="1"/>
  <c r="N438" i="4" s="1"/>
  <c r="N439" i="4" s="1"/>
  <c r="N440" i="4" s="1"/>
  <c r="N441" i="4" s="1"/>
  <c r="N442" i="4" s="1"/>
  <c r="N443" i="4" s="1"/>
  <c r="N444" i="4" s="1"/>
  <c r="N445" i="4" s="1"/>
  <c r="N446" i="4" s="1"/>
  <c r="N447" i="4" s="1"/>
  <c r="N448" i="4" s="1"/>
  <c r="N449" i="4" s="1"/>
  <c r="N450" i="4" s="1"/>
  <c r="N451" i="4" s="1"/>
  <c r="N452" i="4" s="1"/>
  <c r="N453" i="4" s="1"/>
  <c r="N454" i="4" s="1"/>
  <c r="N455" i="4" s="1"/>
  <c r="N456" i="4" s="1"/>
  <c r="N457" i="4" s="1"/>
  <c r="N458" i="4" s="1"/>
  <c r="N459" i="4" s="1"/>
  <c r="N460" i="4" s="1"/>
  <c r="N461" i="4" s="1"/>
  <c r="N462" i="4" s="1"/>
  <c r="N463" i="4" s="1"/>
  <c r="N464" i="4" s="1"/>
  <c r="N465" i="4" s="1"/>
  <c r="N466" i="4" s="1"/>
  <c r="N467" i="4" s="1"/>
  <c r="N468" i="4" s="1"/>
  <c r="N469" i="4" s="1"/>
  <c r="N470" i="4" s="1"/>
  <c r="N471" i="4" s="1"/>
  <c r="N472" i="4" s="1"/>
  <c r="N473" i="4" s="1"/>
  <c r="N474" i="4" s="1"/>
  <c r="N475" i="4" s="1"/>
  <c r="N476" i="4" s="1"/>
  <c r="N477" i="4" s="1"/>
  <c r="N478" i="4" s="1"/>
  <c r="N479" i="4" s="1"/>
  <c r="N480" i="4" s="1"/>
  <c r="N481" i="4" s="1"/>
  <c r="N482" i="4" s="1"/>
  <c r="N483" i="4" s="1"/>
  <c r="N484" i="4" s="1"/>
  <c r="N485" i="4" s="1"/>
  <c r="N486" i="4" s="1"/>
  <c r="N487" i="4" s="1"/>
  <c r="N488" i="4" s="1"/>
  <c r="N489" i="4" s="1"/>
  <c r="N490" i="4" s="1"/>
  <c r="N491" i="4" s="1"/>
  <c r="N492" i="4" s="1"/>
  <c r="N493" i="4" s="1"/>
  <c r="N494" i="4" s="1"/>
  <c r="N495" i="4" s="1"/>
  <c r="N496" i="4" s="1"/>
  <c r="N497" i="4" s="1"/>
  <c r="N498" i="4" s="1"/>
  <c r="N499" i="4" s="1"/>
  <c r="N500" i="4" s="1"/>
  <c r="N501" i="4" s="1"/>
  <c r="N502" i="4" s="1"/>
  <c r="N503" i="4" s="1"/>
  <c r="N504" i="4" s="1"/>
  <c r="N505" i="4" s="1"/>
  <c r="N506" i="4" s="1"/>
  <c r="N507" i="4" s="1"/>
  <c r="N508" i="4" s="1"/>
  <c r="N509" i="4" s="1"/>
  <c r="N510" i="4" s="1"/>
  <c r="N511" i="4" s="1"/>
  <c r="N512" i="4" s="1"/>
  <c r="N513" i="4" s="1"/>
  <c r="N514" i="4" s="1"/>
  <c r="N515" i="4" s="1"/>
  <c r="N516" i="4" s="1"/>
  <c r="N517" i="4" s="1"/>
  <c r="N518" i="4" s="1"/>
  <c r="N519" i="4" s="1"/>
  <c r="N520" i="4" s="1"/>
  <c r="N521" i="4" s="1"/>
  <c r="N522" i="4" s="1"/>
  <c r="N523" i="4" s="1"/>
  <c r="N524" i="4" s="1"/>
  <c r="N525" i="4" s="1"/>
  <c r="N526" i="4" s="1"/>
  <c r="N527" i="4" s="1"/>
  <c r="N528" i="4" s="1"/>
  <c r="N529" i="4" s="1"/>
  <c r="N530" i="4" s="1"/>
  <c r="N531" i="4" s="1"/>
  <c r="N532" i="4" s="1"/>
  <c r="N533" i="4" s="1"/>
  <c r="N534" i="4" s="1"/>
  <c r="N535" i="4" s="1"/>
  <c r="N536" i="4" s="1"/>
  <c r="N537" i="4" s="1"/>
  <c r="N538" i="4" s="1"/>
  <c r="N539" i="4" s="1"/>
  <c r="N540" i="4" s="1"/>
  <c r="N541" i="4" s="1"/>
  <c r="N542" i="4" s="1"/>
  <c r="N543" i="4" s="1"/>
  <c r="N544" i="4" s="1"/>
  <c r="N545" i="4" s="1"/>
  <c r="N546" i="4" s="1"/>
  <c r="N547" i="4" s="1"/>
  <c r="N548" i="4" s="1"/>
  <c r="N549" i="4" s="1"/>
  <c r="N550" i="4" s="1"/>
  <c r="N551" i="4" s="1"/>
  <c r="N552" i="4" s="1"/>
  <c r="N553" i="4" s="1"/>
  <c r="N554" i="4" s="1"/>
  <c r="N555" i="4" s="1"/>
  <c r="N556" i="4" s="1"/>
  <c r="N557" i="4" s="1"/>
  <c r="N558" i="4" s="1"/>
  <c r="N559" i="4" s="1"/>
  <c r="N560" i="4" s="1"/>
  <c r="N561" i="4" s="1"/>
  <c r="N562" i="4" s="1"/>
  <c r="N563" i="4" s="1"/>
  <c r="N564" i="4" s="1"/>
  <c r="N565" i="4" s="1"/>
  <c r="N566" i="4" s="1"/>
  <c r="N567" i="4" s="1"/>
  <c r="N568" i="4" s="1"/>
  <c r="N569" i="4" s="1"/>
  <c r="N570" i="4" s="1"/>
  <c r="N571" i="4" s="1"/>
  <c r="N572" i="4" s="1"/>
  <c r="N573" i="4" s="1"/>
  <c r="N574" i="4" s="1"/>
  <c r="N575" i="4" s="1"/>
  <c r="N576" i="4" s="1"/>
  <c r="N577" i="4" s="1"/>
  <c r="N578" i="4" s="1"/>
  <c r="N579" i="4" s="1"/>
  <c r="N580" i="4" s="1"/>
  <c r="N581" i="4" s="1"/>
  <c r="N582" i="4" s="1"/>
  <c r="N583" i="4" s="1"/>
  <c r="N584" i="4" s="1"/>
  <c r="N585" i="4" s="1"/>
  <c r="N586" i="4" s="1"/>
  <c r="N587" i="4" s="1"/>
  <c r="N588" i="4" s="1"/>
  <c r="N589" i="4" s="1"/>
  <c r="N590" i="4" s="1"/>
  <c r="N591" i="4" s="1"/>
  <c r="N592" i="4" s="1"/>
  <c r="N593" i="4" s="1"/>
  <c r="N594" i="4" s="1"/>
  <c r="N595" i="4" s="1"/>
  <c r="N596" i="4" s="1"/>
  <c r="N597" i="4" s="1"/>
  <c r="N598" i="4" s="1"/>
  <c r="N599" i="4" s="1"/>
  <c r="N600" i="4" s="1"/>
  <c r="N601" i="4" s="1"/>
  <c r="N602" i="4" s="1"/>
  <c r="N603" i="4" s="1"/>
  <c r="N604" i="4" s="1"/>
  <c r="N605" i="4" s="1"/>
  <c r="N606" i="4" s="1"/>
  <c r="N607" i="4" s="1"/>
  <c r="N608" i="4" s="1"/>
  <c r="N609" i="4" s="1"/>
  <c r="N610" i="4" s="1"/>
  <c r="N611" i="4" s="1"/>
  <c r="N612" i="4" s="1"/>
  <c r="N613" i="4" s="1"/>
  <c r="N614" i="4" s="1"/>
  <c r="N615" i="4" s="1"/>
  <c r="N616" i="4" s="1"/>
  <c r="N617" i="4" s="1"/>
  <c r="N618" i="4" s="1"/>
  <c r="N619" i="4" s="1"/>
  <c r="N620" i="4" s="1"/>
  <c r="N621" i="4" s="1"/>
  <c r="N622" i="4" s="1"/>
  <c r="N623" i="4" s="1"/>
  <c r="N624" i="4" s="1"/>
  <c r="N625" i="4" s="1"/>
  <c r="N626" i="4" s="1"/>
  <c r="N627" i="4" s="1"/>
  <c r="N628" i="4" s="1"/>
  <c r="N629" i="4" s="1"/>
  <c r="N630" i="4" s="1"/>
  <c r="N631" i="4" s="1"/>
  <c r="N632" i="4" s="1"/>
  <c r="N633" i="4" s="1"/>
  <c r="N634" i="4" s="1"/>
  <c r="N635" i="4" s="1"/>
  <c r="N636" i="4" s="1"/>
  <c r="N637" i="4" s="1"/>
  <c r="N638" i="4" s="1"/>
  <c r="N639" i="4" s="1"/>
  <c r="N640" i="4" s="1"/>
  <c r="N641" i="4" s="1"/>
  <c r="N642" i="4" s="1"/>
  <c r="N643" i="4" s="1"/>
  <c r="N644" i="4" s="1"/>
  <c r="N645" i="4" s="1"/>
  <c r="N646" i="4" s="1"/>
  <c r="N647" i="4" s="1"/>
  <c r="N648" i="4" s="1"/>
  <c r="N649" i="4" s="1"/>
  <c r="N650" i="4" s="1"/>
  <c r="N651" i="4" s="1"/>
  <c r="N652" i="4" s="1"/>
  <c r="N653" i="4" s="1"/>
  <c r="N654" i="4" s="1"/>
  <c r="N655" i="4" s="1"/>
  <c r="N656" i="4" s="1"/>
  <c r="N657" i="4" s="1"/>
  <c r="N658" i="4" s="1"/>
  <c r="N659" i="4" s="1"/>
  <c r="N660" i="4" s="1"/>
  <c r="N661" i="4" s="1"/>
  <c r="N662" i="4" s="1"/>
  <c r="N663" i="4" s="1"/>
  <c r="N664" i="4" s="1"/>
  <c r="N665" i="4" s="1"/>
  <c r="N666" i="4" s="1"/>
  <c r="N667" i="4" s="1"/>
  <c r="N668" i="4" s="1"/>
  <c r="N669" i="4" s="1"/>
  <c r="N670" i="4" s="1"/>
  <c r="N671" i="4" s="1"/>
  <c r="N672" i="4" s="1"/>
  <c r="N673" i="4" s="1"/>
  <c r="N674" i="4" s="1"/>
  <c r="N675" i="4" s="1"/>
  <c r="N676" i="4" s="1"/>
  <c r="N677" i="4" s="1"/>
  <c r="N678" i="4" s="1"/>
  <c r="N679" i="4" s="1"/>
  <c r="N680" i="4" s="1"/>
  <c r="N681" i="4" s="1"/>
  <c r="N682" i="4" s="1"/>
  <c r="N683" i="4" s="1"/>
  <c r="N684" i="4" s="1"/>
  <c r="N685" i="4" s="1"/>
  <c r="N686" i="4" s="1"/>
  <c r="N687" i="4" s="1"/>
  <c r="N688" i="4" s="1"/>
  <c r="N689" i="4" s="1"/>
  <c r="N690" i="4" s="1"/>
  <c r="N691" i="4" s="1"/>
  <c r="N692" i="4" s="1"/>
  <c r="N693" i="4" s="1"/>
  <c r="N694" i="4" s="1"/>
  <c r="N695" i="4" s="1"/>
  <c r="N696" i="4" s="1"/>
  <c r="N697" i="4" s="1"/>
  <c r="N698" i="4" s="1"/>
  <c r="N699" i="4" s="1"/>
  <c r="N700" i="4" s="1"/>
  <c r="N701" i="4" s="1"/>
  <c r="N702" i="4" s="1"/>
  <c r="N703" i="4" s="1"/>
  <c r="N704" i="4" s="1"/>
  <c r="N705" i="4" s="1"/>
  <c r="N706" i="4" s="1"/>
  <c r="N707" i="4" s="1"/>
  <c r="N708" i="4" s="1"/>
  <c r="N709" i="4" s="1"/>
  <c r="N710" i="4" s="1"/>
  <c r="N711" i="4" s="1"/>
  <c r="N712" i="4" s="1"/>
  <c r="N713" i="4" s="1"/>
  <c r="N714" i="4" s="1"/>
  <c r="N715" i="4" s="1"/>
  <c r="N716" i="4" s="1"/>
  <c r="N717" i="4" s="1"/>
  <c r="N718" i="4" s="1"/>
  <c r="N719" i="4" s="1"/>
  <c r="N720" i="4" s="1"/>
  <c r="N721" i="4" s="1"/>
  <c r="N722" i="4" s="1"/>
  <c r="N723" i="4" s="1"/>
  <c r="N724" i="4" s="1"/>
  <c r="N725" i="4" s="1"/>
  <c r="N726" i="4" s="1"/>
  <c r="N727" i="4" s="1"/>
  <c r="N728" i="4" s="1"/>
  <c r="N729" i="4" s="1"/>
  <c r="N730" i="4" s="1"/>
  <c r="N731" i="4" s="1"/>
  <c r="N732" i="4" s="1"/>
  <c r="N733" i="4" s="1"/>
  <c r="N734" i="4" s="1"/>
  <c r="N735" i="4" s="1"/>
  <c r="N736" i="4" s="1"/>
  <c r="N737" i="4" s="1"/>
  <c r="N738" i="4" s="1"/>
  <c r="N739" i="4" s="1"/>
  <c r="N740" i="4" s="1"/>
  <c r="N741" i="4" s="1"/>
  <c r="N742" i="4" s="1"/>
  <c r="N743" i="4" s="1"/>
  <c r="N744" i="4" s="1"/>
  <c r="N745" i="4" s="1"/>
  <c r="N746" i="4" s="1"/>
  <c r="N747" i="4" s="1"/>
  <c r="N748" i="4" s="1"/>
  <c r="N749" i="4" s="1"/>
  <c r="N750" i="4" s="1"/>
  <c r="N751" i="4" s="1"/>
  <c r="N752" i="4" s="1"/>
  <c r="N753" i="4" s="1"/>
  <c r="N754" i="4" s="1"/>
  <c r="N755" i="4" s="1"/>
  <c r="N756" i="4" s="1"/>
  <c r="N757" i="4" s="1"/>
  <c r="N758" i="4" s="1"/>
  <c r="N759" i="4" s="1"/>
  <c r="N760" i="4" s="1"/>
  <c r="N761" i="4" s="1"/>
  <c r="N762" i="4" s="1"/>
  <c r="N763" i="4" s="1"/>
  <c r="N764" i="4" s="1"/>
  <c r="N765" i="4" s="1"/>
  <c r="N766" i="4" s="1"/>
  <c r="N767" i="4" s="1"/>
  <c r="N768" i="4" s="1"/>
  <c r="N769" i="4" s="1"/>
  <c r="N770" i="4" s="1"/>
  <c r="N771" i="4" s="1"/>
  <c r="N772" i="4" s="1"/>
  <c r="N773" i="4" s="1"/>
  <c r="N774" i="4" s="1"/>
  <c r="N775" i="4" s="1"/>
  <c r="N776" i="4" s="1"/>
  <c r="N777" i="4" s="1"/>
  <c r="N778" i="4" s="1"/>
  <c r="N779" i="4" s="1"/>
  <c r="N780" i="4" s="1"/>
  <c r="N781" i="4" s="1"/>
  <c r="N782" i="4" s="1"/>
  <c r="N783" i="4" s="1"/>
  <c r="N784" i="4" s="1"/>
  <c r="N785" i="4" s="1"/>
  <c r="N786" i="4" s="1"/>
  <c r="N787" i="4" s="1"/>
  <c r="N788" i="4" s="1"/>
  <c r="N789" i="4" s="1"/>
  <c r="N790" i="4" s="1"/>
  <c r="N791" i="4" s="1"/>
  <c r="N792" i="4" s="1"/>
  <c r="N793" i="4" s="1"/>
  <c r="N794" i="4" s="1"/>
  <c r="N795" i="4" s="1"/>
  <c r="N796" i="4" s="1"/>
  <c r="N797" i="4" s="1"/>
  <c r="N798" i="4" s="1"/>
  <c r="N799" i="4" s="1"/>
  <c r="N800" i="4" s="1"/>
  <c r="N801" i="4" s="1"/>
  <c r="N802" i="4" s="1"/>
  <c r="N803" i="4" s="1"/>
  <c r="N804" i="4" s="1"/>
  <c r="N805" i="4" s="1"/>
  <c r="N806" i="4" s="1"/>
  <c r="N807" i="4" s="1"/>
  <c r="N808" i="4" s="1"/>
  <c r="N809" i="4" s="1"/>
  <c r="N810" i="4" s="1"/>
  <c r="N811" i="4" s="1"/>
  <c r="N812" i="4" s="1"/>
  <c r="N813" i="4" s="1"/>
  <c r="N814" i="4" s="1"/>
  <c r="N815" i="4" s="1"/>
  <c r="N816" i="4" s="1"/>
  <c r="N817" i="4" s="1"/>
  <c r="N818" i="4" s="1"/>
  <c r="N819" i="4" s="1"/>
  <c r="N820" i="4" s="1"/>
  <c r="N821" i="4" s="1"/>
  <c r="N822" i="4" s="1"/>
  <c r="N823" i="4" s="1"/>
  <c r="N824" i="4" s="1"/>
  <c r="N825" i="4" s="1"/>
  <c r="N826" i="4" s="1"/>
  <c r="N827" i="4" s="1"/>
  <c r="N828" i="4" s="1"/>
  <c r="N829" i="4" s="1"/>
  <c r="N830" i="4" s="1"/>
  <c r="N831" i="4" s="1"/>
  <c r="N832" i="4" s="1"/>
  <c r="N833" i="4" s="1"/>
  <c r="N834" i="4" s="1"/>
  <c r="N835" i="4" s="1"/>
  <c r="N836" i="4" s="1"/>
  <c r="N837" i="4" s="1"/>
  <c r="N838" i="4" s="1"/>
  <c r="N839" i="4" s="1"/>
  <c r="N840" i="4" s="1"/>
  <c r="N841" i="4" s="1"/>
  <c r="N842" i="4" s="1"/>
  <c r="N843" i="4" s="1"/>
  <c r="N844" i="4" s="1"/>
  <c r="N845" i="4" s="1"/>
  <c r="N846" i="4" s="1"/>
  <c r="N847" i="4" s="1"/>
  <c r="N848" i="4" s="1"/>
  <c r="N849" i="4" s="1"/>
  <c r="N850" i="4" s="1"/>
  <c r="N851" i="4" s="1"/>
  <c r="N852" i="4" s="1"/>
  <c r="N853" i="4" s="1"/>
  <c r="N854" i="4" s="1"/>
  <c r="N855" i="4" s="1"/>
  <c r="N856" i="4" s="1"/>
  <c r="N857" i="4" s="1"/>
  <c r="N858" i="4" s="1"/>
  <c r="N859" i="4" s="1"/>
  <c r="N860" i="4" s="1"/>
  <c r="N861" i="4" s="1"/>
  <c r="N862" i="4" s="1"/>
  <c r="C910" i="4"/>
  <c r="E28" i="3"/>
  <c r="F28" i="3"/>
  <c r="F29" i="3" s="1"/>
  <c r="F30" i="3" s="1"/>
  <c r="X28" i="3"/>
  <c r="B29" i="3"/>
  <c r="B30" i="3" s="1"/>
  <c r="B31" i="3" s="1"/>
  <c r="B32" i="3" s="1"/>
  <c r="B33" i="3" s="1"/>
  <c r="B34" i="3" s="1"/>
  <c r="B35" i="3" s="1"/>
  <c r="B36" i="3" s="1"/>
  <c r="B37" i="3" s="1"/>
  <c r="B38" i="3" s="1"/>
  <c r="B39" i="3" s="1"/>
  <c r="B40" i="3" s="1"/>
  <c r="B41" i="3" s="1"/>
  <c r="B42" i="3" s="1"/>
  <c r="B43" i="3" s="1"/>
  <c r="B44" i="3" s="1"/>
  <c r="B45" i="3" s="1"/>
  <c r="B46" i="3" s="1"/>
  <c r="B47" i="3" s="1"/>
  <c r="B48" i="3" s="1"/>
  <c r="B49" i="3" s="1"/>
  <c r="B50" i="3" s="1"/>
  <c r="B51" i="3" s="1"/>
  <c r="B52" i="3" s="1"/>
  <c r="B53" i="3" s="1"/>
  <c r="B54" i="3" s="1"/>
  <c r="B55" i="3" s="1"/>
  <c r="B56" i="3" s="1"/>
  <c r="B57" i="3" s="1"/>
  <c r="B58" i="3" s="1"/>
  <c r="B59" i="3" s="1"/>
  <c r="B60" i="3" s="1"/>
  <c r="B61" i="3" s="1"/>
  <c r="B62" i="3" s="1"/>
  <c r="B63" i="3" s="1"/>
  <c r="B64" i="3" s="1"/>
  <c r="B65" i="3" s="1"/>
  <c r="B66" i="3" s="1"/>
  <c r="B67" i="3" s="1"/>
  <c r="B68" i="3" s="1"/>
  <c r="B69" i="3" s="1"/>
  <c r="B70" i="3" s="1"/>
  <c r="B71" i="3" s="1"/>
  <c r="B72" i="3" s="1"/>
  <c r="B73" i="3" s="1"/>
  <c r="B74" i="3" s="1"/>
  <c r="B75" i="3" s="1"/>
  <c r="B76" i="3" s="1"/>
  <c r="B77" i="3" s="1"/>
  <c r="B78" i="3" s="1"/>
  <c r="B79" i="3" s="1"/>
  <c r="B80" i="3" s="1"/>
  <c r="B81" i="3" s="1"/>
  <c r="B82" i="3" s="1"/>
  <c r="B83" i="3" s="1"/>
  <c r="B84" i="3" s="1"/>
  <c r="B85" i="3" s="1"/>
  <c r="B86" i="3" s="1"/>
  <c r="B87" i="3" s="1"/>
  <c r="B88" i="3" s="1"/>
  <c r="B89" i="3" s="1"/>
  <c r="B90" i="3" s="1"/>
  <c r="B91" i="3" s="1"/>
  <c r="B92" i="3" s="1"/>
  <c r="B93" i="3" s="1"/>
  <c r="B94" i="3" s="1"/>
  <c r="B95" i="3" s="1"/>
  <c r="B96" i="3" s="1"/>
  <c r="B97" i="3" s="1"/>
  <c r="B98" i="3" s="1"/>
  <c r="B99" i="3" s="1"/>
  <c r="B100" i="3" s="1"/>
  <c r="B101" i="3" s="1"/>
  <c r="B102" i="3" s="1"/>
  <c r="B103" i="3" s="1"/>
  <c r="B104" i="3" s="1"/>
  <c r="B105" i="3" s="1"/>
  <c r="B106" i="3" s="1"/>
  <c r="B107" i="3" s="1"/>
  <c r="B108" i="3" s="1"/>
  <c r="B109" i="3" s="1"/>
  <c r="B110" i="3" s="1"/>
  <c r="B111" i="3" s="1"/>
  <c r="B112" i="3" s="1"/>
  <c r="B113" i="3" s="1"/>
  <c r="B114" i="3" s="1"/>
  <c r="B115" i="3" s="1"/>
  <c r="B116" i="3" s="1"/>
  <c r="B117" i="3" s="1"/>
  <c r="B118" i="3" s="1"/>
  <c r="B119" i="3" s="1"/>
  <c r="B120" i="3" s="1"/>
  <c r="B121" i="3" s="1"/>
  <c r="B122" i="3" s="1"/>
  <c r="B123" i="3" s="1"/>
  <c r="B124" i="3" s="1"/>
  <c r="B125" i="3" s="1"/>
  <c r="B126" i="3" s="1"/>
  <c r="B127" i="3" s="1"/>
  <c r="B128" i="3" s="1"/>
  <c r="B129" i="3" s="1"/>
  <c r="B130" i="3" s="1"/>
  <c r="B131" i="3" s="1"/>
  <c r="B132" i="3" s="1"/>
  <c r="B133" i="3" s="1"/>
  <c r="B134" i="3" s="1"/>
  <c r="B135" i="3" s="1"/>
  <c r="B136" i="3" s="1"/>
  <c r="B137" i="3" s="1"/>
  <c r="B138" i="3" s="1"/>
  <c r="B139" i="3" s="1"/>
  <c r="B140" i="3" s="1"/>
  <c r="B141" i="3" s="1"/>
  <c r="B142" i="3" s="1"/>
  <c r="B143" i="3" s="1"/>
  <c r="B144" i="3" s="1"/>
  <c r="B145" i="3" s="1"/>
  <c r="B146" i="3" s="1"/>
  <c r="B147" i="3" s="1"/>
  <c r="B148" i="3" s="1"/>
  <c r="B149" i="3" s="1"/>
  <c r="B150" i="3" s="1"/>
  <c r="B151" i="3" s="1"/>
  <c r="B152" i="3" s="1"/>
  <c r="B153" i="3" s="1"/>
  <c r="B154" i="3" s="1"/>
  <c r="B155" i="3" s="1"/>
  <c r="B156" i="3" s="1"/>
  <c r="B157" i="3" s="1"/>
  <c r="B158" i="3" s="1"/>
  <c r="B159" i="3" s="1"/>
  <c r="B160" i="3" s="1"/>
  <c r="B161" i="3" s="1"/>
  <c r="B162" i="3" s="1"/>
  <c r="B163" i="3" s="1"/>
  <c r="B164" i="3" s="1"/>
  <c r="B165" i="3" s="1"/>
  <c r="B166" i="3" s="1"/>
  <c r="B167" i="3" s="1"/>
  <c r="B168" i="3" s="1"/>
  <c r="B169" i="3" s="1"/>
  <c r="B170" i="3" s="1"/>
  <c r="B171" i="3" s="1"/>
  <c r="B172" i="3" s="1"/>
  <c r="B173" i="3" s="1"/>
  <c r="B174" i="3" s="1"/>
  <c r="B175" i="3" s="1"/>
  <c r="B176" i="3" s="1"/>
  <c r="B177" i="3" s="1"/>
  <c r="B178" i="3" s="1"/>
  <c r="B179" i="3" s="1"/>
  <c r="B180" i="3" s="1"/>
  <c r="B181" i="3" s="1"/>
  <c r="B182" i="3" s="1"/>
  <c r="B183" i="3" s="1"/>
  <c r="B184" i="3" s="1"/>
  <c r="B185" i="3" s="1"/>
  <c r="B186" i="3" s="1"/>
  <c r="B187" i="3" s="1"/>
  <c r="B188" i="3" s="1"/>
  <c r="B189" i="3" s="1"/>
  <c r="B190" i="3" s="1"/>
  <c r="B191" i="3" s="1"/>
  <c r="B192" i="3" s="1"/>
  <c r="B193" i="3" s="1"/>
  <c r="B194" i="3" s="1"/>
  <c r="B195" i="3" s="1"/>
  <c r="B196" i="3" s="1"/>
  <c r="B197" i="3" s="1"/>
  <c r="B198" i="3" s="1"/>
  <c r="B199" i="3" s="1"/>
  <c r="B200" i="3" s="1"/>
  <c r="B201" i="3" s="1"/>
  <c r="B202" i="3" s="1"/>
  <c r="B203" i="3" s="1"/>
  <c r="B204" i="3" s="1"/>
  <c r="B205" i="3" s="1"/>
  <c r="B206" i="3" s="1"/>
  <c r="B207" i="3" s="1"/>
  <c r="B208" i="3" s="1"/>
  <c r="B209" i="3" s="1"/>
  <c r="B210" i="3" s="1"/>
  <c r="B211" i="3" s="1"/>
  <c r="B212" i="3" s="1"/>
  <c r="B213" i="3" s="1"/>
  <c r="B214" i="3" s="1"/>
  <c r="B215" i="3" s="1"/>
  <c r="B216" i="3" s="1"/>
  <c r="B217" i="3" s="1"/>
  <c r="B218" i="3" s="1"/>
  <c r="B219" i="3" s="1"/>
  <c r="B220" i="3" s="1"/>
  <c r="B221" i="3" s="1"/>
  <c r="B222" i="3" s="1"/>
  <c r="B223" i="3" s="1"/>
  <c r="B224" i="3" s="1"/>
  <c r="B225" i="3" s="1"/>
  <c r="B226" i="3" s="1"/>
  <c r="B227" i="3" s="1"/>
  <c r="B228" i="3" s="1"/>
  <c r="B229" i="3" s="1"/>
  <c r="B230" i="3" s="1"/>
  <c r="B231" i="3" s="1"/>
  <c r="B232" i="3" s="1"/>
  <c r="B233" i="3" s="1"/>
  <c r="B234" i="3" s="1"/>
  <c r="B235" i="3" s="1"/>
  <c r="B236" i="3" s="1"/>
  <c r="B237" i="3" s="1"/>
  <c r="B238" i="3" s="1"/>
  <c r="B239" i="3" s="1"/>
  <c r="B240" i="3" s="1"/>
  <c r="B241" i="3" s="1"/>
  <c r="B242" i="3" s="1"/>
  <c r="B243" i="3" s="1"/>
  <c r="B244" i="3" s="1"/>
  <c r="B245" i="3" s="1"/>
  <c r="B246" i="3" s="1"/>
  <c r="B247" i="3" s="1"/>
  <c r="B248" i="3" s="1"/>
  <c r="B249" i="3" s="1"/>
  <c r="B250" i="3" s="1"/>
  <c r="B251" i="3" s="1"/>
  <c r="B252" i="3" s="1"/>
  <c r="B253" i="3" s="1"/>
  <c r="B254" i="3" s="1"/>
  <c r="B255" i="3" s="1"/>
  <c r="B256" i="3" s="1"/>
  <c r="B257" i="3" s="1"/>
  <c r="B258" i="3" s="1"/>
  <c r="B259" i="3" s="1"/>
  <c r="B260" i="3" s="1"/>
  <c r="B261" i="3" s="1"/>
  <c r="B262" i="3" s="1"/>
  <c r="B263" i="3" s="1"/>
  <c r="B264" i="3" s="1"/>
  <c r="B265" i="3" s="1"/>
  <c r="B266" i="3" s="1"/>
  <c r="B267" i="3" s="1"/>
  <c r="B268" i="3" s="1"/>
  <c r="B269" i="3" s="1"/>
  <c r="B270" i="3" s="1"/>
  <c r="B271" i="3" s="1"/>
  <c r="B272" i="3" s="1"/>
  <c r="B273" i="3" s="1"/>
  <c r="B274" i="3" s="1"/>
  <c r="B275" i="3" s="1"/>
  <c r="B276" i="3" s="1"/>
  <c r="B277" i="3" s="1"/>
  <c r="B278" i="3" s="1"/>
  <c r="B279" i="3" s="1"/>
  <c r="B280" i="3" s="1"/>
  <c r="B281" i="3" s="1"/>
  <c r="B282" i="3" s="1"/>
  <c r="B283" i="3" s="1"/>
  <c r="B284" i="3" s="1"/>
  <c r="B285" i="3" s="1"/>
  <c r="B286" i="3" s="1"/>
  <c r="B287" i="3" s="1"/>
  <c r="B288" i="3" s="1"/>
  <c r="B289" i="3" s="1"/>
  <c r="B290" i="3" s="1"/>
  <c r="B291" i="3" s="1"/>
  <c r="B292" i="3" s="1"/>
  <c r="B293" i="3" s="1"/>
  <c r="B294" i="3" s="1"/>
  <c r="B295" i="3" s="1"/>
  <c r="B296" i="3" s="1"/>
  <c r="B297" i="3" s="1"/>
  <c r="B298" i="3" s="1"/>
  <c r="B299" i="3" s="1"/>
  <c r="B300" i="3" s="1"/>
  <c r="B301" i="3" s="1"/>
  <c r="B302" i="3" s="1"/>
  <c r="B303" i="3" s="1"/>
  <c r="B304" i="3" s="1"/>
  <c r="B305" i="3" s="1"/>
  <c r="B306" i="3" s="1"/>
  <c r="B307" i="3" s="1"/>
  <c r="B308" i="3" s="1"/>
  <c r="B309" i="3" s="1"/>
  <c r="B310" i="3" s="1"/>
  <c r="B311" i="3" s="1"/>
  <c r="B312" i="3" s="1"/>
  <c r="B313" i="3" s="1"/>
  <c r="B314" i="3" s="1"/>
  <c r="B315" i="3" s="1"/>
  <c r="B316" i="3" s="1"/>
  <c r="B317" i="3" s="1"/>
  <c r="B318" i="3" s="1"/>
  <c r="B319" i="3" s="1"/>
  <c r="B320" i="3" s="1"/>
  <c r="B321" i="3" s="1"/>
  <c r="B322" i="3" s="1"/>
  <c r="B323" i="3" s="1"/>
  <c r="B324" i="3" s="1"/>
  <c r="B325" i="3" s="1"/>
  <c r="B326" i="3" s="1"/>
  <c r="B327" i="3" s="1"/>
  <c r="B328" i="3" s="1"/>
  <c r="B329" i="3" s="1"/>
  <c r="B330" i="3" s="1"/>
  <c r="B331" i="3" s="1"/>
  <c r="B332" i="3" s="1"/>
  <c r="B333" i="3" s="1"/>
  <c r="B334" i="3" s="1"/>
  <c r="B335" i="3" s="1"/>
  <c r="B336" i="3" s="1"/>
  <c r="B337" i="3" s="1"/>
  <c r="B338" i="3" s="1"/>
  <c r="B339" i="3" s="1"/>
  <c r="B340" i="3" s="1"/>
  <c r="B341" i="3" s="1"/>
  <c r="B342" i="3" s="1"/>
  <c r="B343" i="3" s="1"/>
  <c r="B344" i="3" s="1"/>
  <c r="B345" i="3" s="1"/>
  <c r="B346" i="3" s="1"/>
  <c r="B347" i="3" s="1"/>
  <c r="B348" i="3" s="1"/>
  <c r="B349" i="3" s="1"/>
  <c r="B350" i="3" s="1"/>
  <c r="B351" i="3" s="1"/>
  <c r="B352" i="3" s="1"/>
  <c r="B353" i="3" s="1"/>
  <c r="B354" i="3" s="1"/>
  <c r="B355" i="3" s="1"/>
  <c r="B356" i="3" s="1"/>
  <c r="B357" i="3" s="1"/>
  <c r="B358" i="3" s="1"/>
  <c r="B359" i="3" s="1"/>
  <c r="B360" i="3" s="1"/>
  <c r="B361" i="3" s="1"/>
  <c r="B362" i="3" s="1"/>
  <c r="B363" i="3" s="1"/>
  <c r="B364" i="3" s="1"/>
  <c r="B365" i="3" s="1"/>
  <c r="B366" i="3" s="1"/>
  <c r="B367" i="3" s="1"/>
  <c r="B368" i="3" s="1"/>
  <c r="B369" i="3" s="1"/>
  <c r="B370" i="3" s="1"/>
  <c r="B371" i="3" s="1"/>
  <c r="B372" i="3" s="1"/>
  <c r="B373" i="3" s="1"/>
  <c r="B374" i="3" s="1"/>
  <c r="B375" i="3" s="1"/>
  <c r="B376" i="3" s="1"/>
  <c r="B377" i="3" s="1"/>
  <c r="B378" i="3" s="1"/>
  <c r="B379" i="3" s="1"/>
  <c r="B380" i="3" s="1"/>
  <c r="B381" i="3" s="1"/>
  <c r="B382" i="3" s="1"/>
  <c r="B383" i="3" s="1"/>
  <c r="B384" i="3" s="1"/>
  <c r="B385" i="3" s="1"/>
  <c r="B386" i="3" s="1"/>
  <c r="B387" i="3" s="1"/>
  <c r="B388" i="3" s="1"/>
  <c r="B389" i="3" s="1"/>
  <c r="B390" i="3" s="1"/>
  <c r="B391" i="3" s="1"/>
  <c r="B392" i="3" s="1"/>
  <c r="B393" i="3" s="1"/>
  <c r="B394" i="3" s="1"/>
  <c r="B395" i="3" s="1"/>
  <c r="B396" i="3" s="1"/>
  <c r="B397" i="3" s="1"/>
  <c r="B398" i="3" s="1"/>
  <c r="B399" i="3" s="1"/>
  <c r="B400" i="3" s="1"/>
  <c r="B401" i="3" s="1"/>
  <c r="B402" i="3" s="1"/>
  <c r="B403" i="3" s="1"/>
  <c r="B404" i="3" s="1"/>
  <c r="B405" i="3" s="1"/>
  <c r="B406" i="3" s="1"/>
  <c r="B407" i="3" s="1"/>
  <c r="B408" i="3" s="1"/>
  <c r="B409" i="3" s="1"/>
  <c r="B410" i="3" s="1"/>
  <c r="B411" i="3" s="1"/>
  <c r="B412" i="3" s="1"/>
  <c r="B413" i="3" s="1"/>
  <c r="B414" i="3" s="1"/>
  <c r="B415" i="3" s="1"/>
  <c r="B416" i="3" s="1"/>
  <c r="B417" i="3" s="1"/>
  <c r="B418" i="3" s="1"/>
  <c r="B419" i="3" s="1"/>
  <c r="B420" i="3" s="1"/>
  <c r="B421" i="3" s="1"/>
  <c r="B422" i="3" s="1"/>
  <c r="B423" i="3" s="1"/>
  <c r="B424" i="3" s="1"/>
  <c r="B425" i="3" s="1"/>
  <c r="B426" i="3" s="1"/>
  <c r="B427" i="3" s="1"/>
  <c r="B428" i="3" s="1"/>
  <c r="B429" i="3" s="1"/>
  <c r="B430" i="3" s="1"/>
  <c r="B431" i="3" s="1"/>
  <c r="B432" i="3" s="1"/>
  <c r="B433" i="3" s="1"/>
  <c r="B434" i="3" s="1"/>
  <c r="B435" i="3" s="1"/>
  <c r="B436" i="3" s="1"/>
  <c r="B437" i="3" s="1"/>
  <c r="B438" i="3" s="1"/>
  <c r="B439" i="3" s="1"/>
  <c r="B440" i="3" s="1"/>
  <c r="B441" i="3" s="1"/>
  <c r="B442" i="3" s="1"/>
  <c r="B443" i="3" s="1"/>
  <c r="B444" i="3" s="1"/>
  <c r="B445" i="3" s="1"/>
  <c r="B446" i="3" s="1"/>
  <c r="B447" i="3" s="1"/>
  <c r="B448" i="3" s="1"/>
  <c r="B449" i="3" s="1"/>
  <c r="B450" i="3" s="1"/>
  <c r="B451" i="3" s="1"/>
  <c r="B452" i="3" s="1"/>
  <c r="B453" i="3" s="1"/>
  <c r="B454" i="3" s="1"/>
  <c r="B455" i="3" s="1"/>
  <c r="B456" i="3" s="1"/>
  <c r="B457" i="3" s="1"/>
  <c r="B458" i="3" s="1"/>
  <c r="B459" i="3" s="1"/>
  <c r="B460" i="3" s="1"/>
  <c r="B461" i="3" s="1"/>
  <c r="B462" i="3" s="1"/>
  <c r="B463" i="3" s="1"/>
  <c r="B464" i="3" s="1"/>
  <c r="B465" i="3" s="1"/>
  <c r="B466" i="3" s="1"/>
  <c r="B467" i="3" s="1"/>
  <c r="B468" i="3" s="1"/>
  <c r="B469" i="3" s="1"/>
  <c r="B470" i="3" s="1"/>
  <c r="B471" i="3" s="1"/>
  <c r="B472" i="3" s="1"/>
  <c r="B473" i="3" s="1"/>
  <c r="B474" i="3" s="1"/>
  <c r="B475" i="3" s="1"/>
  <c r="B476" i="3" s="1"/>
  <c r="B477" i="3" s="1"/>
  <c r="B478" i="3" s="1"/>
  <c r="B479" i="3" s="1"/>
  <c r="B480" i="3" s="1"/>
  <c r="B481" i="3" s="1"/>
  <c r="B482" i="3" s="1"/>
  <c r="B483" i="3" s="1"/>
  <c r="B484" i="3" s="1"/>
  <c r="B485" i="3" s="1"/>
  <c r="B486" i="3" s="1"/>
  <c r="B487" i="3" s="1"/>
  <c r="B488" i="3" s="1"/>
  <c r="B489" i="3" s="1"/>
  <c r="B490" i="3" s="1"/>
  <c r="B491" i="3" s="1"/>
  <c r="B492" i="3" s="1"/>
  <c r="B493" i="3" s="1"/>
  <c r="B494" i="3" s="1"/>
  <c r="B495" i="3" s="1"/>
  <c r="B496" i="3" s="1"/>
  <c r="B497" i="3" s="1"/>
  <c r="B498" i="3" s="1"/>
  <c r="B499" i="3" s="1"/>
  <c r="B500" i="3" s="1"/>
  <c r="B501" i="3" s="1"/>
  <c r="B502" i="3" s="1"/>
  <c r="B503" i="3" s="1"/>
  <c r="B504" i="3" s="1"/>
  <c r="B505" i="3" s="1"/>
  <c r="B506" i="3" s="1"/>
  <c r="B507" i="3" s="1"/>
  <c r="B508" i="3" s="1"/>
  <c r="B509" i="3" s="1"/>
  <c r="B510" i="3" s="1"/>
  <c r="B511" i="3" s="1"/>
  <c r="B512" i="3" s="1"/>
  <c r="B513" i="3" s="1"/>
  <c r="B514" i="3" s="1"/>
  <c r="B515" i="3" s="1"/>
  <c r="B516" i="3" s="1"/>
  <c r="B517" i="3" s="1"/>
  <c r="B518" i="3" s="1"/>
  <c r="B519" i="3" s="1"/>
  <c r="B520" i="3" s="1"/>
  <c r="B521" i="3" s="1"/>
  <c r="B522" i="3" s="1"/>
  <c r="B523" i="3" s="1"/>
  <c r="B524" i="3" s="1"/>
  <c r="B525" i="3" s="1"/>
  <c r="B526" i="3" s="1"/>
  <c r="B527" i="3" s="1"/>
  <c r="B528" i="3" s="1"/>
  <c r="B529" i="3" s="1"/>
  <c r="B530" i="3" s="1"/>
  <c r="B531" i="3" s="1"/>
  <c r="B532" i="3" s="1"/>
  <c r="B533" i="3" s="1"/>
  <c r="B534" i="3" s="1"/>
  <c r="B535" i="3" s="1"/>
  <c r="B536" i="3" s="1"/>
  <c r="B537" i="3" s="1"/>
  <c r="B538" i="3" s="1"/>
  <c r="B539" i="3" s="1"/>
  <c r="B540" i="3" s="1"/>
  <c r="B541" i="3" s="1"/>
  <c r="B542" i="3" s="1"/>
  <c r="B543" i="3" s="1"/>
  <c r="B544" i="3" s="1"/>
  <c r="B545" i="3" s="1"/>
  <c r="B546" i="3" s="1"/>
  <c r="B547" i="3" s="1"/>
  <c r="B548" i="3" s="1"/>
  <c r="B549" i="3" s="1"/>
  <c r="B550" i="3" s="1"/>
  <c r="B551" i="3" s="1"/>
  <c r="B552" i="3" s="1"/>
  <c r="B553" i="3" s="1"/>
  <c r="B554" i="3" s="1"/>
  <c r="B555" i="3" s="1"/>
  <c r="B556" i="3" s="1"/>
  <c r="B557" i="3" s="1"/>
  <c r="B558" i="3" s="1"/>
  <c r="B559" i="3" s="1"/>
  <c r="B560" i="3" s="1"/>
  <c r="B561" i="3" s="1"/>
  <c r="B562" i="3" s="1"/>
  <c r="B563" i="3" s="1"/>
  <c r="B564" i="3" s="1"/>
  <c r="B565" i="3" s="1"/>
  <c r="B566" i="3" s="1"/>
  <c r="B567" i="3" s="1"/>
  <c r="B568" i="3" s="1"/>
  <c r="B569" i="3" s="1"/>
  <c r="B570" i="3" s="1"/>
  <c r="B571" i="3" s="1"/>
  <c r="B572" i="3" s="1"/>
  <c r="B573" i="3" s="1"/>
  <c r="B574" i="3" s="1"/>
  <c r="B575" i="3" s="1"/>
  <c r="B576" i="3" s="1"/>
  <c r="B577" i="3" s="1"/>
  <c r="B578" i="3" s="1"/>
  <c r="B579" i="3" s="1"/>
  <c r="B580" i="3" s="1"/>
  <c r="B581" i="3" s="1"/>
  <c r="B582" i="3" s="1"/>
  <c r="B583" i="3" s="1"/>
  <c r="B584" i="3" s="1"/>
  <c r="B585" i="3" s="1"/>
  <c r="B586" i="3" s="1"/>
  <c r="B587" i="3" s="1"/>
  <c r="B588" i="3" s="1"/>
  <c r="B589" i="3" s="1"/>
  <c r="B590" i="3" s="1"/>
  <c r="B591" i="3" s="1"/>
  <c r="B592" i="3" s="1"/>
  <c r="B593" i="3" s="1"/>
  <c r="B594" i="3" s="1"/>
  <c r="B595" i="3" s="1"/>
  <c r="B596" i="3" s="1"/>
  <c r="B597" i="3" s="1"/>
  <c r="B598" i="3" s="1"/>
  <c r="B599" i="3" s="1"/>
  <c r="B600" i="3" s="1"/>
  <c r="B601" i="3" s="1"/>
  <c r="B602" i="3" s="1"/>
  <c r="B603" i="3" s="1"/>
  <c r="B604" i="3" s="1"/>
  <c r="B605" i="3" s="1"/>
  <c r="B606" i="3" s="1"/>
  <c r="B607" i="3" s="1"/>
  <c r="B608" i="3" s="1"/>
  <c r="B609" i="3" s="1"/>
  <c r="B610" i="3" s="1"/>
  <c r="B611" i="3" s="1"/>
  <c r="B612" i="3" s="1"/>
  <c r="B613" i="3" s="1"/>
  <c r="B614" i="3" s="1"/>
  <c r="B615" i="3" s="1"/>
  <c r="B616" i="3" s="1"/>
  <c r="B617" i="3" s="1"/>
  <c r="B618" i="3" s="1"/>
  <c r="B619" i="3" s="1"/>
  <c r="B620" i="3" s="1"/>
  <c r="B621" i="3" s="1"/>
  <c r="B622" i="3" s="1"/>
  <c r="B623" i="3" s="1"/>
  <c r="B624" i="3" s="1"/>
  <c r="B625" i="3" s="1"/>
  <c r="B626" i="3" s="1"/>
  <c r="B627" i="3" s="1"/>
  <c r="B628" i="3" s="1"/>
  <c r="B629" i="3" s="1"/>
  <c r="B630" i="3" s="1"/>
  <c r="B631" i="3" s="1"/>
  <c r="B632" i="3" s="1"/>
  <c r="B633" i="3" s="1"/>
  <c r="B634" i="3" s="1"/>
  <c r="B635" i="3" s="1"/>
  <c r="B636" i="3" s="1"/>
  <c r="B637" i="3" s="1"/>
  <c r="B638" i="3" s="1"/>
  <c r="B639" i="3" s="1"/>
  <c r="B640" i="3" s="1"/>
  <c r="B641" i="3" s="1"/>
  <c r="B642" i="3" s="1"/>
  <c r="B643" i="3" s="1"/>
  <c r="B644" i="3" s="1"/>
  <c r="B645" i="3" s="1"/>
  <c r="B646" i="3" s="1"/>
  <c r="B647" i="3" s="1"/>
  <c r="B648" i="3" s="1"/>
  <c r="B649" i="3" s="1"/>
  <c r="B650" i="3" s="1"/>
  <c r="B651" i="3" s="1"/>
  <c r="B652" i="3" s="1"/>
  <c r="B653" i="3" s="1"/>
  <c r="B654" i="3" s="1"/>
  <c r="B655" i="3" s="1"/>
  <c r="B656" i="3" s="1"/>
  <c r="B657" i="3" s="1"/>
  <c r="B658" i="3" s="1"/>
  <c r="B659" i="3" s="1"/>
  <c r="B660" i="3" s="1"/>
  <c r="B661" i="3" s="1"/>
  <c r="B662" i="3" s="1"/>
  <c r="B663" i="3" s="1"/>
  <c r="B664" i="3" s="1"/>
  <c r="B665" i="3" s="1"/>
  <c r="B666" i="3" s="1"/>
  <c r="B667" i="3" s="1"/>
  <c r="B668" i="3" s="1"/>
  <c r="B669" i="3" s="1"/>
  <c r="B670" i="3" s="1"/>
  <c r="B671" i="3" s="1"/>
  <c r="B672" i="3" s="1"/>
  <c r="B673" i="3" s="1"/>
  <c r="B674" i="3" s="1"/>
  <c r="B675" i="3" s="1"/>
  <c r="B676" i="3" s="1"/>
  <c r="B677" i="3" s="1"/>
  <c r="B678" i="3" s="1"/>
  <c r="B679" i="3" s="1"/>
  <c r="B680" i="3" s="1"/>
  <c r="B681" i="3" s="1"/>
  <c r="B682" i="3" s="1"/>
  <c r="B683" i="3" s="1"/>
  <c r="B684" i="3" s="1"/>
  <c r="B685" i="3" s="1"/>
  <c r="B686" i="3" s="1"/>
  <c r="B687" i="3" s="1"/>
  <c r="B688" i="3" s="1"/>
  <c r="B689" i="3" s="1"/>
  <c r="B690" i="3" s="1"/>
  <c r="B691" i="3" s="1"/>
  <c r="B692" i="3" s="1"/>
  <c r="B693" i="3" s="1"/>
  <c r="B694" i="3" s="1"/>
  <c r="B695" i="3" s="1"/>
  <c r="B696" i="3" s="1"/>
  <c r="B697" i="3" s="1"/>
  <c r="B698" i="3" s="1"/>
  <c r="B699" i="3" s="1"/>
  <c r="B700" i="3" s="1"/>
  <c r="B701" i="3" s="1"/>
  <c r="B702" i="3" s="1"/>
  <c r="B703" i="3" s="1"/>
  <c r="B704" i="3" s="1"/>
  <c r="B705" i="3" s="1"/>
  <c r="B706" i="3" s="1"/>
  <c r="B707" i="3" s="1"/>
  <c r="B708" i="3" s="1"/>
  <c r="B709" i="3" s="1"/>
  <c r="B710" i="3" s="1"/>
  <c r="B711" i="3" s="1"/>
  <c r="B712" i="3" s="1"/>
  <c r="B713" i="3" s="1"/>
  <c r="B714" i="3" s="1"/>
  <c r="B715" i="3" s="1"/>
  <c r="B716" i="3" s="1"/>
  <c r="B717" i="3" s="1"/>
  <c r="B718" i="3" s="1"/>
  <c r="B719" i="3" s="1"/>
  <c r="B720" i="3" s="1"/>
  <c r="B721" i="3" s="1"/>
  <c r="B722" i="3" s="1"/>
  <c r="B723" i="3" s="1"/>
  <c r="B724" i="3" s="1"/>
  <c r="B725" i="3" s="1"/>
  <c r="B726" i="3" s="1"/>
  <c r="B727" i="3" s="1"/>
  <c r="B728" i="3" s="1"/>
  <c r="B729" i="3" s="1"/>
  <c r="B730" i="3" s="1"/>
  <c r="B731" i="3" s="1"/>
  <c r="B732" i="3" s="1"/>
  <c r="B733" i="3" s="1"/>
  <c r="B734" i="3" s="1"/>
  <c r="B735" i="3" s="1"/>
  <c r="B736" i="3" s="1"/>
  <c r="B737" i="3" s="1"/>
  <c r="B738" i="3" s="1"/>
  <c r="B739" i="3" s="1"/>
  <c r="B740" i="3" s="1"/>
  <c r="B741" i="3" s="1"/>
  <c r="B742" i="3" s="1"/>
  <c r="B743" i="3" s="1"/>
  <c r="B744" i="3" s="1"/>
  <c r="B745" i="3" s="1"/>
  <c r="B746" i="3" s="1"/>
  <c r="B747" i="3" s="1"/>
  <c r="B748" i="3" s="1"/>
  <c r="B749" i="3" s="1"/>
  <c r="B750" i="3" s="1"/>
  <c r="B751" i="3" s="1"/>
  <c r="B752" i="3" s="1"/>
  <c r="B753" i="3" s="1"/>
  <c r="B754" i="3" s="1"/>
  <c r="B755" i="3" s="1"/>
  <c r="B756" i="3" s="1"/>
  <c r="B757" i="3" s="1"/>
  <c r="B758" i="3" s="1"/>
  <c r="B759" i="3" s="1"/>
  <c r="B760" i="3" s="1"/>
  <c r="B761" i="3" s="1"/>
  <c r="B762" i="3" s="1"/>
  <c r="B763" i="3" s="1"/>
  <c r="B764" i="3" s="1"/>
  <c r="B765" i="3" s="1"/>
  <c r="B766" i="3" s="1"/>
  <c r="B767" i="3" s="1"/>
  <c r="B768" i="3" s="1"/>
  <c r="B769" i="3" s="1"/>
  <c r="B770" i="3" s="1"/>
  <c r="B771" i="3" s="1"/>
  <c r="B772" i="3" s="1"/>
  <c r="B773" i="3" s="1"/>
  <c r="B774" i="3" s="1"/>
  <c r="B775" i="3" s="1"/>
  <c r="B776" i="3" s="1"/>
  <c r="B777" i="3" s="1"/>
  <c r="B778" i="3" s="1"/>
  <c r="B779" i="3" s="1"/>
  <c r="B780" i="3" s="1"/>
  <c r="B781" i="3" s="1"/>
  <c r="B782" i="3" s="1"/>
  <c r="B783" i="3" s="1"/>
  <c r="B784" i="3" s="1"/>
  <c r="B785" i="3" s="1"/>
  <c r="B786" i="3" s="1"/>
  <c r="B787" i="3" s="1"/>
  <c r="B788" i="3" s="1"/>
  <c r="B789" i="3" s="1"/>
  <c r="B790" i="3" s="1"/>
  <c r="B791" i="3" s="1"/>
  <c r="B792" i="3" s="1"/>
  <c r="B793" i="3" s="1"/>
  <c r="B794" i="3" s="1"/>
  <c r="B795" i="3" s="1"/>
  <c r="B796" i="3" s="1"/>
  <c r="B797" i="3" s="1"/>
  <c r="B798" i="3" s="1"/>
  <c r="B799" i="3" s="1"/>
  <c r="B800" i="3" s="1"/>
  <c r="B801" i="3" s="1"/>
  <c r="B802" i="3" s="1"/>
  <c r="B803" i="3" s="1"/>
  <c r="B804" i="3" s="1"/>
  <c r="B805" i="3" s="1"/>
  <c r="B806" i="3" s="1"/>
  <c r="B807" i="3" s="1"/>
  <c r="B808" i="3" s="1"/>
  <c r="B809" i="3" s="1"/>
  <c r="B810" i="3" s="1"/>
  <c r="B811" i="3" s="1"/>
  <c r="B812" i="3" s="1"/>
  <c r="B813" i="3" s="1"/>
  <c r="B814" i="3" s="1"/>
  <c r="B815" i="3" s="1"/>
  <c r="B816" i="3" s="1"/>
  <c r="B817" i="3" s="1"/>
  <c r="B818" i="3" s="1"/>
  <c r="B819" i="3" s="1"/>
  <c r="B820" i="3" s="1"/>
  <c r="B821" i="3" s="1"/>
  <c r="B822" i="3" s="1"/>
  <c r="B823" i="3" s="1"/>
  <c r="B824" i="3" s="1"/>
  <c r="B825" i="3" s="1"/>
  <c r="B826" i="3" s="1"/>
  <c r="B827" i="3" s="1"/>
  <c r="B828" i="3" s="1"/>
  <c r="B829" i="3" s="1"/>
  <c r="B830" i="3" s="1"/>
  <c r="B831" i="3" s="1"/>
  <c r="B832" i="3" s="1"/>
  <c r="B833" i="3" s="1"/>
  <c r="B834" i="3" s="1"/>
  <c r="B835" i="3" s="1"/>
  <c r="B836" i="3" s="1"/>
  <c r="B837" i="3" s="1"/>
  <c r="B838" i="3" s="1"/>
  <c r="B839" i="3" s="1"/>
  <c r="B840" i="3" s="1"/>
  <c r="B841" i="3" s="1"/>
  <c r="B842" i="3" s="1"/>
  <c r="B843" i="3" s="1"/>
  <c r="B844" i="3" s="1"/>
  <c r="B845" i="3" s="1"/>
  <c r="B846" i="3" s="1"/>
  <c r="B847" i="3" s="1"/>
  <c r="B848" i="3" s="1"/>
  <c r="B849" i="3" s="1"/>
  <c r="B850" i="3" s="1"/>
  <c r="B851" i="3" s="1"/>
  <c r="B852" i="3" s="1"/>
  <c r="B853" i="3" s="1"/>
  <c r="B854" i="3" s="1"/>
  <c r="B855" i="3" s="1"/>
  <c r="B856" i="3" s="1"/>
  <c r="B857" i="3" s="1"/>
  <c r="B858" i="3" s="1"/>
  <c r="B859" i="3" s="1"/>
  <c r="B860" i="3" s="1"/>
  <c r="B861" i="3" s="1"/>
  <c r="B862" i="3" s="1"/>
  <c r="C29" i="3"/>
  <c r="C30" i="3" s="1"/>
  <c r="C31" i="3" s="1"/>
  <c r="C32" i="3" s="1"/>
  <c r="C33" i="3" s="1"/>
  <c r="C34" i="3" s="1"/>
  <c r="C35" i="3" s="1"/>
  <c r="C36" i="3" s="1"/>
  <c r="C37" i="3" s="1"/>
  <c r="C38" i="3" s="1"/>
  <c r="C39" i="3" s="1"/>
  <c r="C40" i="3" s="1"/>
  <c r="C41" i="3" s="1"/>
  <c r="C42" i="3" s="1"/>
  <c r="C43" i="3" s="1"/>
  <c r="C44" i="3" s="1"/>
  <c r="C45" i="3" s="1"/>
  <c r="C46" i="3" s="1"/>
  <c r="C47" i="3" s="1"/>
  <c r="C48" i="3" s="1"/>
  <c r="C49" i="3" s="1"/>
  <c r="C50" i="3" s="1"/>
  <c r="C51" i="3" s="1"/>
  <c r="C52" i="3" s="1"/>
  <c r="C53" i="3" s="1"/>
  <c r="C54" i="3" s="1"/>
  <c r="C55" i="3" s="1"/>
  <c r="C56" i="3" s="1"/>
  <c r="C57" i="3" s="1"/>
  <c r="C58" i="3" s="1"/>
  <c r="C59" i="3" s="1"/>
  <c r="C60" i="3" s="1"/>
  <c r="C61" i="3" s="1"/>
  <c r="C62" i="3" s="1"/>
  <c r="C63" i="3" s="1"/>
  <c r="C64" i="3" s="1"/>
  <c r="C65" i="3" s="1"/>
  <c r="C66" i="3" s="1"/>
  <c r="C67" i="3" s="1"/>
  <c r="C68" i="3" s="1"/>
  <c r="C69" i="3" s="1"/>
  <c r="C70" i="3" s="1"/>
  <c r="C71" i="3" s="1"/>
  <c r="C72" i="3" s="1"/>
  <c r="C73" i="3" s="1"/>
  <c r="C74" i="3" s="1"/>
  <c r="C75" i="3" s="1"/>
  <c r="C76" i="3" s="1"/>
  <c r="C77" i="3" s="1"/>
  <c r="C78" i="3" s="1"/>
  <c r="C79" i="3" s="1"/>
  <c r="C80" i="3" s="1"/>
  <c r="C81" i="3" s="1"/>
  <c r="C82" i="3" s="1"/>
  <c r="C83" i="3" s="1"/>
  <c r="C84" i="3" s="1"/>
  <c r="C85" i="3" s="1"/>
  <c r="C86" i="3" s="1"/>
  <c r="C87" i="3" s="1"/>
  <c r="C88" i="3" s="1"/>
  <c r="C89" i="3" s="1"/>
  <c r="C90" i="3" s="1"/>
  <c r="C91" i="3" s="1"/>
  <c r="C92" i="3" s="1"/>
  <c r="C93" i="3" s="1"/>
  <c r="C94" i="3" s="1"/>
  <c r="C95" i="3" s="1"/>
  <c r="C96" i="3" s="1"/>
  <c r="C97" i="3" s="1"/>
  <c r="C98" i="3" s="1"/>
  <c r="C99" i="3" s="1"/>
  <c r="C100" i="3" s="1"/>
  <c r="C101" i="3" s="1"/>
  <c r="C102" i="3" s="1"/>
  <c r="C103" i="3" s="1"/>
  <c r="C104" i="3" s="1"/>
  <c r="C105" i="3" s="1"/>
  <c r="C106" i="3" s="1"/>
  <c r="C107" i="3" s="1"/>
  <c r="C108" i="3" s="1"/>
  <c r="C109" i="3" s="1"/>
  <c r="C110" i="3" s="1"/>
  <c r="C111" i="3" s="1"/>
  <c r="C112" i="3" s="1"/>
  <c r="C113" i="3" s="1"/>
  <c r="C114" i="3" s="1"/>
  <c r="C115" i="3" s="1"/>
  <c r="C116" i="3" s="1"/>
  <c r="C117" i="3" s="1"/>
  <c r="C118" i="3" s="1"/>
  <c r="C119" i="3" s="1"/>
  <c r="C120" i="3" s="1"/>
  <c r="C121" i="3" s="1"/>
  <c r="C122" i="3" s="1"/>
  <c r="C123" i="3" s="1"/>
  <c r="C124" i="3" s="1"/>
  <c r="C125" i="3" s="1"/>
  <c r="C126" i="3" s="1"/>
  <c r="C127" i="3" s="1"/>
  <c r="C128" i="3" s="1"/>
  <c r="C129" i="3" s="1"/>
  <c r="C130" i="3" s="1"/>
  <c r="C131" i="3" s="1"/>
  <c r="C132" i="3" s="1"/>
  <c r="C133" i="3" s="1"/>
  <c r="C134" i="3" s="1"/>
  <c r="C135" i="3" s="1"/>
  <c r="C136" i="3" s="1"/>
  <c r="C137" i="3" s="1"/>
  <c r="C138" i="3" s="1"/>
  <c r="C139" i="3" s="1"/>
  <c r="C140" i="3" s="1"/>
  <c r="C141" i="3" s="1"/>
  <c r="C142" i="3" s="1"/>
  <c r="C143" i="3" s="1"/>
  <c r="C144" i="3" s="1"/>
  <c r="C145" i="3" s="1"/>
  <c r="C146" i="3" s="1"/>
  <c r="C147" i="3" s="1"/>
  <c r="C148" i="3" s="1"/>
  <c r="C149" i="3" s="1"/>
  <c r="C150" i="3" s="1"/>
  <c r="C151" i="3" s="1"/>
  <c r="C152" i="3" s="1"/>
  <c r="C153" i="3" s="1"/>
  <c r="C154" i="3" s="1"/>
  <c r="C155" i="3" s="1"/>
  <c r="C156" i="3" s="1"/>
  <c r="C157" i="3" s="1"/>
  <c r="C158" i="3" s="1"/>
  <c r="C159" i="3" s="1"/>
  <c r="C160" i="3" s="1"/>
  <c r="C161" i="3" s="1"/>
  <c r="C162" i="3" s="1"/>
  <c r="C163" i="3" s="1"/>
  <c r="C164" i="3" s="1"/>
  <c r="C165" i="3" s="1"/>
  <c r="C166" i="3" s="1"/>
  <c r="C167" i="3" s="1"/>
  <c r="C168" i="3" s="1"/>
  <c r="C169" i="3" s="1"/>
  <c r="C170" i="3" s="1"/>
  <c r="C171" i="3" s="1"/>
  <c r="C172" i="3" s="1"/>
  <c r="C173" i="3" s="1"/>
  <c r="C174" i="3" s="1"/>
  <c r="C175" i="3" s="1"/>
  <c r="C176" i="3" s="1"/>
  <c r="C177" i="3" s="1"/>
  <c r="C178" i="3" s="1"/>
  <c r="C179" i="3" s="1"/>
  <c r="C180" i="3" s="1"/>
  <c r="C181" i="3" s="1"/>
  <c r="C182" i="3" s="1"/>
  <c r="C183" i="3" s="1"/>
  <c r="C184" i="3" s="1"/>
  <c r="C185" i="3" s="1"/>
  <c r="C186" i="3" s="1"/>
  <c r="C187" i="3" s="1"/>
  <c r="C188" i="3" s="1"/>
  <c r="C189" i="3" s="1"/>
  <c r="C190" i="3" s="1"/>
  <c r="C191" i="3" s="1"/>
  <c r="C192" i="3" s="1"/>
  <c r="C193" i="3" s="1"/>
  <c r="C194" i="3" s="1"/>
  <c r="C195" i="3" s="1"/>
  <c r="C196" i="3" s="1"/>
  <c r="C197" i="3" s="1"/>
  <c r="C198" i="3" s="1"/>
  <c r="C199" i="3" s="1"/>
  <c r="C200" i="3" s="1"/>
  <c r="C201" i="3" s="1"/>
  <c r="C202" i="3" s="1"/>
  <c r="C203" i="3" s="1"/>
  <c r="C204" i="3" s="1"/>
  <c r="C205" i="3" s="1"/>
  <c r="C206" i="3" s="1"/>
  <c r="C207" i="3" s="1"/>
  <c r="C208" i="3" s="1"/>
  <c r="C209" i="3" s="1"/>
  <c r="C210" i="3" s="1"/>
  <c r="C211" i="3" s="1"/>
  <c r="C212" i="3" s="1"/>
  <c r="C213" i="3" s="1"/>
  <c r="C214" i="3" s="1"/>
  <c r="C215" i="3" s="1"/>
  <c r="C216" i="3" s="1"/>
  <c r="C217" i="3" s="1"/>
  <c r="C218" i="3" s="1"/>
  <c r="C219" i="3" s="1"/>
  <c r="C220" i="3" s="1"/>
  <c r="C221" i="3" s="1"/>
  <c r="C222" i="3" s="1"/>
  <c r="C223" i="3" s="1"/>
  <c r="C224" i="3" s="1"/>
  <c r="C225" i="3" s="1"/>
  <c r="C226" i="3" s="1"/>
  <c r="C227" i="3" s="1"/>
  <c r="C228" i="3" s="1"/>
  <c r="C229" i="3" s="1"/>
  <c r="C230" i="3" s="1"/>
  <c r="C231" i="3" s="1"/>
  <c r="C232" i="3" s="1"/>
  <c r="C233" i="3" s="1"/>
  <c r="C234" i="3" s="1"/>
  <c r="C235" i="3" s="1"/>
  <c r="C236" i="3" s="1"/>
  <c r="C237" i="3" s="1"/>
  <c r="C238" i="3" s="1"/>
  <c r="C239" i="3" s="1"/>
  <c r="C240" i="3" s="1"/>
  <c r="C241" i="3" s="1"/>
  <c r="C242" i="3" s="1"/>
  <c r="C243" i="3" s="1"/>
  <c r="C244" i="3" s="1"/>
  <c r="C245" i="3" s="1"/>
  <c r="C246" i="3" s="1"/>
  <c r="C247" i="3" s="1"/>
  <c r="C248" i="3" s="1"/>
  <c r="C249" i="3" s="1"/>
  <c r="C250" i="3" s="1"/>
  <c r="C251" i="3" s="1"/>
  <c r="C252" i="3" s="1"/>
  <c r="C253" i="3" s="1"/>
  <c r="C254" i="3" s="1"/>
  <c r="C255" i="3" s="1"/>
  <c r="C256" i="3" s="1"/>
  <c r="C257" i="3" s="1"/>
  <c r="C258" i="3" s="1"/>
  <c r="C259" i="3" s="1"/>
  <c r="C260" i="3" s="1"/>
  <c r="C261" i="3" s="1"/>
  <c r="C262" i="3" s="1"/>
  <c r="C263" i="3" s="1"/>
  <c r="C264" i="3" s="1"/>
  <c r="C265" i="3" s="1"/>
  <c r="C266" i="3" s="1"/>
  <c r="C267" i="3" s="1"/>
  <c r="C268" i="3" s="1"/>
  <c r="C269" i="3" s="1"/>
  <c r="C270" i="3" s="1"/>
  <c r="C271" i="3" s="1"/>
  <c r="C272" i="3" s="1"/>
  <c r="C273" i="3" s="1"/>
  <c r="C274" i="3" s="1"/>
  <c r="C275" i="3" s="1"/>
  <c r="C276" i="3" s="1"/>
  <c r="C277" i="3" s="1"/>
  <c r="C278" i="3" s="1"/>
  <c r="C279" i="3" s="1"/>
  <c r="C280" i="3" s="1"/>
  <c r="C281" i="3" s="1"/>
  <c r="C282" i="3" s="1"/>
  <c r="C283" i="3" s="1"/>
  <c r="C284" i="3" s="1"/>
  <c r="C285" i="3" s="1"/>
  <c r="C286" i="3" s="1"/>
  <c r="C287" i="3" s="1"/>
  <c r="C288" i="3" s="1"/>
  <c r="C289" i="3" s="1"/>
  <c r="C290" i="3" s="1"/>
  <c r="C291" i="3" s="1"/>
  <c r="C292" i="3" s="1"/>
  <c r="C293" i="3" s="1"/>
  <c r="C294" i="3" s="1"/>
  <c r="C295" i="3" s="1"/>
  <c r="C296" i="3" s="1"/>
  <c r="C297" i="3" s="1"/>
  <c r="C298" i="3" s="1"/>
  <c r="C299" i="3" s="1"/>
  <c r="C300" i="3" s="1"/>
  <c r="C301" i="3" s="1"/>
  <c r="C302" i="3" s="1"/>
  <c r="C303" i="3" s="1"/>
  <c r="C304" i="3" s="1"/>
  <c r="C305" i="3" s="1"/>
  <c r="C306" i="3" s="1"/>
  <c r="C307" i="3" s="1"/>
  <c r="C308" i="3" s="1"/>
  <c r="C309" i="3" s="1"/>
  <c r="C310" i="3" s="1"/>
  <c r="C311" i="3" s="1"/>
  <c r="C312" i="3" s="1"/>
  <c r="C313" i="3" s="1"/>
  <c r="C314" i="3" s="1"/>
  <c r="C315" i="3" s="1"/>
  <c r="C316" i="3" s="1"/>
  <c r="C317" i="3" s="1"/>
  <c r="C318" i="3" s="1"/>
  <c r="C319" i="3" s="1"/>
  <c r="C320" i="3" s="1"/>
  <c r="C321" i="3" s="1"/>
  <c r="C322" i="3" s="1"/>
  <c r="C323" i="3" s="1"/>
  <c r="C324" i="3" s="1"/>
  <c r="C325" i="3" s="1"/>
  <c r="C326" i="3" s="1"/>
  <c r="C327" i="3" s="1"/>
  <c r="C328" i="3" s="1"/>
  <c r="C329" i="3" s="1"/>
  <c r="C330" i="3" s="1"/>
  <c r="C331" i="3" s="1"/>
  <c r="C332" i="3" s="1"/>
  <c r="C333" i="3" s="1"/>
  <c r="C334" i="3" s="1"/>
  <c r="C335" i="3" s="1"/>
  <c r="C336" i="3" s="1"/>
  <c r="C337" i="3" s="1"/>
  <c r="C338" i="3" s="1"/>
  <c r="C339" i="3" s="1"/>
  <c r="C340" i="3" s="1"/>
  <c r="C341" i="3" s="1"/>
  <c r="C342" i="3" s="1"/>
  <c r="C343" i="3" s="1"/>
  <c r="C344" i="3" s="1"/>
  <c r="C345" i="3" s="1"/>
  <c r="C346" i="3" s="1"/>
  <c r="C347" i="3" s="1"/>
  <c r="C348" i="3" s="1"/>
  <c r="C349" i="3" s="1"/>
  <c r="C350" i="3" s="1"/>
  <c r="C351" i="3" s="1"/>
  <c r="C352" i="3" s="1"/>
  <c r="C353" i="3" s="1"/>
  <c r="C354" i="3" s="1"/>
  <c r="C355" i="3" s="1"/>
  <c r="C356" i="3" s="1"/>
  <c r="C357" i="3" s="1"/>
  <c r="C358" i="3" s="1"/>
  <c r="C359" i="3" s="1"/>
  <c r="C360" i="3" s="1"/>
  <c r="C361" i="3" s="1"/>
  <c r="C362" i="3" s="1"/>
  <c r="C363" i="3" s="1"/>
  <c r="C364" i="3" s="1"/>
  <c r="C365" i="3" s="1"/>
  <c r="C366" i="3" s="1"/>
  <c r="C367" i="3" s="1"/>
  <c r="C368" i="3" s="1"/>
  <c r="C369" i="3" s="1"/>
  <c r="C370" i="3" s="1"/>
  <c r="C371" i="3" s="1"/>
  <c r="C372" i="3" s="1"/>
  <c r="C373" i="3" s="1"/>
  <c r="C374" i="3" s="1"/>
  <c r="C375" i="3" s="1"/>
  <c r="C376" i="3" s="1"/>
  <c r="C377" i="3" s="1"/>
  <c r="C378" i="3" s="1"/>
  <c r="C379" i="3" s="1"/>
  <c r="C380" i="3" s="1"/>
  <c r="C381" i="3" s="1"/>
  <c r="C382" i="3" s="1"/>
  <c r="C383" i="3" s="1"/>
  <c r="C384" i="3" s="1"/>
  <c r="C385" i="3" s="1"/>
  <c r="C386" i="3" s="1"/>
  <c r="C387" i="3" s="1"/>
  <c r="C388" i="3" s="1"/>
  <c r="C389" i="3" s="1"/>
  <c r="C390" i="3" s="1"/>
  <c r="C391" i="3" s="1"/>
  <c r="C392" i="3" s="1"/>
  <c r="C393" i="3" s="1"/>
  <c r="C394" i="3" s="1"/>
  <c r="C395" i="3" s="1"/>
  <c r="C396" i="3" s="1"/>
  <c r="C397" i="3" s="1"/>
  <c r="C398" i="3" s="1"/>
  <c r="C399" i="3" s="1"/>
  <c r="C400" i="3" s="1"/>
  <c r="C401" i="3" s="1"/>
  <c r="C402" i="3" s="1"/>
  <c r="C403" i="3" s="1"/>
  <c r="C404" i="3" s="1"/>
  <c r="C405" i="3" s="1"/>
  <c r="C406" i="3" s="1"/>
  <c r="C407" i="3" s="1"/>
  <c r="C408" i="3" s="1"/>
  <c r="C409" i="3" s="1"/>
  <c r="C410" i="3" s="1"/>
  <c r="C411" i="3" s="1"/>
  <c r="C412" i="3" s="1"/>
  <c r="C413" i="3" s="1"/>
  <c r="C414" i="3" s="1"/>
  <c r="C415" i="3" s="1"/>
  <c r="C416" i="3" s="1"/>
  <c r="C417" i="3" s="1"/>
  <c r="C418" i="3" s="1"/>
  <c r="C419" i="3" s="1"/>
  <c r="C420" i="3" s="1"/>
  <c r="C421" i="3" s="1"/>
  <c r="C422" i="3" s="1"/>
  <c r="C423" i="3" s="1"/>
  <c r="C424" i="3" s="1"/>
  <c r="C425" i="3" s="1"/>
  <c r="C426" i="3" s="1"/>
  <c r="C427" i="3" s="1"/>
  <c r="C428" i="3" s="1"/>
  <c r="C429" i="3" s="1"/>
  <c r="C430" i="3" s="1"/>
  <c r="C431" i="3" s="1"/>
  <c r="C432" i="3" s="1"/>
  <c r="C433" i="3" s="1"/>
  <c r="C434" i="3" s="1"/>
  <c r="C435" i="3" s="1"/>
  <c r="C436" i="3" s="1"/>
  <c r="C437" i="3" s="1"/>
  <c r="C438" i="3" s="1"/>
  <c r="C439" i="3" s="1"/>
  <c r="C440" i="3" s="1"/>
  <c r="C441" i="3" s="1"/>
  <c r="C442" i="3" s="1"/>
  <c r="C443" i="3" s="1"/>
  <c r="C444" i="3" s="1"/>
  <c r="C445" i="3" s="1"/>
  <c r="C446" i="3" s="1"/>
  <c r="C447" i="3" s="1"/>
  <c r="C448" i="3" s="1"/>
  <c r="C449" i="3" s="1"/>
  <c r="C450" i="3" s="1"/>
  <c r="C451" i="3" s="1"/>
  <c r="C452" i="3" s="1"/>
  <c r="C453" i="3" s="1"/>
  <c r="C454" i="3" s="1"/>
  <c r="C455" i="3" s="1"/>
  <c r="C456" i="3" s="1"/>
  <c r="C457" i="3" s="1"/>
  <c r="C458" i="3" s="1"/>
  <c r="C459" i="3" s="1"/>
  <c r="C460" i="3" s="1"/>
  <c r="C461" i="3" s="1"/>
  <c r="C462" i="3" s="1"/>
  <c r="C463" i="3" s="1"/>
  <c r="C464" i="3" s="1"/>
  <c r="C465" i="3" s="1"/>
  <c r="C466" i="3" s="1"/>
  <c r="C467" i="3" s="1"/>
  <c r="C468" i="3" s="1"/>
  <c r="C469" i="3" s="1"/>
  <c r="C470" i="3" s="1"/>
  <c r="C471" i="3" s="1"/>
  <c r="C472" i="3" s="1"/>
  <c r="C473" i="3" s="1"/>
  <c r="C474" i="3" s="1"/>
  <c r="C475" i="3" s="1"/>
  <c r="C476" i="3" s="1"/>
  <c r="C477" i="3" s="1"/>
  <c r="C478" i="3" s="1"/>
  <c r="C479" i="3" s="1"/>
  <c r="C480" i="3" s="1"/>
  <c r="C481" i="3" s="1"/>
  <c r="C482" i="3" s="1"/>
  <c r="C483" i="3" s="1"/>
  <c r="C484" i="3" s="1"/>
  <c r="C485" i="3" s="1"/>
  <c r="C486" i="3" s="1"/>
  <c r="C487" i="3" s="1"/>
  <c r="C488" i="3" s="1"/>
  <c r="C489" i="3" s="1"/>
  <c r="C490" i="3" s="1"/>
  <c r="C491" i="3" s="1"/>
  <c r="C492" i="3" s="1"/>
  <c r="C493" i="3" s="1"/>
  <c r="C494" i="3" s="1"/>
  <c r="C495" i="3" s="1"/>
  <c r="C496" i="3" s="1"/>
  <c r="C497" i="3" s="1"/>
  <c r="C498" i="3" s="1"/>
  <c r="C499" i="3" s="1"/>
  <c r="C500" i="3" s="1"/>
  <c r="C501" i="3" s="1"/>
  <c r="C502" i="3" s="1"/>
  <c r="C503" i="3" s="1"/>
  <c r="C504" i="3" s="1"/>
  <c r="C505" i="3" s="1"/>
  <c r="C506" i="3" s="1"/>
  <c r="C507" i="3" s="1"/>
  <c r="C508" i="3" s="1"/>
  <c r="C509" i="3" s="1"/>
  <c r="C510" i="3" s="1"/>
  <c r="C511" i="3" s="1"/>
  <c r="C512" i="3" s="1"/>
  <c r="C513" i="3" s="1"/>
  <c r="C514" i="3" s="1"/>
  <c r="C515" i="3" s="1"/>
  <c r="C516" i="3" s="1"/>
  <c r="C517" i="3" s="1"/>
  <c r="C518" i="3" s="1"/>
  <c r="C519" i="3" s="1"/>
  <c r="C520" i="3" s="1"/>
  <c r="C521" i="3" s="1"/>
  <c r="C522" i="3" s="1"/>
  <c r="C523" i="3" s="1"/>
  <c r="C524" i="3" s="1"/>
  <c r="C525" i="3" s="1"/>
  <c r="C526" i="3" s="1"/>
  <c r="C527" i="3" s="1"/>
  <c r="C528" i="3" s="1"/>
  <c r="C529" i="3" s="1"/>
  <c r="C530" i="3" s="1"/>
  <c r="C531" i="3" s="1"/>
  <c r="C532" i="3" s="1"/>
  <c r="C533" i="3" s="1"/>
  <c r="C534" i="3" s="1"/>
  <c r="C535" i="3" s="1"/>
  <c r="C536" i="3" s="1"/>
  <c r="C537" i="3" s="1"/>
  <c r="C538" i="3" s="1"/>
  <c r="C539" i="3" s="1"/>
  <c r="C540" i="3" s="1"/>
  <c r="C541" i="3" s="1"/>
  <c r="C542" i="3" s="1"/>
  <c r="C543" i="3" s="1"/>
  <c r="C544" i="3" s="1"/>
  <c r="C545" i="3" s="1"/>
  <c r="C546" i="3" s="1"/>
  <c r="C547" i="3" s="1"/>
  <c r="C548" i="3" s="1"/>
  <c r="C549" i="3" s="1"/>
  <c r="C550" i="3" s="1"/>
  <c r="C551" i="3" s="1"/>
  <c r="C552" i="3" s="1"/>
  <c r="C553" i="3" s="1"/>
  <c r="C554" i="3" s="1"/>
  <c r="C555" i="3" s="1"/>
  <c r="C556" i="3" s="1"/>
  <c r="C557" i="3" s="1"/>
  <c r="C558" i="3" s="1"/>
  <c r="C559" i="3" s="1"/>
  <c r="C560" i="3" s="1"/>
  <c r="C561" i="3" s="1"/>
  <c r="C562" i="3" s="1"/>
  <c r="C563" i="3" s="1"/>
  <c r="C564" i="3" s="1"/>
  <c r="C565" i="3" s="1"/>
  <c r="C566" i="3" s="1"/>
  <c r="C567" i="3" s="1"/>
  <c r="C568" i="3" s="1"/>
  <c r="C569" i="3" s="1"/>
  <c r="C570" i="3" s="1"/>
  <c r="C571" i="3" s="1"/>
  <c r="C572" i="3" s="1"/>
  <c r="C573" i="3" s="1"/>
  <c r="C574" i="3" s="1"/>
  <c r="C575" i="3" s="1"/>
  <c r="C576" i="3" s="1"/>
  <c r="C577" i="3" s="1"/>
  <c r="C578" i="3" s="1"/>
  <c r="C579" i="3" s="1"/>
  <c r="C580" i="3" s="1"/>
  <c r="C581" i="3" s="1"/>
  <c r="C582" i="3" s="1"/>
  <c r="C583" i="3" s="1"/>
  <c r="C584" i="3" s="1"/>
  <c r="C585" i="3" s="1"/>
  <c r="C586" i="3" s="1"/>
  <c r="C587" i="3" s="1"/>
  <c r="C588" i="3" s="1"/>
  <c r="C589" i="3" s="1"/>
  <c r="C590" i="3" s="1"/>
  <c r="C591" i="3" s="1"/>
  <c r="C592" i="3" s="1"/>
  <c r="C593" i="3" s="1"/>
  <c r="C594" i="3" s="1"/>
  <c r="C595" i="3" s="1"/>
  <c r="C596" i="3" s="1"/>
  <c r="C597" i="3" s="1"/>
  <c r="C598" i="3" s="1"/>
  <c r="C599" i="3" s="1"/>
  <c r="C600" i="3" s="1"/>
  <c r="C601" i="3" s="1"/>
  <c r="C602" i="3" s="1"/>
  <c r="C603" i="3" s="1"/>
  <c r="C604" i="3" s="1"/>
  <c r="C605" i="3" s="1"/>
  <c r="C606" i="3" s="1"/>
  <c r="C607" i="3" s="1"/>
  <c r="C608" i="3" s="1"/>
  <c r="C609" i="3" s="1"/>
  <c r="C610" i="3" s="1"/>
  <c r="C611" i="3" s="1"/>
  <c r="C612" i="3" s="1"/>
  <c r="C613" i="3" s="1"/>
  <c r="C614" i="3" s="1"/>
  <c r="C615" i="3" s="1"/>
  <c r="C616" i="3" s="1"/>
  <c r="C617" i="3" s="1"/>
  <c r="C618" i="3" s="1"/>
  <c r="C619" i="3" s="1"/>
  <c r="C620" i="3" s="1"/>
  <c r="C621" i="3" s="1"/>
  <c r="C622" i="3" s="1"/>
  <c r="C623" i="3" s="1"/>
  <c r="C624" i="3" s="1"/>
  <c r="C625" i="3" s="1"/>
  <c r="C626" i="3" s="1"/>
  <c r="C627" i="3" s="1"/>
  <c r="C628" i="3" s="1"/>
  <c r="C629" i="3" s="1"/>
  <c r="C630" i="3" s="1"/>
  <c r="C631" i="3" s="1"/>
  <c r="C632" i="3" s="1"/>
  <c r="C633" i="3" s="1"/>
  <c r="C634" i="3" s="1"/>
  <c r="C635" i="3" s="1"/>
  <c r="C636" i="3" s="1"/>
  <c r="C637" i="3" s="1"/>
  <c r="C638" i="3" s="1"/>
  <c r="C639" i="3" s="1"/>
  <c r="C640" i="3" s="1"/>
  <c r="C641" i="3" s="1"/>
  <c r="C642" i="3" s="1"/>
  <c r="C643" i="3" s="1"/>
  <c r="C644" i="3" s="1"/>
  <c r="C645" i="3" s="1"/>
  <c r="C646" i="3" s="1"/>
  <c r="C647" i="3" s="1"/>
  <c r="C648" i="3" s="1"/>
  <c r="C649" i="3" s="1"/>
  <c r="C650" i="3" s="1"/>
  <c r="C651" i="3" s="1"/>
  <c r="C652" i="3" s="1"/>
  <c r="C653" i="3" s="1"/>
  <c r="C654" i="3" s="1"/>
  <c r="C655" i="3" s="1"/>
  <c r="C656" i="3" s="1"/>
  <c r="C657" i="3" s="1"/>
  <c r="C658" i="3" s="1"/>
  <c r="C659" i="3" s="1"/>
  <c r="C660" i="3" s="1"/>
  <c r="C661" i="3" s="1"/>
  <c r="C662" i="3" s="1"/>
  <c r="C663" i="3" s="1"/>
  <c r="C664" i="3" s="1"/>
  <c r="C665" i="3" s="1"/>
  <c r="C666" i="3" s="1"/>
  <c r="C667" i="3" s="1"/>
  <c r="C668" i="3" s="1"/>
  <c r="C669" i="3" s="1"/>
  <c r="C670" i="3" s="1"/>
  <c r="C671" i="3" s="1"/>
  <c r="C672" i="3" s="1"/>
  <c r="C673" i="3" s="1"/>
  <c r="C674" i="3" s="1"/>
  <c r="C675" i="3" s="1"/>
  <c r="C676" i="3" s="1"/>
  <c r="C677" i="3" s="1"/>
  <c r="C678" i="3" s="1"/>
  <c r="C679" i="3" s="1"/>
  <c r="C680" i="3" s="1"/>
  <c r="C681" i="3" s="1"/>
  <c r="C682" i="3" s="1"/>
  <c r="C683" i="3" s="1"/>
  <c r="C684" i="3" s="1"/>
  <c r="C685" i="3" s="1"/>
  <c r="C686" i="3" s="1"/>
  <c r="C687" i="3" s="1"/>
  <c r="C688" i="3" s="1"/>
  <c r="C689" i="3" s="1"/>
  <c r="C690" i="3" s="1"/>
  <c r="C691" i="3" s="1"/>
  <c r="C692" i="3" s="1"/>
  <c r="C693" i="3" s="1"/>
  <c r="C694" i="3" s="1"/>
  <c r="C695" i="3" s="1"/>
  <c r="C696" i="3" s="1"/>
  <c r="C697" i="3" s="1"/>
  <c r="C698" i="3" s="1"/>
  <c r="C699" i="3" s="1"/>
  <c r="C700" i="3" s="1"/>
  <c r="C701" i="3" s="1"/>
  <c r="C702" i="3" s="1"/>
  <c r="C703" i="3" s="1"/>
  <c r="C704" i="3" s="1"/>
  <c r="C705" i="3" s="1"/>
  <c r="C706" i="3" s="1"/>
  <c r="C707" i="3" s="1"/>
  <c r="C708" i="3" s="1"/>
  <c r="C709" i="3" s="1"/>
  <c r="C710" i="3" s="1"/>
  <c r="C711" i="3" s="1"/>
  <c r="C712" i="3" s="1"/>
  <c r="C713" i="3" s="1"/>
  <c r="C714" i="3" s="1"/>
  <c r="C715" i="3" s="1"/>
  <c r="C716" i="3" s="1"/>
  <c r="C717" i="3" s="1"/>
  <c r="C718" i="3" s="1"/>
  <c r="C719" i="3" s="1"/>
  <c r="C720" i="3" s="1"/>
  <c r="C721" i="3" s="1"/>
  <c r="C722" i="3" s="1"/>
  <c r="C723" i="3" s="1"/>
  <c r="C724" i="3" s="1"/>
  <c r="C725" i="3" s="1"/>
  <c r="C726" i="3" s="1"/>
  <c r="C727" i="3" s="1"/>
  <c r="C728" i="3" s="1"/>
  <c r="C729" i="3" s="1"/>
  <c r="C730" i="3" s="1"/>
  <c r="C731" i="3" s="1"/>
  <c r="C732" i="3" s="1"/>
  <c r="C733" i="3" s="1"/>
  <c r="C734" i="3" s="1"/>
  <c r="C735" i="3" s="1"/>
  <c r="C736" i="3" s="1"/>
  <c r="C737" i="3" s="1"/>
  <c r="C738" i="3" s="1"/>
  <c r="C739" i="3" s="1"/>
  <c r="C740" i="3" s="1"/>
  <c r="C741" i="3" s="1"/>
  <c r="C742" i="3" s="1"/>
  <c r="C743" i="3" s="1"/>
  <c r="C744" i="3" s="1"/>
  <c r="C745" i="3" s="1"/>
  <c r="C746" i="3" s="1"/>
  <c r="C747" i="3" s="1"/>
  <c r="C748" i="3" s="1"/>
  <c r="C749" i="3" s="1"/>
  <c r="C750" i="3" s="1"/>
  <c r="C751" i="3" s="1"/>
  <c r="C752" i="3" s="1"/>
  <c r="C753" i="3" s="1"/>
  <c r="C754" i="3" s="1"/>
  <c r="C755" i="3" s="1"/>
  <c r="C756" i="3" s="1"/>
  <c r="C757" i="3" s="1"/>
  <c r="C758" i="3" s="1"/>
  <c r="C759" i="3" s="1"/>
  <c r="C760" i="3" s="1"/>
  <c r="C761" i="3" s="1"/>
  <c r="C762" i="3" s="1"/>
  <c r="C763" i="3" s="1"/>
  <c r="C764" i="3" s="1"/>
  <c r="C765" i="3" s="1"/>
  <c r="C766" i="3" s="1"/>
  <c r="C767" i="3" s="1"/>
  <c r="C768" i="3" s="1"/>
  <c r="C769" i="3" s="1"/>
  <c r="C770" i="3" s="1"/>
  <c r="C771" i="3" s="1"/>
  <c r="C772" i="3" s="1"/>
  <c r="C773" i="3" s="1"/>
  <c r="C774" i="3" s="1"/>
  <c r="C775" i="3" s="1"/>
  <c r="C776" i="3" s="1"/>
  <c r="C777" i="3" s="1"/>
  <c r="C778" i="3" s="1"/>
  <c r="C779" i="3" s="1"/>
  <c r="C780" i="3" s="1"/>
  <c r="C781" i="3" s="1"/>
  <c r="C782" i="3" s="1"/>
  <c r="C783" i="3" s="1"/>
  <c r="C784" i="3" s="1"/>
  <c r="C785" i="3" s="1"/>
  <c r="C786" i="3" s="1"/>
  <c r="C787" i="3" s="1"/>
  <c r="C788" i="3" s="1"/>
  <c r="C789" i="3" s="1"/>
  <c r="C790" i="3" s="1"/>
  <c r="C791" i="3" s="1"/>
  <c r="C792" i="3" s="1"/>
  <c r="C793" i="3" s="1"/>
  <c r="C794" i="3" s="1"/>
  <c r="C795" i="3" s="1"/>
  <c r="C796" i="3" s="1"/>
  <c r="C797" i="3" s="1"/>
  <c r="C798" i="3" s="1"/>
  <c r="C799" i="3" s="1"/>
  <c r="C800" i="3" s="1"/>
  <c r="C801" i="3" s="1"/>
  <c r="C802" i="3" s="1"/>
  <c r="C803" i="3" s="1"/>
  <c r="C804" i="3" s="1"/>
  <c r="C805" i="3" s="1"/>
  <c r="C806" i="3" s="1"/>
  <c r="C807" i="3" s="1"/>
  <c r="C808" i="3" s="1"/>
  <c r="C809" i="3" s="1"/>
  <c r="C810" i="3" s="1"/>
  <c r="C811" i="3" s="1"/>
  <c r="C812" i="3" s="1"/>
  <c r="C813" i="3" s="1"/>
  <c r="C814" i="3" s="1"/>
  <c r="C815" i="3" s="1"/>
  <c r="C816" i="3" s="1"/>
  <c r="C817" i="3" s="1"/>
  <c r="C818" i="3" s="1"/>
  <c r="C819" i="3" s="1"/>
  <c r="C820" i="3" s="1"/>
  <c r="C821" i="3" s="1"/>
  <c r="C822" i="3" s="1"/>
  <c r="C823" i="3" s="1"/>
  <c r="C824" i="3" s="1"/>
  <c r="C825" i="3" s="1"/>
  <c r="C826" i="3" s="1"/>
  <c r="C827" i="3" s="1"/>
  <c r="C828" i="3" s="1"/>
  <c r="C829" i="3" s="1"/>
  <c r="C830" i="3" s="1"/>
  <c r="C831" i="3" s="1"/>
  <c r="C832" i="3" s="1"/>
  <c r="C833" i="3" s="1"/>
  <c r="C834" i="3" s="1"/>
  <c r="C835" i="3" s="1"/>
  <c r="C836" i="3" s="1"/>
  <c r="C837" i="3" s="1"/>
  <c r="C838" i="3" s="1"/>
  <c r="C839" i="3" s="1"/>
  <c r="C840" i="3" s="1"/>
  <c r="C841" i="3" s="1"/>
  <c r="C842" i="3" s="1"/>
  <c r="C843" i="3" s="1"/>
  <c r="C844" i="3" s="1"/>
  <c r="C845" i="3" s="1"/>
  <c r="C846" i="3" s="1"/>
  <c r="C847" i="3" s="1"/>
  <c r="C848" i="3" s="1"/>
  <c r="C849" i="3" s="1"/>
  <c r="C850" i="3" s="1"/>
  <c r="C851" i="3" s="1"/>
  <c r="C852" i="3" s="1"/>
  <c r="C853" i="3" s="1"/>
  <c r="C854" i="3" s="1"/>
  <c r="C855" i="3" s="1"/>
  <c r="C856" i="3" s="1"/>
  <c r="C857" i="3" s="1"/>
  <c r="C858" i="3" s="1"/>
  <c r="C859" i="3" s="1"/>
  <c r="C860" i="3" s="1"/>
  <c r="C861" i="3" s="1"/>
  <c r="C862" i="3" s="1"/>
  <c r="P909" i="3"/>
  <c r="E7" i="8"/>
  <c r="K7" i="8"/>
  <c r="E8" i="8"/>
  <c r="K8" i="8"/>
  <c r="E9" i="8"/>
  <c r="K9" i="8"/>
  <c r="E10" i="8"/>
  <c r="K10" i="8"/>
  <c r="E11" i="8"/>
  <c r="K11" i="8"/>
  <c r="E12" i="8"/>
  <c r="K12" i="8"/>
  <c r="E13" i="8"/>
  <c r="K13" i="8"/>
  <c r="E14" i="8"/>
  <c r="K14" i="8"/>
  <c r="E15" i="8"/>
  <c r="K15" i="8"/>
  <c r="E16" i="8"/>
  <c r="K16" i="8"/>
  <c r="AA34" i="7"/>
  <c r="M21" i="7"/>
  <c r="N21" i="7" s="1"/>
  <c r="O21" i="7"/>
  <c r="O20" i="7"/>
  <c r="P20" i="7" s="1"/>
  <c r="O43" i="7"/>
  <c r="S57" i="7"/>
  <c r="O13" i="7"/>
  <c r="T10" i="7"/>
  <c r="AJ19" i="7"/>
  <c r="C12" i="3"/>
  <c r="D9" i="4"/>
  <c r="G22" i="4" s="1"/>
  <c r="C10" i="3"/>
  <c r="C11" i="3" s="1"/>
  <c r="N28" i="3"/>
  <c r="C14" i="3"/>
  <c r="H72" i="16"/>
  <c r="J72" i="16" s="1"/>
  <c r="L72" i="16"/>
  <c r="K72" i="16"/>
  <c r="E72" i="16"/>
  <c r="I72" i="16"/>
  <c r="D39" i="16"/>
  <c r="C17" i="16" s="1"/>
  <c r="D41" i="16" s="1"/>
  <c r="C30" i="16"/>
  <c r="G72" i="16"/>
  <c r="D40" i="16"/>
  <c r="D74" i="16"/>
  <c r="S72" i="16"/>
  <c r="R72" i="16"/>
  <c r="T72" i="16"/>
  <c r="R194" i="15"/>
  <c r="AG20" i="7"/>
  <c r="S20" i="7"/>
  <c r="T20" i="7"/>
  <c r="AA20" i="7"/>
  <c r="F23" i="9"/>
  <c r="T35" i="7"/>
  <c r="M14" i="7"/>
  <c r="O14" i="7" s="1"/>
  <c r="E74" i="16"/>
  <c r="F74" i="16"/>
  <c r="P74" i="16"/>
  <c r="R11" i="7"/>
  <c r="S11" i="7" s="1"/>
  <c r="F10" i="15"/>
  <c r="C26" i="2"/>
  <c r="C28" i="2" s="1"/>
  <c r="E10" i="15"/>
  <c r="I74" i="16"/>
  <c r="S74" i="16"/>
  <c r="K74" i="16"/>
  <c r="T74" i="16"/>
  <c r="AJ11" i="7"/>
  <c r="X11" i="7"/>
  <c r="R12" i="7"/>
  <c r="S12" i="7" s="1"/>
  <c r="T11" i="7"/>
  <c r="M15" i="7"/>
  <c r="O15" i="7" s="1"/>
  <c r="M74" i="15"/>
  <c r="AD34" i="7" l="1"/>
  <c r="U19" i="7"/>
  <c r="AD15" i="7"/>
  <c r="P19" i="7"/>
  <c r="AD10" i="7"/>
  <c r="AJ34" i="7"/>
  <c r="P42" i="7"/>
  <c r="P12" i="7"/>
  <c r="U10" i="7"/>
  <c r="AD14" i="7"/>
  <c r="AD19" i="7"/>
  <c r="P13" i="7"/>
  <c r="X12" i="7"/>
  <c r="M16" i="7"/>
  <c r="M17" i="7" s="1"/>
  <c r="O17" i="7" s="1"/>
  <c r="AJ12" i="7"/>
  <c r="R13" i="7"/>
  <c r="AG13" i="7" s="1"/>
  <c r="E45" i="2"/>
  <c r="J45" i="2" s="1"/>
  <c r="AD12" i="7"/>
  <c r="C32" i="2"/>
  <c r="AJ15" i="7"/>
  <c r="N43" i="7"/>
  <c r="P43" i="7" s="1"/>
  <c r="AD56" i="7"/>
  <c r="X15" i="7"/>
  <c r="X14" i="7"/>
  <c r="AG14" i="7"/>
  <c r="AG34" i="7"/>
  <c r="AJ10" i="7"/>
  <c r="U20" i="7"/>
  <c r="T12" i="7"/>
  <c r="U12" i="7" s="1"/>
  <c r="G28" i="3"/>
  <c r="G29" i="3" s="1"/>
  <c r="G30" i="3" s="1"/>
  <c r="G31" i="3" s="1"/>
  <c r="G32" i="3" s="1"/>
  <c r="G33" i="3" s="1"/>
  <c r="G34" i="3" s="1"/>
  <c r="G35" i="3" s="1"/>
  <c r="G36" i="3" s="1"/>
  <c r="G37" i="3" s="1"/>
  <c r="G38" i="3" s="1"/>
  <c r="G39" i="3" s="1"/>
  <c r="G40" i="3" s="1"/>
  <c r="G41" i="3" s="1"/>
  <c r="G42" i="3" s="1"/>
  <c r="G43" i="3" s="1"/>
  <c r="G44" i="3" s="1"/>
  <c r="G45" i="3" s="1"/>
  <c r="G46" i="3" s="1"/>
  <c r="G47" i="3" s="1"/>
  <c r="G48" i="3" s="1"/>
  <c r="G49" i="3" s="1"/>
  <c r="G50" i="3" s="1"/>
  <c r="G51" i="3" s="1"/>
  <c r="G52" i="3" s="1"/>
  <c r="G53" i="3" s="1"/>
  <c r="G54" i="3" s="1"/>
  <c r="G55" i="3" s="1"/>
  <c r="G56" i="3" s="1"/>
  <c r="G57" i="3" s="1"/>
  <c r="G58" i="3" s="1"/>
  <c r="G59" i="3" s="1"/>
  <c r="G60" i="3" s="1"/>
  <c r="G61" i="3" s="1"/>
  <c r="G62" i="3" s="1"/>
  <c r="G63" i="3" s="1"/>
  <c r="G64" i="3" s="1"/>
  <c r="G65" i="3" s="1"/>
  <c r="G66" i="3" s="1"/>
  <c r="G67" i="3" s="1"/>
  <c r="G68" i="3" s="1"/>
  <c r="G69" i="3" s="1"/>
  <c r="G70" i="3" s="1"/>
  <c r="G71" i="3" s="1"/>
  <c r="G72" i="3" s="1"/>
  <c r="G73" i="3" s="1"/>
  <c r="G74" i="3" s="1"/>
  <c r="G75" i="3" s="1"/>
  <c r="G76" i="3" s="1"/>
  <c r="G77" i="3" s="1"/>
  <c r="G78" i="3" s="1"/>
  <c r="G79" i="3" s="1"/>
  <c r="G80" i="3" s="1"/>
  <c r="G81" i="3" s="1"/>
  <c r="G82" i="3" s="1"/>
  <c r="G83" i="3" s="1"/>
  <c r="G84" i="3" s="1"/>
  <c r="G85" i="3" s="1"/>
  <c r="G86" i="3" s="1"/>
  <c r="G87" i="3" s="1"/>
  <c r="G88" i="3" s="1"/>
  <c r="G89" i="3" s="1"/>
  <c r="G90" i="3" s="1"/>
  <c r="G91" i="3" s="1"/>
  <c r="G92" i="3" s="1"/>
  <c r="G93" i="3" s="1"/>
  <c r="G94" i="3" s="1"/>
  <c r="G95" i="3" s="1"/>
  <c r="G96" i="3" s="1"/>
  <c r="G97" i="3" s="1"/>
  <c r="G98" i="3" s="1"/>
  <c r="G99" i="3" s="1"/>
  <c r="G100" i="3" s="1"/>
  <c r="G101" i="3" s="1"/>
  <c r="G102" i="3" s="1"/>
  <c r="G103" i="3" s="1"/>
  <c r="G104" i="3" s="1"/>
  <c r="G105" i="3" s="1"/>
  <c r="G106" i="3" s="1"/>
  <c r="G107" i="3" s="1"/>
  <c r="G108" i="3" s="1"/>
  <c r="G109" i="3" s="1"/>
  <c r="G110" i="3" s="1"/>
  <c r="G111" i="3" s="1"/>
  <c r="G112" i="3" s="1"/>
  <c r="G113" i="3" s="1"/>
  <c r="G114" i="3" s="1"/>
  <c r="G115" i="3" s="1"/>
  <c r="G116" i="3" s="1"/>
  <c r="G117" i="3" s="1"/>
  <c r="G118" i="3" s="1"/>
  <c r="G119" i="3" s="1"/>
  <c r="G120" i="3" s="1"/>
  <c r="G121" i="3" s="1"/>
  <c r="G122" i="3" s="1"/>
  <c r="G123" i="3" s="1"/>
  <c r="G124" i="3" s="1"/>
  <c r="G125" i="3" s="1"/>
  <c r="G126" i="3" s="1"/>
  <c r="G127" i="3" s="1"/>
  <c r="G128" i="3" s="1"/>
  <c r="G129" i="3" s="1"/>
  <c r="G130" i="3" s="1"/>
  <c r="G131" i="3" s="1"/>
  <c r="G132" i="3" s="1"/>
  <c r="G133" i="3" s="1"/>
  <c r="G134" i="3" s="1"/>
  <c r="G135" i="3" s="1"/>
  <c r="G136" i="3" s="1"/>
  <c r="G137" i="3" s="1"/>
  <c r="G138" i="3" s="1"/>
  <c r="G139" i="3" s="1"/>
  <c r="G140" i="3" s="1"/>
  <c r="G141" i="3" s="1"/>
  <c r="G142" i="3" s="1"/>
  <c r="G143" i="3" s="1"/>
  <c r="G144" i="3" s="1"/>
  <c r="G145" i="3" s="1"/>
  <c r="G146" i="3" s="1"/>
  <c r="G147" i="3" s="1"/>
  <c r="G148" i="3" s="1"/>
  <c r="G149" i="3" s="1"/>
  <c r="G150" i="3" s="1"/>
  <c r="G151" i="3" s="1"/>
  <c r="G152" i="3" s="1"/>
  <c r="G153" i="3" s="1"/>
  <c r="G154" i="3" s="1"/>
  <c r="G155" i="3" s="1"/>
  <c r="G156" i="3" s="1"/>
  <c r="G157" i="3" s="1"/>
  <c r="G158" i="3" s="1"/>
  <c r="G159" i="3" s="1"/>
  <c r="G160" i="3" s="1"/>
  <c r="G161" i="3" s="1"/>
  <c r="G162" i="3" s="1"/>
  <c r="G163" i="3" s="1"/>
  <c r="G164" i="3" s="1"/>
  <c r="G165" i="3" s="1"/>
  <c r="G166" i="3" s="1"/>
  <c r="G167" i="3" s="1"/>
  <c r="G168" i="3" s="1"/>
  <c r="G169" i="3" s="1"/>
  <c r="G170" i="3" s="1"/>
  <c r="G171" i="3" s="1"/>
  <c r="G172" i="3" s="1"/>
  <c r="G173" i="3" s="1"/>
  <c r="G174" i="3" s="1"/>
  <c r="G175" i="3" s="1"/>
  <c r="G176" i="3" s="1"/>
  <c r="G177" i="3" s="1"/>
  <c r="G178" i="3" s="1"/>
  <c r="G179" i="3" s="1"/>
  <c r="G180" i="3" s="1"/>
  <c r="G181" i="3" s="1"/>
  <c r="G182" i="3" s="1"/>
  <c r="G183" i="3" s="1"/>
  <c r="G184" i="3" s="1"/>
  <c r="G185" i="3" s="1"/>
  <c r="G186" i="3" s="1"/>
  <c r="G187" i="3" s="1"/>
  <c r="G188" i="3" s="1"/>
  <c r="G189" i="3" s="1"/>
  <c r="G190" i="3" s="1"/>
  <c r="G191" i="3" s="1"/>
  <c r="G192" i="3" s="1"/>
  <c r="G193" i="3" s="1"/>
  <c r="G194" i="3" s="1"/>
  <c r="G195" i="3" s="1"/>
  <c r="G196" i="3" s="1"/>
  <c r="G197" i="3" s="1"/>
  <c r="G198" i="3" s="1"/>
  <c r="G199" i="3" s="1"/>
  <c r="G200" i="3" s="1"/>
  <c r="G201" i="3" s="1"/>
  <c r="G202" i="3" s="1"/>
  <c r="G203" i="3" s="1"/>
  <c r="G204" i="3" s="1"/>
  <c r="G205" i="3" s="1"/>
  <c r="G206" i="3" s="1"/>
  <c r="G207" i="3" s="1"/>
  <c r="G208" i="3" s="1"/>
  <c r="G209" i="3" s="1"/>
  <c r="G210" i="3" s="1"/>
  <c r="G211" i="3" s="1"/>
  <c r="G212" i="3" s="1"/>
  <c r="G213" i="3" s="1"/>
  <c r="G214" i="3" s="1"/>
  <c r="G215" i="3" s="1"/>
  <c r="G216" i="3" s="1"/>
  <c r="G217" i="3" s="1"/>
  <c r="G218" i="3" s="1"/>
  <c r="G219" i="3" s="1"/>
  <c r="G220" i="3" s="1"/>
  <c r="G221" i="3" s="1"/>
  <c r="G222" i="3" s="1"/>
  <c r="G223" i="3" s="1"/>
  <c r="G224" i="3" s="1"/>
  <c r="G225" i="3" s="1"/>
  <c r="G226" i="3" s="1"/>
  <c r="G227" i="3" s="1"/>
  <c r="G228" i="3" s="1"/>
  <c r="G229" i="3" s="1"/>
  <c r="G230" i="3" s="1"/>
  <c r="G231" i="3" s="1"/>
  <c r="G232" i="3" s="1"/>
  <c r="G233" i="3" s="1"/>
  <c r="G234" i="3" s="1"/>
  <c r="G235" i="3" s="1"/>
  <c r="G236" i="3" s="1"/>
  <c r="G237" i="3" s="1"/>
  <c r="G238" i="3" s="1"/>
  <c r="G239" i="3" s="1"/>
  <c r="G240" i="3" s="1"/>
  <c r="G241" i="3" s="1"/>
  <c r="G242" i="3" s="1"/>
  <c r="G243" i="3" s="1"/>
  <c r="G244" i="3" s="1"/>
  <c r="G245" i="3" s="1"/>
  <c r="G246" i="3" s="1"/>
  <c r="G247" i="3" s="1"/>
  <c r="G248" i="3" s="1"/>
  <c r="G249" i="3" s="1"/>
  <c r="G250" i="3" s="1"/>
  <c r="G251" i="3" s="1"/>
  <c r="G252" i="3" s="1"/>
  <c r="G253" i="3" s="1"/>
  <c r="G254" i="3" s="1"/>
  <c r="G255" i="3" s="1"/>
  <c r="G256" i="3" s="1"/>
  <c r="G257" i="3" s="1"/>
  <c r="G258" i="3" s="1"/>
  <c r="G259" i="3" s="1"/>
  <c r="G260" i="3" s="1"/>
  <c r="G261" i="3" s="1"/>
  <c r="G262" i="3" s="1"/>
  <c r="G263" i="3" s="1"/>
  <c r="G264" i="3" s="1"/>
  <c r="G265" i="3" s="1"/>
  <c r="G266" i="3" s="1"/>
  <c r="G267" i="3" s="1"/>
  <c r="G268" i="3" s="1"/>
  <c r="G269" i="3" s="1"/>
  <c r="G270" i="3" s="1"/>
  <c r="G271" i="3" s="1"/>
  <c r="G272" i="3" s="1"/>
  <c r="G273" i="3" s="1"/>
  <c r="G274" i="3" s="1"/>
  <c r="G275" i="3" s="1"/>
  <c r="G276" i="3" s="1"/>
  <c r="G277" i="3" s="1"/>
  <c r="G278" i="3" s="1"/>
  <c r="G279" i="3" s="1"/>
  <c r="G280" i="3" s="1"/>
  <c r="G281" i="3" s="1"/>
  <c r="G282" i="3" s="1"/>
  <c r="G283" i="3" s="1"/>
  <c r="G284" i="3" s="1"/>
  <c r="G285" i="3" s="1"/>
  <c r="G286" i="3" s="1"/>
  <c r="G287" i="3" s="1"/>
  <c r="G288" i="3" s="1"/>
  <c r="G289" i="3" s="1"/>
  <c r="G290" i="3" s="1"/>
  <c r="G291" i="3" s="1"/>
  <c r="G292" i="3" s="1"/>
  <c r="G293" i="3" s="1"/>
  <c r="G294" i="3" s="1"/>
  <c r="G295" i="3" s="1"/>
  <c r="G296" i="3" s="1"/>
  <c r="G297" i="3" s="1"/>
  <c r="G298" i="3" s="1"/>
  <c r="G299" i="3" s="1"/>
  <c r="G300" i="3" s="1"/>
  <c r="G301" i="3" s="1"/>
  <c r="G302" i="3" s="1"/>
  <c r="G303" i="3" s="1"/>
  <c r="G304" i="3" s="1"/>
  <c r="G305" i="3" s="1"/>
  <c r="G306" i="3" s="1"/>
  <c r="G307" i="3" s="1"/>
  <c r="G308" i="3" s="1"/>
  <c r="G309" i="3" s="1"/>
  <c r="G310" i="3" s="1"/>
  <c r="G311" i="3" s="1"/>
  <c r="G312" i="3" s="1"/>
  <c r="G313" i="3" s="1"/>
  <c r="G314" i="3" s="1"/>
  <c r="G315" i="3" s="1"/>
  <c r="G316" i="3" s="1"/>
  <c r="G317" i="3" s="1"/>
  <c r="G318" i="3" s="1"/>
  <c r="G319" i="3" s="1"/>
  <c r="G320" i="3" s="1"/>
  <c r="G321" i="3" s="1"/>
  <c r="G322" i="3" s="1"/>
  <c r="G323" i="3" s="1"/>
  <c r="G324" i="3" s="1"/>
  <c r="G325" i="3" s="1"/>
  <c r="G326" i="3" s="1"/>
  <c r="G327" i="3" s="1"/>
  <c r="G328" i="3" s="1"/>
  <c r="G329" i="3" s="1"/>
  <c r="G330" i="3" s="1"/>
  <c r="G331" i="3" s="1"/>
  <c r="G332" i="3" s="1"/>
  <c r="G333" i="3" s="1"/>
  <c r="G334" i="3" s="1"/>
  <c r="G335" i="3" s="1"/>
  <c r="G336" i="3" s="1"/>
  <c r="G337" i="3" s="1"/>
  <c r="G338" i="3" s="1"/>
  <c r="G339" i="3" s="1"/>
  <c r="G340" i="3" s="1"/>
  <c r="G341" i="3" s="1"/>
  <c r="G342" i="3" s="1"/>
  <c r="G343" i="3" s="1"/>
  <c r="G344" i="3" s="1"/>
  <c r="G345" i="3" s="1"/>
  <c r="G346" i="3" s="1"/>
  <c r="G347" i="3" s="1"/>
  <c r="G348" i="3" s="1"/>
  <c r="G349" i="3" s="1"/>
  <c r="G350" i="3" s="1"/>
  <c r="G351" i="3" s="1"/>
  <c r="G352" i="3" s="1"/>
  <c r="G353" i="3" s="1"/>
  <c r="G354" i="3" s="1"/>
  <c r="G355" i="3" s="1"/>
  <c r="G356" i="3" s="1"/>
  <c r="G357" i="3" s="1"/>
  <c r="G358" i="3" s="1"/>
  <c r="G359" i="3" s="1"/>
  <c r="G360" i="3" s="1"/>
  <c r="G361" i="3" s="1"/>
  <c r="G362" i="3" s="1"/>
  <c r="G363" i="3" s="1"/>
  <c r="G364" i="3" s="1"/>
  <c r="G365" i="3" s="1"/>
  <c r="G366" i="3" s="1"/>
  <c r="G367" i="3" s="1"/>
  <c r="G368" i="3" s="1"/>
  <c r="G369" i="3" s="1"/>
  <c r="G370" i="3" s="1"/>
  <c r="G371" i="3" s="1"/>
  <c r="G372" i="3" s="1"/>
  <c r="G373" i="3" s="1"/>
  <c r="G374" i="3" s="1"/>
  <c r="G375" i="3" s="1"/>
  <c r="G376" i="3" s="1"/>
  <c r="G377" i="3" s="1"/>
  <c r="G378" i="3" s="1"/>
  <c r="G379" i="3" s="1"/>
  <c r="G380" i="3" s="1"/>
  <c r="G381" i="3" s="1"/>
  <c r="G382" i="3" s="1"/>
  <c r="G383" i="3" s="1"/>
  <c r="G384" i="3" s="1"/>
  <c r="G385" i="3" s="1"/>
  <c r="G386" i="3" s="1"/>
  <c r="G387" i="3" s="1"/>
  <c r="G388" i="3" s="1"/>
  <c r="G389" i="3" s="1"/>
  <c r="G390" i="3" s="1"/>
  <c r="G391" i="3" s="1"/>
  <c r="G392" i="3" s="1"/>
  <c r="G393" i="3" s="1"/>
  <c r="G394" i="3" s="1"/>
  <c r="G395" i="3" s="1"/>
  <c r="G396" i="3" s="1"/>
  <c r="G397" i="3" s="1"/>
  <c r="G398" i="3" s="1"/>
  <c r="G399" i="3" s="1"/>
  <c r="G400" i="3" s="1"/>
  <c r="G401" i="3" s="1"/>
  <c r="G402" i="3" s="1"/>
  <c r="G403" i="3" s="1"/>
  <c r="G404" i="3" s="1"/>
  <c r="G405" i="3" s="1"/>
  <c r="G406" i="3" s="1"/>
  <c r="G407" i="3" s="1"/>
  <c r="G408" i="3" s="1"/>
  <c r="G409" i="3" s="1"/>
  <c r="G410" i="3" s="1"/>
  <c r="G411" i="3" s="1"/>
  <c r="G412" i="3" s="1"/>
  <c r="G413" i="3" s="1"/>
  <c r="G414" i="3" s="1"/>
  <c r="G415" i="3" s="1"/>
  <c r="G416" i="3" s="1"/>
  <c r="G417" i="3" s="1"/>
  <c r="G418" i="3" s="1"/>
  <c r="G419" i="3" s="1"/>
  <c r="G420" i="3" s="1"/>
  <c r="G421" i="3" s="1"/>
  <c r="G422" i="3" s="1"/>
  <c r="G423" i="3" s="1"/>
  <c r="G424" i="3" s="1"/>
  <c r="G425" i="3" s="1"/>
  <c r="G426" i="3" s="1"/>
  <c r="G427" i="3" s="1"/>
  <c r="G428" i="3" s="1"/>
  <c r="G429" i="3" s="1"/>
  <c r="G430" i="3" s="1"/>
  <c r="G431" i="3" s="1"/>
  <c r="G432" i="3" s="1"/>
  <c r="G433" i="3" s="1"/>
  <c r="G434" i="3" s="1"/>
  <c r="G435" i="3" s="1"/>
  <c r="G436" i="3" s="1"/>
  <c r="G437" i="3" s="1"/>
  <c r="G438" i="3" s="1"/>
  <c r="G439" i="3" s="1"/>
  <c r="G440" i="3" s="1"/>
  <c r="G441" i="3" s="1"/>
  <c r="G442" i="3" s="1"/>
  <c r="G443" i="3" s="1"/>
  <c r="G444" i="3" s="1"/>
  <c r="G445" i="3" s="1"/>
  <c r="G446" i="3" s="1"/>
  <c r="G447" i="3" s="1"/>
  <c r="G448" i="3" s="1"/>
  <c r="G449" i="3" s="1"/>
  <c r="G450" i="3" s="1"/>
  <c r="G451" i="3" s="1"/>
  <c r="G452" i="3" s="1"/>
  <c r="G453" i="3" s="1"/>
  <c r="G454" i="3" s="1"/>
  <c r="G455" i="3" s="1"/>
  <c r="G456" i="3" s="1"/>
  <c r="G457" i="3" s="1"/>
  <c r="G458" i="3" s="1"/>
  <c r="G459" i="3" s="1"/>
  <c r="G460" i="3" s="1"/>
  <c r="G461" i="3" s="1"/>
  <c r="G462" i="3" s="1"/>
  <c r="G463" i="3" s="1"/>
  <c r="G464" i="3" s="1"/>
  <c r="G465" i="3" s="1"/>
  <c r="G466" i="3" s="1"/>
  <c r="G467" i="3" s="1"/>
  <c r="G468" i="3" s="1"/>
  <c r="G469" i="3" s="1"/>
  <c r="G470" i="3" s="1"/>
  <c r="G471" i="3" s="1"/>
  <c r="G472" i="3" s="1"/>
  <c r="G473" i="3" s="1"/>
  <c r="G474" i="3" s="1"/>
  <c r="G475" i="3" s="1"/>
  <c r="G476" i="3" s="1"/>
  <c r="G477" i="3" s="1"/>
  <c r="G478" i="3" s="1"/>
  <c r="G479" i="3" s="1"/>
  <c r="G480" i="3" s="1"/>
  <c r="G481" i="3" s="1"/>
  <c r="G482" i="3" s="1"/>
  <c r="G483" i="3" s="1"/>
  <c r="G484" i="3" s="1"/>
  <c r="G485" i="3" s="1"/>
  <c r="G486" i="3" s="1"/>
  <c r="G487" i="3" s="1"/>
  <c r="G488" i="3" s="1"/>
  <c r="G489" i="3" s="1"/>
  <c r="G490" i="3" s="1"/>
  <c r="G491" i="3" s="1"/>
  <c r="G492" i="3" s="1"/>
  <c r="G493" i="3" s="1"/>
  <c r="G494" i="3" s="1"/>
  <c r="G495" i="3" s="1"/>
  <c r="G496" i="3" s="1"/>
  <c r="G497" i="3" s="1"/>
  <c r="G498" i="3" s="1"/>
  <c r="G499" i="3" s="1"/>
  <c r="G500" i="3" s="1"/>
  <c r="G501" i="3" s="1"/>
  <c r="G502" i="3" s="1"/>
  <c r="G503" i="3" s="1"/>
  <c r="G504" i="3" s="1"/>
  <c r="G505" i="3" s="1"/>
  <c r="G506" i="3" s="1"/>
  <c r="G507" i="3" s="1"/>
  <c r="G508" i="3" s="1"/>
  <c r="G509" i="3" s="1"/>
  <c r="G510" i="3" s="1"/>
  <c r="G511" i="3" s="1"/>
  <c r="G512" i="3" s="1"/>
  <c r="G513" i="3" s="1"/>
  <c r="G514" i="3" s="1"/>
  <c r="G515" i="3" s="1"/>
  <c r="G516" i="3" s="1"/>
  <c r="G517" i="3" s="1"/>
  <c r="G518" i="3" s="1"/>
  <c r="G519" i="3" s="1"/>
  <c r="G520" i="3" s="1"/>
  <c r="G521" i="3" s="1"/>
  <c r="G522" i="3" s="1"/>
  <c r="G523" i="3" s="1"/>
  <c r="G524" i="3" s="1"/>
  <c r="G525" i="3" s="1"/>
  <c r="G526" i="3" s="1"/>
  <c r="G527" i="3" s="1"/>
  <c r="G528" i="3" s="1"/>
  <c r="G529" i="3" s="1"/>
  <c r="G530" i="3" s="1"/>
  <c r="G531" i="3" s="1"/>
  <c r="G532" i="3" s="1"/>
  <c r="G533" i="3" s="1"/>
  <c r="G534" i="3" s="1"/>
  <c r="G535" i="3" s="1"/>
  <c r="G536" i="3" s="1"/>
  <c r="G537" i="3" s="1"/>
  <c r="G538" i="3" s="1"/>
  <c r="G539" i="3" s="1"/>
  <c r="G540" i="3" s="1"/>
  <c r="G541" i="3" s="1"/>
  <c r="G542" i="3" s="1"/>
  <c r="G543" i="3" s="1"/>
  <c r="G544" i="3" s="1"/>
  <c r="G545" i="3" s="1"/>
  <c r="G546" i="3" s="1"/>
  <c r="G547" i="3" s="1"/>
  <c r="G548" i="3" s="1"/>
  <c r="G549" i="3" s="1"/>
  <c r="G550" i="3" s="1"/>
  <c r="G551" i="3" s="1"/>
  <c r="G552" i="3" s="1"/>
  <c r="G553" i="3" s="1"/>
  <c r="G554" i="3" s="1"/>
  <c r="G555" i="3" s="1"/>
  <c r="G556" i="3" s="1"/>
  <c r="G557" i="3" s="1"/>
  <c r="G558" i="3" s="1"/>
  <c r="G559" i="3" s="1"/>
  <c r="G560" i="3" s="1"/>
  <c r="G561" i="3" s="1"/>
  <c r="G562" i="3" s="1"/>
  <c r="G563" i="3" s="1"/>
  <c r="G564" i="3" s="1"/>
  <c r="G565" i="3" s="1"/>
  <c r="G566" i="3" s="1"/>
  <c r="G567" i="3" s="1"/>
  <c r="G568" i="3" s="1"/>
  <c r="G569" i="3" s="1"/>
  <c r="G570" i="3" s="1"/>
  <c r="G571" i="3" s="1"/>
  <c r="G572" i="3" s="1"/>
  <c r="G573" i="3" s="1"/>
  <c r="G574" i="3" s="1"/>
  <c r="G575" i="3" s="1"/>
  <c r="G576" i="3" s="1"/>
  <c r="G577" i="3" s="1"/>
  <c r="G578" i="3" s="1"/>
  <c r="G579" i="3" s="1"/>
  <c r="G580" i="3" s="1"/>
  <c r="G581" i="3" s="1"/>
  <c r="G582" i="3" s="1"/>
  <c r="G583" i="3" s="1"/>
  <c r="G584" i="3" s="1"/>
  <c r="G585" i="3" s="1"/>
  <c r="G586" i="3" s="1"/>
  <c r="G587" i="3" s="1"/>
  <c r="G588" i="3" s="1"/>
  <c r="G589" i="3" s="1"/>
  <c r="G590" i="3" s="1"/>
  <c r="G591" i="3" s="1"/>
  <c r="G592" i="3" s="1"/>
  <c r="G593" i="3" s="1"/>
  <c r="G594" i="3" s="1"/>
  <c r="G595" i="3" s="1"/>
  <c r="G596" i="3" s="1"/>
  <c r="G597" i="3" s="1"/>
  <c r="G598" i="3" s="1"/>
  <c r="G599" i="3" s="1"/>
  <c r="G600" i="3" s="1"/>
  <c r="G601" i="3" s="1"/>
  <c r="G602" i="3" s="1"/>
  <c r="G603" i="3" s="1"/>
  <c r="G604" i="3" s="1"/>
  <c r="G605" i="3" s="1"/>
  <c r="G606" i="3" s="1"/>
  <c r="G607" i="3" s="1"/>
  <c r="G608" i="3" s="1"/>
  <c r="G609" i="3" s="1"/>
  <c r="G610" i="3" s="1"/>
  <c r="G611" i="3" s="1"/>
  <c r="G612" i="3" s="1"/>
  <c r="G613" i="3" s="1"/>
  <c r="G614" i="3" s="1"/>
  <c r="G615" i="3" s="1"/>
  <c r="G616" i="3" s="1"/>
  <c r="G617" i="3" s="1"/>
  <c r="G618" i="3" s="1"/>
  <c r="G619" i="3" s="1"/>
  <c r="G620" i="3" s="1"/>
  <c r="G621" i="3" s="1"/>
  <c r="G622" i="3" s="1"/>
  <c r="G623" i="3" s="1"/>
  <c r="G624" i="3" s="1"/>
  <c r="G625" i="3" s="1"/>
  <c r="G626" i="3" s="1"/>
  <c r="G627" i="3" s="1"/>
  <c r="G628" i="3" s="1"/>
  <c r="G629" i="3" s="1"/>
  <c r="G630" i="3" s="1"/>
  <c r="G631" i="3" s="1"/>
  <c r="G632" i="3" s="1"/>
  <c r="G633" i="3" s="1"/>
  <c r="G634" i="3" s="1"/>
  <c r="G635" i="3" s="1"/>
  <c r="G636" i="3" s="1"/>
  <c r="G637" i="3" s="1"/>
  <c r="G638" i="3" s="1"/>
  <c r="G639" i="3" s="1"/>
  <c r="G640" i="3" s="1"/>
  <c r="G641" i="3" s="1"/>
  <c r="G642" i="3" s="1"/>
  <c r="G643" i="3" s="1"/>
  <c r="G644" i="3" s="1"/>
  <c r="G645" i="3" s="1"/>
  <c r="G646" i="3" s="1"/>
  <c r="G647" i="3" s="1"/>
  <c r="G648" i="3" s="1"/>
  <c r="G649" i="3" s="1"/>
  <c r="G650" i="3" s="1"/>
  <c r="G651" i="3" s="1"/>
  <c r="G652" i="3" s="1"/>
  <c r="G653" i="3" s="1"/>
  <c r="G654" i="3" s="1"/>
  <c r="G655" i="3" s="1"/>
  <c r="G656" i="3" s="1"/>
  <c r="G657" i="3" s="1"/>
  <c r="G658" i="3" s="1"/>
  <c r="G659" i="3" s="1"/>
  <c r="G660" i="3" s="1"/>
  <c r="G661" i="3" s="1"/>
  <c r="G662" i="3" s="1"/>
  <c r="G663" i="3" s="1"/>
  <c r="G664" i="3" s="1"/>
  <c r="G665" i="3" s="1"/>
  <c r="G666" i="3" s="1"/>
  <c r="G667" i="3" s="1"/>
  <c r="G668" i="3" s="1"/>
  <c r="G669" i="3" s="1"/>
  <c r="G670" i="3" s="1"/>
  <c r="G671" i="3" s="1"/>
  <c r="G672" i="3" s="1"/>
  <c r="G673" i="3" s="1"/>
  <c r="G674" i="3" s="1"/>
  <c r="G675" i="3" s="1"/>
  <c r="G676" i="3" s="1"/>
  <c r="G677" i="3" s="1"/>
  <c r="G678" i="3" s="1"/>
  <c r="G679" i="3" s="1"/>
  <c r="G680" i="3" s="1"/>
  <c r="G681" i="3" s="1"/>
  <c r="G682" i="3" s="1"/>
  <c r="G683" i="3" s="1"/>
  <c r="G684" i="3" s="1"/>
  <c r="G685" i="3" s="1"/>
  <c r="G686" i="3" s="1"/>
  <c r="G687" i="3" s="1"/>
  <c r="G688" i="3" s="1"/>
  <c r="G689" i="3" s="1"/>
  <c r="G690" i="3" s="1"/>
  <c r="G691" i="3" s="1"/>
  <c r="G692" i="3" s="1"/>
  <c r="G693" i="3" s="1"/>
  <c r="G694" i="3" s="1"/>
  <c r="G695" i="3" s="1"/>
  <c r="G696" i="3" s="1"/>
  <c r="G697" i="3" s="1"/>
  <c r="G698" i="3" s="1"/>
  <c r="G699" i="3" s="1"/>
  <c r="G700" i="3" s="1"/>
  <c r="G701" i="3" s="1"/>
  <c r="G702" i="3" s="1"/>
  <c r="G703" i="3" s="1"/>
  <c r="G704" i="3" s="1"/>
  <c r="G705" i="3" s="1"/>
  <c r="G706" i="3" s="1"/>
  <c r="G707" i="3" s="1"/>
  <c r="G708" i="3" s="1"/>
  <c r="G709" i="3" s="1"/>
  <c r="G710" i="3" s="1"/>
  <c r="G711" i="3" s="1"/>
  <c r="G712" i="3" s="1"/>
  <c r="G713" i="3" s="1"/>
  <c r="G714" i="3" s="1"/>
  <c r="G715" i="3" s="1"/>
  <c r="G716" i="3" s="1"/>
  <c r="G717" i="3" s="1"/>
  <c r="G718" i="3" s="1"/>
  <c r="G719" i="3" s="1"/>
  <c r="G720" i="3" s="1"/>
  <c r="G721" i="3" s="1"/>
  <c r="G722" i="3" s="1"/>
  <c r="G723" i="3" s="1"/>
  <c r="G724" i="3" s="1"/>
  <c r="G725" i="3" s="1"/>
  <c r="G726" i="3" s="1"/>
  <c r="G727" i="3" s="1"/>
  <c r="G728" i="3" s="1"/>
  <c r="G729" i="3" s="1"/>
  <c r="G730" i="3" s="1"/>
  <c r="G731" i="3" s="1"/>
  <c r="G732" i="3" s="1"/>
  <c r="G733" i="3" s="1"/>
  <c r="G734" i="3" s="1"/>
  <c r="G735" i="3" s="1"/>
  <c r="G736" i="3" s="1"/>
  <c r="G737" i="3" s="1"/>
  <c r="G738" i="3" s="1"/>
  <c r="G739" i="3" s="1"/>
  <c r="G740" i="3" s="1"/>
  <c r="G741" i="3" s="1"/>
  <c r="G742" i="3" s="1"/>
  <c r="G743" i="3" s="1"/>
  <c r="G744" i="3" s="1"/>
  <c r="G745" i="3" s="1"/>
  <c r="G746" i="3" s="1"/>
  <c r="G747" i="3" s="1"/>
  <c r="G748" i="3" s="1"/>
  <c r="G749" i="3" s="1"/>
  <c r="G750" i="3" s="1"/>
  <c r="G751" i="3" s="1"/>
  <c r="G752" i="3" s="1"/>
  <c r="G753" i="3" s="1"/>
  <c r="G754" i="3" s="1"/>
  <c r="G755" i="3" s="1"/>
  <c r="G756" i="3" s="1"/>
  <c r="G757" i="3" s="1"/>
  <c r="G758" i="3" s="1"/>
  <c r="G759" i="3" s="1"/>
  <c r="G760" i="3" s="1"/>
  <c r="G761" i="3" s="1"/>
  <c r="G762" i="3" s="1"/>
  <c r="G763" i="3" s="1"/>
  <c r="G764" i="3" s="1"/>
  <c r="G765" i="3" s="1"/>
  <c r="G766" i="3" s="1"/>
  <c r="G767" i="3" s="1"/>
  <c r="G768" i="3" s="1"/>
  <c r="G769" i="3" s="1"/>
  <c r="G770" i="3" s="1"/>
  <c r="G771" i="3" s="1"/>
  <c r="G772" i="3" s="1"/>
  <c r="G773" i="3" s="1"/>
  <c r="G774" i="3" s="1"/>
  <c r="G775" i="3" s="1"/>
  <c r="G776" i="3" s="1"/>
  <c r="G777" i="3" s="1"/>
  <c r="G778" i="3" s="1"/>
  <c r="G779" i="3" s="1"/>
  <c r="G780" i="3" s="1"/>
  <c r="G781" i="3" s="1"/>
  <c r="G782" i="3" s="1"/>
  <c r="G783" i="3" s="1"/>
  <c r="G784" i="3" s="1"/>
  <c r="G785" i="3" s="1"/>
  <c r="G786" i="3" s="1"/>
  <c r="G787" i="3" s="1"/>
  <c r="G788" i="3" s="1"/>
  <c r="G789" i="3" s="1"/>
  <c r="G790" i="3" s="1"/>
  <c r="G791" i="3" s="1"/>
  <c r="G792" i="3" s="1"/>
  <c r="G793" i="3" s="1"/>
  <c r="G794" i="3" s="1"/>
  <c r="G795" i="3" s="1"/>
  <c r="G796" i="3" s="1"/>
  <c r="G797" i="3" s="1"/>
  <c r="G798" i="3" s="1"/>
  <c r="G799" i="3" s="1"/>
  <c r="G800" i="3" s="1"/>
  <c r="G801" i="3" s="1"/>
  <c r="G802" i="3" s="1"/>
  <c r="G803" i="3" s="1"/>
  <c r="G804" i="3" s="1"/>
  <c r="G805" i="3" s="1"/>
  <c r="G806" i="3" s="1"/>
  <c r="G807" i="3" s="1"/>
  <c r="G808" i="3" s="1"/>
  <c r="G809" i="3" s="1"/>
  <c r="G810" i="3" s="1"/>
  <c r="G811" i="3" s="1"/>
  <c r="G812" i="3" s="1"/>
  <c r="G813" i="3" s="1"/>
  <c r="G814" i="3" s="1"/>
  <c r="G815" i="3" s="1"/>
  <c r="G816" i="3" s="1"/>
  <c r="G817" i="3" s="1"/>
  <c r="G818" i="3" s="1"/>
  <c r="G819" i="3" s="1"/>
  <c r="G820" i="3" s="1"/>
  <c r="G821" i="3" s="1"/>
  <c r="G822" i="3" s="1"/>
  <c r="G823" i="3" s="1"/>
  <c r="G824" i="3" s="1"/>
  <c r="G825" i="3" s="1"/>
  <c r="G826" i="3" s="1"/>
  <c r="G827" i="3" s="1"/>
  <c r="G828" i="3" s="1"/>
  <c r="G829" i="3" s="1"/>
  <c r="G830" i="3" s="1"/>
  <c r="G831" i="3" s="1"/>
  <c r="G832" i="3" s="1"/>
  <c r="G833" i="3" s="1"/>
  <c r="G834" i="3" s="1"/>
  <c r="G835" i="3" s="1"/>
  <c r="G836" i="3" s="1"/>
  <c r="G837" i="3" s="1"/>
  <c r="G838" i="3" s="1"/>
  <c r="G839" i="3" s="1"/>
  <c r="G840" i="3" s="1"/>
  <c r="G841" i="3" s="1"/>
  <c r="G842" i="3" s="1"/>
  <c r="G843" i="3" s="1"/>
  <c r="G844" i="3" s="1"/>
  <c r="G845" i="3" s="1"/>
  <c r="G846" i="3" s="1"/>
  <c r="G847" i="3" s="1"/>
  <c r="G848" i="3" s="1"/>
  <c r="G849" i="3" s="1"/>
  <c r="G850" i="3" s="1"/>
  <c r="G851" i="3" s="1"/>
  <c r="G852" i="3" s="1"/>
  <c r="G853" i="3" s="1"/>
  <c r="G854" i="3" s="1"/>
  <c r="G855" i="3" s="1"/>
  <c r="G856" i="3" s="1"/>
  <c r="G857" i="3" s="1"/>
  <c r="G858" i="3" s="1"/>
  <c r="G859" i="3" s="1"/>
  <c r="G860" i="3" s="1"/>
  <c r="G861" i="3" s="1"/>
  <c r="G862" i="3" s="1"/>
  <c r="AG12" i="7"/>
  <c r="C15" i="3"/>
  <c r="C5" i="16" s="1"/>
  <c r="D5" i="16" s="1"/>
  <c r="C6" i="18"/>
  <c r="C7" i="18" s="1"/>
  <c r="AG19" i="7"/>
  <c r="AJ9" i="7"/>
  <c r="I29" i="12"/>
  <c r="X56" i="7"/>
  <c r="AA10" i="7"/>
  <c r="AD9" i="7"/>
  <c r="P9" i="7"/>
  <c r="P116" i="15"/>
  <c r="M116" i="15"/>
  <c r="AA15" i="7"/>
  <c r="AA12" i="7"/>
  <c r="F4" i="15"/>
  <c r="M34" i="15" s="1"/>
  <c r="B9" i="15"/>
  <c r="N58" i="15"/>
  <c r="C64" i="19"/>
  <c r="C65" i="19" s="1"/>
  <c r="C67" i="19" s="1"/>
  <c r="F12" i="15"/>
  <c r="C12" i="15" s="1"/>
  <c r="B13" i="15"/>
  <c r="B14" i="15" s="1"/>
  <c r="B15" i="15" s="1"/>
  <c r="F15" i="15" s="1"/>
  <c r="E12" i="15"/>
  <c r="C10" i="15"/>
  <c r="Z14" i="11"/>
  <c r="Z20" i="11" s="1"/>
  <c r="M27" i="18"/>
  <c r="M32" i="18"/>
  <c r="M28" i="18"/>
  <c r="M38" i="18"/>
  <c r="M26" i="18"/>
  <c r="M36" i="18"/>
  <c r="B47" i="18"/>
  <c r="J28" i="3"/>
  <c r="P75" i="15"/>
  <c r="P76" i="15" s="1"/>
  <c r="AI888" i="3"/>
  <c r="G910" i="4"/>
  <c r="C3" i="4"/>
  <c r="C12" i="18" s="1"/>
  <c r="N15" i="7"/>
  <c r="P15" i="7" s="1"/>
  <c r="D24" i="9"/>
  <c r="B24" i="9" s="1"/>
  <c r="F24" i="9"/>
  <c r="C31" i="2"/>
  <c r="E29" i="3"/>
  <c r="E30" i="3" s="1"/>
  <c r="D45" i="2"/>
  <c r="I45" i="2" s="1"/>
  <c r="AD57" i="7"/>
  <c r="AG57" i="7"/>
  <c r="T57" i="7"/>
  <c r="U57" i="7" s="1"/>
  <c r="R58" i="7"/>
  <c r="T58" i="7" s="1"/>
  <c r="AA14" i="7"/>
  <c r="P21" i="7"/>
  <c r="AA36" i="7"/>
  <c r="AG10" i="7"/>
  <c r="AG35" i="7"/>
  <c r="S35" i="7"/>
  <c r="U35" i="7" s="1"/>
  <c r="R36" i="7"/>
  <c r="AJ35" i="7"/>
  <c r="AA14" i="11"/>
  <c r="AA20" i="11" s="1"/>
  <c r="N14" i="7"/>
  <c r="P14" i="7" s="1"/>
  <c r="AI894" i="3"/>
  <c r="AA56" i="7"/>
  <c r="O33" i="7"/>
  <c r="N33" i="7"/>
  <c r="P33" i="7" s="1"/>
  <c r="M11" i="7"/>
  <c r="O10" i="7"/>
  <c r="P10" i="7" s="1"/>
  <c r="U11" i="7"/>
  <c r="X57" i="7"/>
  <c r="AA19" i="7"/>
  <c r="U9" i="7"/>
  <c r="AJ57" i="7"/>
  <c r="AG15" i="7"/>
  <c r="H74" i="16"/>
  <c r="Q74" i="16"/>
  <c r="AJ14" i="7"/>
  <c r="R74" i="16"/>
  <c r="AJ13" i="7"/>
  <c r="A24" i="2"/>
  <c r="X19" i="7"/>
  <c r="R195" i="15"/>
  <c r="U14" i="7"/>
  <c r="AA9" i="7"/>
  <c r="AG56" i="7"/>
  <c r="P59" i="15"/>
  <c r="P60" i="15" s="1"/>
  <c r="M93" i="15"/>
  <c r="M95" i="15" s="1"/>
  <c r="T13" i="7"/>
  <c r="X9" i="7"/>
  <c r="C20" i="14"/>
  <c r="C25" i="14" s="1"/>
  <c r="C26" i="14" s="1"/>
  <c r="P74" i="15"/>
  <c r="AJ56" i="7"/>
  <c r="P73" i="15"/>
  <c r="E15" i="15"/>
  <c r="D14" i="15"/>
  <c r="R196" i="15"/>
  <c r="C11" i="15"/>
  <c r="C24" i="2"/>
  <c r="C25" i="2" s="1"/>
  <c r="F31" i="3"/>
  <c r="F32" i="3" s="1"/>
  <c r="F33" i="3" s="1"/>
  <c r="M38" i="15"/>
  <c r="Q53" i="15"/>
  <c r="Q54" i="15" s="1"/>
  <c r="M44" i="15"/>
  <c r="M46" i="15" s="1"/>
  <c r="AN28" i="2"/>
  <c r="AO37" i="2" s="1"/>
  <c r="AN23" i="2"/>
  <c r="AN22" i="2"/>
  <c r="AN21" i="2"/>
  <c r="AN24" i="2"/>
  <c r="AO33" i="2" s="1"/>
  <c r="AN29" i="2"/>
  <c r="AO38" i="2" s="1"/>
  <c r="AN27" i="2"/>
  <c r="AO36" i="2" s="1"/>
  <c r="AN25" i="2"/>
  <c r="AO34" i="2" s="1"/>
  <c r="AN30" i="2"/>
  <c r="AO39" i="2" s="1"/>
  <c r="AN26" i="2"/>
  <c r="AO35" i="2" s="1"/>
  <c r="C35" i="2" s="1"/>
  <c r="F47" i="2"/>
  <c r="C48" i="2"/>
  <c r="E48" i="2" s="1"/>
  <c r="D47" i="2"/>
  <c r="E47" i="2"/>
  <c r="D46" i="2"/>
  <c r="F46" i="2"/>
  <c r="E46" i="2"/>
  <c r="R28" i="3"/>
  <c r="M40" i="15"/>
  <c r="Q49" i="15"/>
  <c r="Q50" i="15" s="1"/>
  <c r="C15" i="16"/>
  <c r="C41" i="16" s="1"/>
  <c r="X13" i="7"/>
  <c r="B8" i="15"/>
  <c r="E9" i="15"/>
  <c r="F9" i="15"/>
  <c r="D9" i="15"/>
  <c r="O16" i="7"/>
  <c r="AD13" i="7"/>
  <c r="N16" i="7"/>
  <c r="S13" i="7"/>
  <c r="AI904" i="3"/>
  <c r="N45" i="7"/>
  <c r="M46" i="7"/>
  <c r="O45" i="7"/>
  <c r="M18" i="7"/>
  <c r="AI903" i="3"/>
  <c r="N17" i="7"/>
  <c r="P17" i="7" s="1"/>
  <c r="AI887" i="3"/>
  <c r="AI867" i="3"/>
  <c r="AI890" i="3"/>
  <c r="AI874" i="3"/>
  <c r="AI901" i="3"/>
  <c r="AI882" i="3"/>
  <c r="AI900" i="3"/>
  <c r="AI870" i="3"/>
  <c r="AI886" i="3"/>
  <c r="AI891" i="3"/>
  <c r="AI881" i="3"/>
  <c r="AI909" i="3"/>
  <c r="AI884" i="3"/>
  <c r="AI878" i="3"/>
  <c r="AI907" i="3"/>
  <c r="AI868" i="3"/>
  <c r="AI876" i="3"/>
  <c r="AI895" i="3"/>
  <c r="C17" i="3"/>
  <c r="AI865" i="3"/>
  <c r="AI875" i="3"/>
  <c r="AI877" i="3"/>
  <c r="AI908" i="3"/>
  <c r="AI885" i="3"/>
  <c r="AI897" i="3"/>
  <c r="AI896" i="3"/>
  <c r="AI871" i="3"/>
  <c r="AI898" i="3"/>
  <c r="N44" i="7"/>
  <c r="C27" i="16"/>
  <c r="C42" i="16" s="1"/>
  <c r="M22" i="7"/>
  <c r="O44" i="7"/>
  <c r="R21" i="7"/>
  <c r="X20" i="7"/>
  <c r="O34" i="7"/>
  <c r="M35" i="7"/>
  <c r="N34" i="7"/>
  <c r="AA35" i="7"/>
  <c r="X35" i="7"/>
  <c r="K16" i="15"/>
  <c r="K17" i="15" s="1"/>
  <c r="AJ20" i="7"/>
  <c r="AD35" i="7"/>
  <c r="S15" i="7"/>
  <c r="U15" i="7" s="1"/>
  <c r="R16" i="7"/>
  <c r="I25" i="12"/>
  <c r="J74" i="16"/>
  <c r="AI872" i="3" l="1"/>
  <c r="AI866" i="3"/>
  <c r="AI889" i="3"/>
  <c r="AI899" i="3"/>
  <c r="AI863" i="3"/>
  <c r="U13" i="7"/>
  <c r="AI864" i="3"/>
  <c r="AI873" i="3"/>
  <c r="AI883" i="3"/>
  <c r="AI902" i="3"/>
  <c r="AI880" i="3"/>
  <c r="AI906" i="3"/>
  <c r="AI905" i="3"/>
  <c r="AI879" i="3"/>
  <c r="P45" i="7"/>
  <c r="R30" i="3"/>
  <c r="S30" i="3" s="1"/>
  <c r="T30" i="3" s="1"/>
  <c r="P16" i="7"/>
  <c r="C35" i="18"/>
  <c r="C32" i="18"/>
  <c r="C36" i="18"/>
  <c r="C22" i="18"/>
  <c r="C42" i="18"/>
  <c r="C24" i="18"/>
  <c r="C28" i="18"/>
  <c r="C41" i="18"/>
  <c r="C34" i="18"/>
  <c r="C43" i="18"/>
  <c r="C33" i="18"/>
  <c r="C39" i="18"/>
  <c r="C27" i="18"/>
  <c r="C25" i="18"/>
  <c r="C31" i="18"/>
  <c r="C26" i="18"/>
  <c r="C19" i="18"/>
  <c r="C37" i="18"/>
  <c r="C23" i="18"/>
  <c r="C20" i="18"/>
  <c r="C21" i="18"/>
  <c r="C45" i="18"/>
  <c r="C38" i="18"/>
  <c r="C29" i="18"/>
  <c r="C40" i="18"/>
  <c r="C44" i="18"/>
  <c r="C30" i="18"/>
  <c r="AD58" i="7"/>
  <c r="AJ58" i="7"/>
  <c r="AI893" i="3"/>
  <c r="AA58" i="7"/>
  <c r="C46" i="18"/>
  <c r="AG58" i="7"/>
  <c r="C33" i="2"/>
  <c r="S58" i="7"/>
  <c r="U58" i="7" s="1"/>
  <c r="X58" i="7"/>
  <c r="R59" i="7"/>
  <c r="AI869" i="3"/>
  <c r="AI892" i="3"/>
  <c r="AA13" i="7"/>
  <c r="E14" i="15"/>
  <c r="F14" i="15"/>
  <c r="F13" i="15"/>
  <c r="D15" i="15"/>
  <c r="C15" i="15" s="1"/>
  <c r="D13" i="15"/>
  <c r="B16" i="15"/>
  <c r="D16" i="15" s="1"/>
  <c r="E13" i="15"/>
  <c r="B48" i="18"/>
  <c r="C47" i="18"/>
  <c r="M45" i="15"/>
  <c r="M41" i="15" s="1"/>
  <c r="D49" i="15" s="1"/>
  <c r="C29" i="2"/>
  <c r="D9" i="5" s="1"/>
  <c r="D10" i="5" s="1"/>
  <c r="J30" i="3"/>
  <c r="E31" i="3"/>
  <c r="E32" i="3" s="1"/>
  <c r="J29" i="3"/>
  <c r="D30" i="3"/>
  <c r="R29" i="3"/>
  <c r="U29" i="3" s="1"/>
  <c r="D29" i="3"/>
  <c r="P34" i="7"/>
  <c r="C14" i="15"/>
  <c r="H45" i="2"/>
  <c r="K45" i="2" s="1"/>
  <c r="G45" i="2"/>
  <c r="O11" i="7"/>
  <c r="N11" i="7"/>
  <c r="AJ36" i="7"/>
  <c r="AD36" i="7"/>
  <c r="T36" i="7"/>
  <c r="AG36" i="7"/>
  <c r="S36" i="7"/>
  <c r="R37" i="7"/>
  <c r="X36" i="7"/>
  <c r="F25" i="9"/>
  <c r="D25" i="9"/>
  <c r="B25" i="9" s="1"/>
  <c r="AO32" i="2"/>
  <c r="C44" i="16"/>
  <c r="C46" i="16" s="1"/>
  <c r="C26" i="16" s="1"/>
  <c r="C49" i="2"/>
  <c r="C50" i="2" s="1"/>
  <c r="I47" i="2"/>
  <c r="J46" i="2"/>
  <c r="H46" i="2"/>
  <c r="G46" i="2"/>
  <c r="I46" i="2"/>
  <c r="H47" i="2"/>
  <c r="G47" i="2"/>
  <c r="D48" i="2"/>
  <c r="H48" i="2" s="1"/>
  <c r="F48" i="2"/>
  <c r="J48" i="2" s="1"/>
  <c r="J47" i="2"/>
  <c r="M47" i="7"/>
  <c r="O46" i="7"/>
  <c r="N46" i="7"/>
  <c r="S16" i="7"/>
  <c r="AD16" i="7"/>
  <c r="AG16" i="7"/>
  <c r="T16" i="7"/>
  <c r="R17" i="7"/>
  <c r="AA16" i="7"/>
  <c r="AJ16" i="7"/>
  <c r="X16" i="7"/>
  <c r="I28" i="12"/>
  <c r="L25" i="12"/>
  <c r="S28" i="3"/>
  <c r="T28" i="3" s="1"/>
  <c r="Z28" i="3" s="1"/>
  <c r="AA28" i="3" s="1"/>
  <c r="AB28" i="3" s="1"/>
  <c r="U28" i="3"/>
  <c r="N22" i="7"/>
  <c r="M23" i="7"/>
  <c r="O22" i="7"/>
  <c r="P44" i="7"/>
  <c r="C9" i="15"/>
  <c r="F34" i="3"/>
  <c r="E8" i="15"/>
  <c r="F8" i="15"/>
  <c r="D8" i="15"/>
  <c r="B7" i="15"/>
  <c r="T21" i="7"/>
  <c r="AJ21" i="7"/>
  <c r="AG21" i="7"/>
  <c r="S21" i="7"/>
  <c r="R22" i="7"/>
  <c r="X21" i="7"/>
  <c r="AA21" i="7"/>
  <c r="M36" i="7"/>
  <c r="O35" i="7"/>
  <c r="N35" i="7"/>
  <c r="O18" i="7"/>
  <c r="N18" i="7"/>
  <c r="M42" i="15"/>
  <c r="D50" i="15" s="1"/>
  <c r="D48" i="15"/>
  <c r="AD21" i="7"/>
  <c r="AD59" i="7"/>
  <c r="AA59" i="7"/>
  <c r="R60" i="7"/>
  <c r="X59" i="7"/>
  <c r="AG59" i="7"/>
  <c r="T59" i="7"/>
  <c r="AJ59" i="7"/>
  <c r="S59" i="7"/>
  <c r="U30" i="3" l="1"/>
  <c r="B17" i="15"/>
  <c r="C13" i="15"/>
  <c r="M31" i="15" s="1"/>
  <c r="M32" i="15" s="1"/>
  <c r="E16" i="15"/>
  <c r="P22" i="7"/>
  <c r="F16" i="15"/>
  <c r="C32" i="16"/>
  <c r="C31" i="16"/>
  <c r="H75" i="16" s="1"/>
  <c r="C73" i="16"/>
  <c r="C461" i="16" s="1"/>
  <c r="B49" i="18"/>
  <c r="C48" i="18"/>
  <c r="R31" i="3"/>
  <c r="J31" i="3"/>
  <c r="D31" i="3"/>
  <c r="S29" i="3"/>
  <c r="T29" i="3" s="1"/>
  <c r="D26" i="9"/>
  <c r="B26" i="9" s="1"/>
  <c r="F26" i="9"/>
  <c r="P11" i="7"/>
  <c r="C517" i="16"/>
  <c r="C581" i="16"/>
  <c r="C502" i="16"/>
  <c r="C566" i="16"/>
  <c r="C471" i="16"/>
  <c r="C535" i="16"/>
  <c r="C456" i="16"/>
  <c r="C520" i="16"/>
  <c r="C584" i="16"/>
  <c r="C489" i="16"/>
  <c r="C553" i="16"/>
  <c r="C466" i="16"/>
  <c r="C530" i="16"/>
  <c r="C459" i="16"/>
  <c r="C619" i="16"/>
  <c r="C683" i="16"/>
  <c r="C238" i="16"/>
  <c r="C302" i="16"/>
  <c r="C366" i="16"/>
  <c r="C430" i="16"/>
  <c r="C612" i="16"/>
  <c r="C676" i="16"/>
  <c r="C231" i="16"/>
  <c r="C295" i="16"/>
  <c r="C359" i="16"/>
  <c r="C423" i="16"/>
  <c r="C605" i="16"/>
  <c r="C669" i="16"/>
  <c r="C232" i="16"/>
  <c r="C296" i="16"/>
  <c r="C360" i="16"/>
  <c r="C424" i="16"/>
  <c r="C606" i="16"/>
  <c r="C670" i="16"/>
  <c r="C225" i="16"/>
  <c r="C289" i="16"/>
  <c r="C353" i="16"/>
  <c r="C417" i="16"/>
  <c r="C591" i="16"/>
  <c r="C655" i="16"/>
  <c r="C218" i="16"/>
  <c r="C282" i="16"/>
  <c r="C346" i="16"/>
  <c r="C410" i="16"/>
  <c r="C572" i="16"/>
  <c r="C648" i="16"/>
  <c r="C211" i="16"/>
  <c r="C275" i="16"/>
  <c r="C339" i="16"/>
  <c r="C403" i="16"/>
  <c r="C547" i="16"/>
  <c r="C641" i="16"/>
  <c r="C705" i="16"/>
  <c r="C268" i="16"/>
  <c r="C332" i="16"/>
  <c r="C396" i="16"/>
  <c r="C516" i="16"/>
  <c r="C634" i="16"/>
  <c r="C698" i="16"/>
  <c r="C253" i="16"/>
  <c r="C317" i="16"/>
  <c r="C381" i="16"/>
  <c r="T37" i="7"/>
  <c r="AJ37" i="7"/>
  <c r="R38" i="7"/>
  <c r="X37" i="7"/>
  <c r="AD37" i="7"/>
  <c r="AA37" i="7"/>
  <c r="AG37" i="7"/>
  <c r="S37" i="7"/>
  <c r="U36" i="7"/>
  <c r="D28" i="3"/>
  <c r="D865" i="3"/>
  <c r="U59" i="7"/>
  <c r="C14" i="16"/>
  <c r="P75" i="16" s="1"/>
  <c r="E49" i="2"/>
  <c r="D49" i="2"/>
  <c r="F49" i="2"/>
  <c r="G48" i="2"/>
  <c r="C8" i="15"/>
  <c r="K46" i="2"/>
  <c r="K47" i="2"/>
  <c r="I48" i="2"/>
  <c r="K48" i="2" s="1"/>
  <c r="AC28" i="3"/>
  <c r="C28" i="4"/>
  <c r="G28" i="4" s="1"/>
  <c r="M29" i="3"/>
  <c r="D50" i="2"/>
  <c r="C51" i="2"/>
  <c r="E50" i="2"/>
  <c r="F50" i="2"/>
  <c r="N47" i="7"/>
  <c r="O47" i="7"/>
  <c r="M48" i="7"/>
  <c r="P18" i="7"/>
  <c r="P46" i="7"/>
  <c r="D75" i="16"/>
  <c r="F75" i="16"/>
  <c r="G75" i="16"/>
  <c r="E75" i="16"/>
  <c r="M24" i="7"/>
  <c r="O23" i="7"/>
  <c r="N23" i="7"/>
  <c r="U16" i="7"/>
  <c r="P35" i="7"/>
  <c r="O36" i="7"/>
  <c r="N36" i="7"/>
  <c r="M37" i="7"/>
  <c r="C16" i="15"/>
  <c r="E17" i="15"/>
  <c r="F17" i="15"/>
  <c r="D17" i="15"/>
  <c r="B18" i="15"/>
  <c r="U21" i="7"/>
  <c r="D7" i="15"/>
  <c r="E7" i="15"/>
  <c r="B6" i="15"/>
  <c r="F7" i="15"/>
  <c r="S31" i="3"/>
  <c r="T31" i="3" s="1"/>
  <c r="U31" i="3"/>
  <c r="F35" i="3"/>
  <c r="AD22" i="7"/>
  <c r="AG22" i="7"/>
  <c r="AJ22" i="7"/>
  <c r="S22" i="7"/>
  <c r="AA22" i="7"/>
  <c r="T22" i="7"/>
  <c r="R23" i="7"/>
  <c r="X22" i="7"/>
  <c r="AA60" i="7"/>
  <c r="X60" i="7"/>
  <c r="S60" i="7"/>
  <c r="T60" i="7"/>
  <c r="R61" i="7"/>
  <c r="AG60" i="7"/>
  <c r="AD60" i="7"/>
  <c r="AJ60" i="7"/>
  <c r="C113" i="16"/>
  <c r="C164" i="16"/>
  <c r="C132" i="16"/>
  <c r="C107" i="16"/>
  <c r="C116" i="16"/>
  <c r="C184" i="16"/>
  <c r="C90" i="16"/>
  <c r="C93" i="16"/>
  <c r="C92" i="16"/>
  <c r="C181" i="16"/>
  <c r="C118" i="16"/>
  <c r="C131" i="16"/>
  <c r="C168" i="16"/>
  <c r="C159" i="16"/>
  <c r="C110" i="16"/>
  <c r="C100" i="16"/>
  <c r="E33" i="3"/>
  <c r="R32" i="3"/>
  <c r="D32" i="3"/>
  <c r="J32" i="3"/>
  <c r="T17" i="7"/>
  <c r="R18" i="7"/>
  <c r="AG17" i="7"/>
  <c r="AJ17" i="7"/>
  <c r="S17" i="7"/>
  <c r="U17" i="7" s="1"/>
  <c r="AA17" i="7"/>
  <c r="AD17" i="7"/>
  <c r="X17" i="7"/>
  <c r="I75" i="16"/>
  <c r="S75" i="16"/>
  <c r="S5" i="15" l="1"/>
  <c r="M33" i="15"/>
  <c r="C81" i="16"/>
  <c r="C85" i="16"/>
  <c r="C95" i="16"/>
  <c r="C101" i="16"/>
  <c r="C188" i="16"/>
  <c r="C177" i="16"/>
  <c r="C111" i="16"/>
  <c r="C105" i="16"/>
  <c r="C112" i="16"/>
  <c r="C202" i="16"/>
  <c r="C124" i="16"/>
  <c r="C198" i="16"/>
  <c r="C129" i="16"/>
  <c r="C172" i="16"/>
  <c r="C94" i="16"/>
  <c r="C86" i="16"/>
  <c r="U37" i="7"/>
  <c r="C437" i="16"/>
  <c r="C373" i="16"/>
  <c r="C309" i="16"/>
  <c r="C245" i="16"/>
  <c r="C690" i="16"/>
  <c r="C626" i="16"/>
  <c r="C484" i="16"/>
  <c r="C388" i="16"/>
  <c r="C324" i="16"/>
  <c r="C260" i="16"/>
  <c r="C697" i="16"/>
  <c r="C633" i="16"/>
  <c r="C515" i="16"/>
  <c r="C395" i="16"/>
  <c r="C331" i="16"/>
  <c r="C267" i="16"/>
  <c r="C704" i="16"/>
  <c r="C640" i="16"/>
  <c r="C540" i="16"/>
  <c r="C402" i="16"/>
  <c r="C338" i="16"/>
  <c r="C274" i="16"/>
  <c r="C210" i="16"/>
  <c r="C647" i="16"/>
  <c r="C571" i="16"/>
  <c r="C409" i="16"/>
  <c r="C345" i="16"/>
  <c r="C281" i="16"/>
  <c r="C217" i="16"/>
  <c r="C662" i="16"/>
  <c r="C598" i="16"/>
  <c r="C416" i="16"/>
  <c r="C352" i="16"/>
  <c r="C288" i="16"/>
  <c r="C224" i="16"/>
  <c r="C661" i="16"/>
  <c r="C597" i="16"/>
  <c r="C415" i="16"/>
  <c r="C351" i="16"/>
  <c r="C287" i="16"/>
  <c r="C223" i="16"/>
  <c r="C668" i="16"/>
  <c r="C604" i="16"/>
  <c r="C422" i="16"/>
  <c r="C358" i="16"/>
  <c r="C294" i="16"/>
  <c r="C230" i="16"/>
  <c r="C675" i="16"/>
  <c r="C611" i="16"/>
  <c r="C586" i="16"/>
  <c r="C522" i="16"/>
  <c r="C458" i="16"/>
  <c r="C545" i="16"/>
  <c r="C481" i="16"/>
  <c r="C576" i="16"/>
  <c r="C512" i="16"/>
  <c r="C448" i="16"/>
  <c r="C527" i="16"/>
  <c r="C463" i="16"/>
  <c r="C558" i="16"/>
  <c r="C494" i="16"/>
  <c r="C573" i="16"/>
  <c r="C509" i="16"/>
  <c r="C166" i="16"/>
  <c r="C117" i="16"/>
  <c r="C84" i="16"/>
  <c r="C89" i="16"/>
  <c r="C106" i="16"/>
  <c r="C135" i="16"/>
  <c r="C169" i="16"/>
  <c r="C165" i="16"/>
  <c r="C154" i="16"/>
  <c r="C179" i="16"/>
  <c r="C183" i="16"/>
  <c r="C191" i="16"/>
  <c r="C182" i="16"/>
  <c r="C125" i="16"/>
  <c r="C151" i="16"/>
  <c r="C127" i="16"/>
  <c r="C429" i="16"/>
  <c r="C365" i="16"/>
  <c r="C301" i="16"/>
  <c r="C237" i="16"/>
  <c r="C682" i="16"/>
  <c r="C618" i="16"/>
  <c r="C452" i="16"/>
  <c r="C380" i="16"/>
  <c r="C316" i="16"/>
  <c r="C252" i="16"/>
  <c r="C689" i="16"/>
  <c r="C625" i="16"/>
  <c r="C483" i="16"/>
  <c r="C387" i="16"/>
  <c r="C323" i="16"/>
  <c r="C259" i="16"/>
  <c r="C696" i="16"/>
  <c r="C632" i="16"/>
  <c r="C508" i="16"/>
  <c r="C394" i="16"/>
  <c r="C330" i="16"/>
  <c r="C266" i="16"/>
  <c r="C703" i="16"/>
  <c r="C639" i="16"/>
  <c r="C539" i="16"/>
  <c r="C401" i="16"/>
  <c r="C337" i="16"/>
  <c r="C273" i="16"/>
  <c r="C209" i="16"/>
  <c r="C654" i="16"/>
  <c r="C590" i="16"/>
  <c r="C408" i="16"/>
  <c r="C344" i="16"/>
  <c r="C280" i="16"/>
  <c r="C216" i="16"/>
  <c r="C653" i="16"/>
  <c r="C589" i="16"/>
  <c r="C407" i="16"/>
  <c r="C343" i="16"/>
  <c r="C279" i="16"/>
  <c r="C215" i="16"/>
  <c r="C660" i="16"/>
  <c r="C596" i="16"/>
  <c r="C414" i="16"/>
  <c r="C350" i="16"/>
  <c r="C286" i="16"/>
  <c r="C222" i="16"/>
  <c r="C667" i="16"/>
  <c r="C603" i="16"/>
  <c r="C578" i="16"/>
  <c r="C514" i="16"/>
  <c r="C450" i="16"/>
  <c r="C537" i="16"/>
  <c r="C473" i="16"/>
  <c r="C568" i="16"/>
  <c r="C504" i="16"/>
  <c r="C583" i="16"/>
  <c r="C519" i="16"/>
  <c r="C455" i="16"/>
  <c r="C550" i="16"/>
  <c r="C486" i="16"/>
  <c r="C565" i="16"/>
  <c r="C501" i="16"/>
  <c r="C78" i="16"/>
  <c r="C145" i="16"/>
  <c r="C149" i="16"/>
  <c r="C104" i="16"/>
  <c r="C122" i="16"/>
  <c r="C75" i="16"/>
  <c r="C109" i="16"/>
  <c r="C121" i="16"/>
  <c r="C97" i="16"/>
  <c r="C136" i="16"/>
  <c r="C141" i="16"/>
  <c r="C194" i="16"/>
  <c r="C82" i="16"/>
  <c r="C193" i="16"/>
  <c r="C139" i="16"/>
  <c r="C126" i="16"/>
  <c r="C421" i="16"/>
  <c r="C357" i="16"/>
  <c r="C293" i="16"/>
  <c r="C229" i="16"/>
  <c r="C674" i="16"/>
  <c r="C610" i="16"/>
  <c r="C436" i="16"/>
  <c r="C372" i="16"/>
  <c r="C308" i="16"/>
  <c r="C244" i="16"/>
  <c r="C681" i="16"/>
  <c r="C617" i="16"/>
  <c r="C451" i="16"/>
  <c r="C379" i="16"/>
  <c r="C315" i="16"/>
  <c r="C251" i="16"/>
  <c r="C688" i="16"/>
  <c r="C624" i="16"/>
  <c r="C476" i="16"/>
  <c r="C386" i="16"/>
  <c r="C322" i="16"/>
  <c r="C258" i="16"/>
  <c r="C695" i="16"/>
  <c r="C631" i="16"/>
  <c r="C507" i="16"/>
  <c r="C393" i="16"/>
  <c r="C329" i="16"/>
  <c r="C265" i="16"/>
  <c r="C204" i="16"/>
  <c r="C646" i="16"/>
  <c r="C564" i="16"/>
  <c r="C400" i="16"/>
  <c r="C336" i="16"/>
  <c r="C272" i="16"/>
  <c r="C208" i="16"/>
  <c r="C645" i="16"/>
  <c r="C563" i="16"/>
  <c r="C399" i="16"/>
  <c r="C335" i="16"/>
  <c r="C271" i="16"/>
  <c r="C207" i="16"/>
  <c r="C652" i="16"/>
  <c r="C588" i="16"/>
  <c r="C406" i="16"/>
  <c r="C342" i="16"/>
  <c r="C278" i="16"/>
  <c r="C214" i="16"/>
  <c r="C659" i="16"/>
  <c r="C595" i="16"/>
  <c r="C570" i="16"/>
  <c r="C506" i="16"/>
  <c r="C442" i="16"/>
  <c r="C529" i="16"/>
  <c r="C465" i="16"/>
  <c r="C560" i="16"/>
  <c r="C496" i="16"/>
  <c r="C575" i="16"/>
  <c r="C511" i="16"/>
  <c r="C447" i="16"/>
  <c r="C542" i="16"/>
  <c r="C478" i="16"/>
  <c r="C557" i="16"/>
  <c r="C453" i="16"/>
  <c r="C153" i="16"/>
  <c r="C152" i="16"/>
  <c r="C163" i="16"/>
  <c r="C199" i="16"/>
  <c r="C119" i="16"/>
  <c r="C80" i="16"/>
  <c r="C108" i="16"/>
  <c r="C158" i="16"/>
  <c r="C171" i="16"/>
  <c r="C162" i="16"/>
  <c r="C176" i="16"/>
  <c r="C147" i="16"/>
  <c r="C146" i="16"/>
  <c r="C175" i="16"/>
  <c r="C413" i="16"/>
  <c r="C349" i="16"/>
  <c r="C285" i="16"/>
  <c r="C221" i="16"/>
  <c r="C666" i="16"/>
  <c r="C602" i="16"/>
  <c r="C428" i="16"/>
  <c r="C364" i="16"/>
  <c r="C300" i="16"/>
  <c r="C236" i="16"/>
  <c r="C673" i="16"/>
  <c r="C609" i="16"/>
  <c r="C435" i="16"/>
  <c r="C371" i="16"/>
  <c r="C307" i="16"/>
  <c r="C243" i="16"/>
  <c r="C680" i="16"/>
  <c r="C616" i="16"/>
  <c r="C444" i="16"/>
  <c r="C378" i="16"/>
  <c r="C314" i="16"/>
  <c r="C250" i="16"/>
  <c r="C687" i="16"/>
  <c r="C623" i="16"/>
  <c r="C475" i="16"/>
  <c r="C385" i="16"/>
  <c r="C321" i="16"/>
  <c r="C257" i="16"/>
  <c r="C702" i="16"/>
  <c r="C638" i="16"/>
  <c r="C532" i="16"/>
  <c r="C392" i="16"/>
  <c r="C328" i="16"/>
  <c r="C264" i="16"/>
  <c r="C701" i="16"/>
  <c r="C637" i="16"/>
  <c r="C531" i="16"/>
  <c r="C391" i="16"/>
  <c r="C327" i="16"/>
  <c r="C263" i="16"/>
  <c r="C203" i="16"/>
  <c r="C644" i="16"/>
  <c r="C556" i="16"/>
  <c r="C398" i="16"/>
  <c r="C334" i="16"/>
  <c r="C270" i="16"/>
  <c r="C206" i="16"/>
  <c r="C651" i="16"/>
  <c r="C587" i="16"/>
  <c r="C562" i="16"/>
  <c r="C498" i="16"/>
  <c r="C585" i="16"/>
  <c r="C521" i="16"/>
  <c r="C457" i="16"/>
  <c r="C552" i="16"/>
  <c r="C488" i="16"/>
  <c r="C567" i="16"/>
  <c r="C503" i="16"/>
  <c r="C440" i="16"/>
  <c r="C534" i="16"/>
  <c r="C470" i="16"/>
  <c r="C549" i="16"/>
  <c r="C445" i="16"/>
  <c r="C161" i="16"/>
  <c r="O73" i="16"/>
  <c r="O254" i="16" s="1"/>
  <c r="C167" i="16"/>
  <c r="C83" i="16"/>
  <c r="C201" i="16"/>
  <c r="C150" i="16"/>
  <c r="C142" i="16"/>
  <c r="C200" i="16"/>
  <c r="C102" i="16"/>
  <c r="C99" i="16"/>
  <c r="C79" i="16"/>
  <c r="C77" i="16"/>
  <c r="C143" i="16"/>
  <c r="C103" i="16"/>
  <c r="C87" i="16"/>
  <c r="C187" i="16"/>
  <c r="C405" i="16"/>
  <c r="C341" i="16"/>
  <c r="C277" i="16"/>
  <c r="C213" i="16"/>
  <c r="C658" i="16"/>
  <c r="C594" i="16"/>
  <c r="C420" i="16"/>
  <c r="C356" i="16"/>
  <c r="C292" i="16"/>
  <c r="C228" i="16"/>
  <c r="C665" i="16"/>
  <c r="C601" i="16"/>
  <c r="C427" i="16"/>
  <c r="C363" i="16"/>
  <c r="C299" i="16"/>
  <c r="C235" i="16"/>
  <c r="C672" i="16"/>
  <c r="C608" i="16"/>
  <c r="C434" i="16"/>
  <c r="C370" i="16"/>
  <c r="C306" i="16"/>
  <c r="C242" i="16"/>
  <c r="C679" i="16"/>
  <c r="C615" i="16"/>
  <c r="C443" i="16"/>
  <c r="C377" i="16"/>
  <c r="C313" i="16"/>
  <c r="C249" i="16"/>
  <c r="C694" i="16"/>
  <c r="C630" i="16"/>
  <c r="C500" i="16"/>
  <c r="C384" i="16"/>
  <c r="C320" i="16"/>
  <c r="C256" i="16"/>
  <c r="C693" i="16"/>
  <c r="C629" i="16"/>
  <c r="C499" i="16"/>
  <c r="C383" i="16"/>
  <c r="C319" i="16"/>
  <c r="C255" i="16"/>
  <c r="C700" i="16"/>
  <c r="C636" i="16"/>
  <c r="C524" i="16"/>
  <c r="C390" i="16"/>
  <c r="C326" i="16"/>
  <c r="C262" i="16"/>
  <c r="C707" i="16"/>
  <c r="C643" i="16"/>
  <c r="C555" i="16"/>
  <c r="C554" i="16"/>
  <c r="C490" i="16"/>
  <c r="C577" i="16"/>
  <c r="C513" i="16"/>
  <c r="C449" i="16"/>
  <c r="C544" i="16"/>
  <c r="C480" i="16"/>
  <c r="C559" i="16"/>
  <c r="C495" i="16"/>
  <c r="C438" i="16"/>
  <c r="C526" i="16"/>
  <c r="C462" i="16"/>
  <c r="C541" i="16"/>
  <c r="C186" i="16"/>
  <c r="C174" i="16"/>
  <c r="C144" i="16"/>
  <c r="C98" i="16"/>
  <c r="C185" i="16"/>
  <c r="C115" i="16"/>
  <c r="C96" i="16"/>
  <c r="C134" i="16"/>
  <c r="C133" i="16"/>
  <c r="C197" i="16"/>
  <c r="C155" i="16"/>
  <c r="C137" i="16"/>
  <c r="C76" i="16"/>
  <c r="C114" i="16"/>
  <c r="C130" i="16"/>
  <c r="C140" i="16"/>
  <c r="C173" i="16"/>
  <c r="C91" i="16"/>
  <c r="C178" i="16"/>
  <c r="C397" i="16"/>
  <c r="C333" i="16"/>
  <c r="C269" i="16"/>
  <c r="C205" i="16"/>
  <c r="C650" i="16"/>
  <c r="C580" i="16"/>
  <c r="C412" i="16"/>
  <c r="C348" i="16"/>
  <c r="C284" i="16"/>
  <c r="C220" i="16"/>
  <c r="C657" i="16"/>
  <c r="C593" i="16"/>
  <c r="C419" i="16"/>
  <c r="C355" i="16"/>
  <c r="C291" i="16"/>
  <c r="C227" i="16"/>
  <c r="C664" i="16"/>
  <c r="C600" i="16"/>
  <c r="C426" i="16"/>
  <c r="C362" i="16"/>
  <c r="C298" i="16"/>
  <c r="C234" i="16"/>
  <c r="C671" i="16"/>
  <c r="C607" i="16"/>
  <c r="C433" i="16"/>
  <c r="C369" i="16"/>
  <c r="C305" i="16"/>
  <c r="C241" i="16"/>
  <c r="C686" i="16"/>
  <c r="C622" i="16"/>
  <c r="C468" i="16"/>
  <c r="C376" i="16"/>
  <c r="C312" i="16"/>
  <c r="C248" i="16"/>
  <c r="C685" i="16"/>
  <c r="C621" i="16"/>
  <c r="C467" i="16"/>
  <c r="C375" i="16"/>
  <c r="C311" i="16"/>
  <c r="C247" i="16"/>
  <c r="C692" i="16"/>
  <c r="C628" i="16"/>
  <c r="C492" i="16"/>
  <c r="C382" i="16"/>
  <c r="C318" i="16"/>
  <c r="C254" i="16"/>
  <c r="C699" i="16"/>
  <c r="C635" i="16"/>
  <c r="C523" i="16"/>
  <c r="C546" i="16"/>
  <c r="C482" i="16"/>
  <c r="C569" i="16"/>
  <c r="C505" i="16"/>
  <c r="C441" i="16"/>
  <c r="C536" i="16"/>
  <c r="C472" i="16"/>
  <c r="C551" i="16"/>
  <c r="C487" i="16"/>
  <c r="C582" i="16"/>
  <c r="C518" i="16"/>
  <c r="C454" i="16"/>
  <c r="C533" i="16"/>
  <c r="C157" i="16"/>
  <c r="C128" i="16"/>
  <c r="C195" i="16"/>
  <c r="C148" i="16"/>
  <c r="C189" i="16"/>
  <c r="C160" i="16"/>
  <c r="C192" i="16"/>
  <c r="C120" i="16"/>
  <c r="C156" i="16"/>
  <c r="C88" i="16"/>
  <c r="C180" i="16"/>
  <c r="C170" i="16"/>
  <c r="C190" i="16"/>
  <c r="C123" i="16"/>
  <c r="C138" i="16"/>
  <c r="C196" i="16"/>
  <c r="C389" i="16"/>
  <c r="C325" i="16"/>
  <c r="C261" i="16"/>
  <c r="C706" i="16"/>
  <c r="C642" i="16"/>
  <c r="C548" i="16"/>
  <c r="C404" i="16"/>
  <c r="C340" i="16"/>
  <c r="C276" i="16"/>
  <c r="C212" i="16"/>
  <c r="C649" i="16"/>
  <c r="C579" i="16"/>
  <c r="C411" i="16"/>
  <c r="C347" i="16"/>
  <c r="C283" i="16"/>
  <c r="C219" i="16"/>
  <c r="C656" i="16"/>
  <c r="C592" i="16"/>
  <c r="C418" i="16"/>
  <c r="C354" i="16"/>
  <c r="C290" i="16"/>
  <c r="C226" i="16"/>
  <c r="C663" i="16"/>
  <c r="C599" i="16"/>
  <c r="C425" i="16"/>
  <c r="C361" i="16"/>
  <c r="C297" i="16"/>
  <c r="C233" i="16"/>
  <c r="C678" i="16"/>
  <c r="C614" i="16"/>
  <c r="C432" i="16"/>
  <c r="C368" i="16"/>
  <c r="C304" i="16"/>
  <c r="C240" i="16"/>
  <c r="C677" i="16"/>
  <c r="C613" i="16"/>
  <c r="C431" i="16"/>
  <c r="C367" i="16"/>
  <c r="C303" i="16"/>
  <c r="C239" i="16"/>
  <c r="C684" i="16"/>
  <c r="C620" i="16"/>
  <c r="C460" i="16"/>
  <c r="C374" i="16"/>
  <c r="C310" i="16"/>
  <c r="C246" i="16"/>
  <c r="C691" i="16"/>
  <c r="C627" i="16"/>
  <c r="C491" i="16"/>
  <c r="C538" i="16"/>
  <c r="C474" i="16"/>
  <c r="C561" i="16"/>
  <c r="C497" i="16"/>
  <c r="C439" i="16"/>
  <c r="C528" i="16"/>
  <c r="C464" i="16"/>
  <c r="C543" i="16"/>
  <c r="C479" i="16"/>
  <c r="C574" i="16"/>
  <c r="C510" i="16"/>
  <c r="C446" i="16"/>
  <c r="C525" i="16"/>
  <c r="R75" i="16"/>
  <c r="Q76" i="16" s="1"/>
  <c r="L75" i="16"/>
  <c r="Q75" i="16"/>
  <c r="C493" i="16"/>
  <c r="T75" i="16"/>
  <c r="T76" i="16" s="1"/>
  <c r="J75" i="16"/>
  <c r="K75" i="16"/>
  <c r="C485" i="16"/>
  <c r="C477" i="16"/>
  <c r="C469" i="16"/>
  <c r="B50" i="18"/>
  <c r="C49" i="18"/>
  <c r="H49" i="2"/>
  <c r="J49" i="2"/>
  <c r="G49" i="2"/>
  <c r="I49" i="2"/>
  <c r="D27" i="9"/>
  <c r="B27" i="9" s="1"/>
  <c r="F27" i="9"/>
  <c r="O203" i="16"/>
  <c r="O206" i="16"/>
  <c r="O214" i="16"/>
  <c r="O222" i="16"/>
  <c r="O230" i="16"/>
  <c r="O238" i="16"/>
  <c r="O246" i="16"/>
  <c r="O262" i="16"/>
  <c r="O270" i="16"/>
  <c r="O278" i="16"/>
  <c r="O286" i="16"/>
  <c r="O294" i="16"/>
  <c r="O302" i="16"/>
  <c r="O310" i="16"/>
  <c r="O326" i="16"/>
  <c r="O334" i="16"/>
  <c r="O342" i="16"/>
  <c r="O350" i="16"/>
  <c r="O358" i="16"/>
  <c r="O366" i="16"/>
  <c r="O374" i="16"/>
  <c r="O390" i="16"/>
  <c r="O398" i="16"/>
  <c r="O406" i="16"/>
  <c r="O414" i="16"/>
  <c r="O422" i="16"/>
  <c r="O430" i="16"/>
  <c r="O438" i="16"/>
  <c r="O454" i="16"/>
  <c r="O462" i="16"/>
  <c r="O470" i="16"/>
  <c r="O478" i="16"/>
  <c r="O486" i="16"/>
  <c r="O494" i="16"/>
  <c r="O502" i="16"/>
  <c r="O518" i="16"/>
  <c r="O526" i="16"/>
  <c r="O534" i="16"/>
  <c r="O542" i="16"/>
  <c r="O550" i="16"/>
  <c r="O558" i="16"/>
  <c r="O566" i="16"/>
  <c r="O574" i="16"/>
  <c r="O582" i="16"/>
  <c r="O590" i="16"/>
  <c r="O598" i="16"/>
  <c r="O606" i="16"/>
  <c r="O614" i="16"/>
  <c r="O622" i="16"/>
  <c r="O630" i="16"/>
  <c r="O638" i="16"/>
  <c r="O646" i="16"/>
  <c r="O654" i="16"/>
  <c r="O662" i="16"/>
  <c r="O670" i="16"/>
  <c r="O678" i="16"/>
  <c r="O686" i="16"/>
  <c r="O694" i="16"/>
  <c r="O702" i="16"/>
  <c r="O207" i="16"/>
  <c r="O215" i="16"/>
  <c r="O223" i="16"/>
  <c r="O231" i="16"/>
  <c r="O239" i="16"/>
  <c r="O247" i="16"/>
  <c r="O255" i="16"/>
  <c r="O263" i="16"/>
  <c r="O271" i="16"/>
  <c r="O279" i="16"/>
  <c r="O287" i="16"/>
  <c r="O295" i="16"/>
  <c r="O303" i="16"/>
  <c r="O311" i="16"/>
  <c r="O319" i="16"/>
  <c r="O327" i="16"/>
  <c r="O335" i="16"/>
  <c r="O343" i="16"/>
  <c r="O351" i="16"/>
  <c r="O359" i="16"/>
  <c r="O367" i="16"/>
  <c r="O375" i="16"/>
  <c r="O383" i="16"/>
  <c r="O391" i="16"/>
  <c r="O399" i="16"/>
  <c r="O407" i="16"/>
  <c r="O415" i="16"/>
  <c r="O423" i="16"/>
  <c r="O431" i="16"/>
  <c r="O439" i="16"/>
  <c r="O447" i="16"/>
  <c r="O455" i="16"/>
  <c r="O463" i="16"/>
  <c r="O471" i="16"/>
  <c r="O479" i="16"/>
  <c r="O487" i="16"/>
  <c r="O495" i="16"/>
  <c r="O503" i="16"/>
  <c r="O511" i="16"/>
  <c r="O519" i="16"/>
  <c r="O527" i="16"/>
  <c r="O535" i="16"/>
  <c r="O543" i="16"/>
  <c r="O551" i="16"/>
  <c r="O559" i="16"/>
  <c r="O567" i="16"/>
  <c r="O575" i="16"/>
  <c r="O583" i="16"/>
  <c r="O591" i="16"/>
  <c r="O599" i="16"/>
  <c r="O607" i="16"/>
  <c r="O615" i="16"/>
  <c r="O623" i="16"/>
  <c r="O631" i="16"/>
  <c r="O639" i="16"/>
  <c r="O647" i="16"/>
  <c r="O655" i="16"/>
  <c r="O663" i="16"/>
  <c r="O671" i="16"/>
  <c r="O679" i="16"/>
  <c r="O687" i="16"/>
  <c r="O695" i="16"/>
  <c r="O703" i="16"/>
  <c r="O208" i="16"/>
  <c r="O216" i="16"/>
  <c r="O224" i="16"/>
  <c r="O232" i="16"/>
  <c r="O240" i="16"/>
  <c r="O248" i="16"/>
  <c r="O256" i="16"/>
  <c r="O264" i="16"/>
  <c r="O272" i="16"/>
  <c r="O280" i="16"/>
  <c r="O288" i="16"/>
  <c r="O296" i="16"/>
  <c r="O304" i="16"/>
  <c r="O312" i="16"/>
  <c r="O320" i="16"/>
  <c r="O328" i="16"/>
  <c r="O336" i="16"/>
  <c r="O344" i="16"/>
  <c r="O352" i="16"/>
  <c r="O360" i="16"/>
  <c r="O368" i="16"/>
  <c r="O376" i="16"/>
  <c r="O384" i="16"/>
  <c r="O392" i="16"/>
  <c r="O400" i="16"/>
  <c r="O408" i="16"/>
  <c r="O416" i="16"/>
  <c r="O424" i="16"/>
  <c r="O432" i="16"/>
  <c r="O440" i="16"/>
  <c r="O448" i="16"/>
  <c r="O456" i="16"/>
  <c r="O464" i="16"/>
  <c r="O472" i="16"/>
  <c r="O480" i="16"/>
  <c r="O488" i="16"/>
  <c r="O496" i="16"/>
  <c r="O504" i="16"/>
  <c r="O512" i="16"/>
  <c r="O520" i="16"/>
  <c r="O528" i="16"/>
  <c r="O536" i="16"/>
  <c r="O544" i="16"/>
  <c r="O552" i="16"/>
  <c r="O560" i="16"/>
  <c r="O568" i="16"/>
  <c r="O576" i="16"/>
  <c r="O584" i="16"/>
  <c r="O592" i="16"/>
  <c r="O600" i="16"/>
  <c r="O608" i="16"/>
  <c r="O616" i="16"/>
  <c r="O624" i="16"/>
  <c r="O632" i="16"/>
  <c r="O640" i="16"/>
  <c r="O648" i="16"/>
  <c r="O656" i="16"/>
  <c r="O664" i="16"/>
  <c r="O672" i="16"/>
  <c r="O680" i="16"/>
  <c r="O688" i="16"/>
  <c r="O696" i="16"/>
  <c r="O209" i="16"/>
  <c r="O217" i="16"/>
  <c r="O225" i="16"/>
  <c r="O233" i="16"/>
  <c r="O241" i="16"/>
  <c r="O249" i="16"/>
  <c r="O257" i="16"/>
  <c r="O265" i="16"/>
  <c r="O273" i="16"/>
  <c r="O281" i="16"/>
  <c r="O289" i="16"/>
  <c r="O297" i="16"/>
  <c r="O305" i="16"/>
  <c r="O313" i="16"/>
  <c r="O321" i="16"/>
  <c r="O329" i="16"/>
  <c r="O337" i="16"/>
  <c r="O345" i="16"/>
  <c r="O353" i="16"/>
  <c r="O361" i="16"/>
  <c r="O369" i="16"/>
  <c r="O377" i="16"/>
  <c r="O385" i="16"/>
  <c r="O393" i="16"/>
  <c r="O401" i="16"/>
  <c r="O409" i="16"/>
  <c r="O417" i="16"/>
  <c r="O425" i="16"/>
  <c r="O433" i="16"/>
  <c r="O441" i="16"/>
  <c r="O449" i="16"/>
  <c r="O457" i="16"/>
  <c r="O465" i="16"/>
  <c r="O473" i="16"/>
  <c r="O481" i="16"/>
  <c r="O489" i="16"/>
  <c r="O497" i="16"/>
  <c r="O505" i="16"/>
  <c r="O513" i="16"/>
  <c r="O521" i="16"/>
  <c r="O529" i="16"/>
  <c r="O537" i="16"/>
  <c r="O545" i="16"/>
  <c r="O553" i="16"/>
  <c r="O561" i="16"/>
  <c r="O569" i="16"/>
  <c r="O577" i="16"/>
  <c r="O585" i="16"/>
  <c r="O593" i="16"/>
  <c r="O601" i="16"/>
  <c r="O609" i="16"/>
  <c r="O617" i="16"/>
  <c r="O625" i="16"/>
  <c r="O633" i="16"/>
  <c r="O641" i="16"/>
  <c r="O649" i="16"/>
  <c r="O657" i="16"/>
  <c r="O665" i="16"/>
  <c r="O673" i="16"/>
  <c r="O681" i="16"/>
  <c r="O689" i="16"/>
  <c r="O697" i="16"/>
  <c r="O205" i="16"/>
  <c r="O210" i="16"/>
  <c r="O218" i="16"/>
  <c r="O226" i="16"/>
  <c r="O234" i="16"/>
  <c r="O242" i="16"/>
  <c r="O250" i="16"/>
  <c r="O258" i="16"/>
  <c r="O266" i="16"/>
  <c r="O274" i="16"/>
  <c r="O282" i="16"/>
  <c r="O290" i="16"/>
  <c r="O298" i="16"/>
  <c r="O306" i="16"/>
  <c r="O314" i="16"/>
  <c r="O322" i="16"/>
  <c r="O330" i="16"/>
  <c r="O338" i="16"/>
  <c r="O346" i="16"/>
  <c r="O354" i="16"/>
  <c r="O362" i="16"/>
  <c r="O370" i="16"/>
  <c r="O378" i="16"/>
  <c r="O386" i="16"/>
  <c r="O394" i="16"/>
  <c r="O402" i="16"/>
  <c r="O410" i="16"/>
  <c r="O418" i="16"/>
  <c r="O426" i="16"/>
  <c r="O434" i="16"/>
  <c r="O442" i="16"/>
  <c r="O450" i="16"/>
  <c r="O458" i="16"/>
  <c r="O466" i="16"/>
  <c r="O474" i="16"/>
  <c r="O482" i="16"/>
  <c r="O490" i="16"/>
  <c r="O498" i="16"/>
  <c r="O506" i="16"/>
  <c r="O514" i="16"/>
  <c r="O522" i="16"/>
  <c r="O530" i="16"/>
  <c r="O538" i="16"/>
  <c r="O546" i="16"/>
  <c r="O554" i="16"/>
  <c r="O562" i="16"/>
  <c r="O570" i="16"/>
  <c r="O578" i="16"/>
  <c r="O586" i="16"/>
  <c r="O594" i="16"/>
  <c r="O602" i="16"/>
  <c r="O610" i="16"/>
  <c r="O618" i="16"/>
  <c r="O626" i="16"/>
  <c r="O634" i="16"/>
  <c r="O642" i="16"/>
  <c r="O650" i="16"/>
  <c r="O658" i="16"/>
  <c r="O666" i="16"/>
  <c r="O674" i="16"/>
  <c r="O682" i="16"/>
  <c r="O690" i="16"/>
  <c r="O698" i="16"/>
  <c r="O211" i="16"/>
  <c r="O219" i="16"/>
  <c r="O227" i="16"/>
  <c r="O235" i="16"/>
  <c r="O243" i="16"/>
  <c r="O251" i="16"/>
  <c r="O259" i="16"/>
  <c r="O267" i="16"/>
  <c r="O275" i="16"/>
  <c r="O283" i="16"/>
  <c r="O291" i="16"/>
  <c r="O299" i="16"/>
  <c r="O307" i="16"/>
  <c r="O315" i="16"/>
  <c r="O323" i="16"/>
  <c r="O331" i="16"/>
  <c r="O339" i="16"/>
  <c r="O347" i="16"/>
  <c r="O355" i="16"/>
  <c r="O363" i="16"/>
  <c r="O371" i="16"/>
  <c r="O379" i="16"/>
  <c r="O387" i="16"/>
  <c r="O395" i="16"/>
  <c r="O403" i="16"/>
  <c r="O411" i="16"/>
  <c r="O419" i="16"/>
  <c r="O427" i="16"/>
  <c r="O435" i="16"/>
  <c r="O443" i="16"/>
  <c r="O451" i="16"/>
  <c r="O459" i="16"/>
  <c r="O467" i="16"/>
  <c r="O475" i="16"/>
  <c r="O483" i="16"/>
  <c r="O491" i="16"/>
  <c r="O499" i="16"/>
  <c r="O507" i="16"/>
  <c r="O515" i="16"/>
  <c r="O523" i="16"/>
  <c r="O531" i="16"/>
  <c r="O539" i="16"/>
  <c r="O547" i="16"/>
  <c r="O555" i="16"/>
  <c r="O563" i="16"/>
  <c r="O571" i="16"/>
  <c r="O579" i="16"/>
  <c r="O587" i="16"/>
  <c r="O595" i="16"/>
  <c r="O603" i="16"/>
  <c r="O611" i="16"/>
  <c r="O619" i="16"/>
  <c r="O627" i="16"/>
  <c r="O635" i="16"/>
  <c r="O643" i="16"/>
  <c r="O651" i="16"/>
  <c r="O659" i="16"/>
  <c r="O667" i="16"/>
  <c r="O675" i="16"/>
  <c r="O683" i="16"/>
  <c r="O691" i="16"/>
  <c r="O699" i="16"/>
  <c r="O204" i="16"/>
  <c r="O228" i="16"/>
  <c r="O260" i="16"/>
  <c r="O292" i="16"/>
  <c r="O324" i="16"/>
  <c r="O356" i="16"/>
  <c r="O388" i="16"/>
  <c r="O420" i="16"/>
  <c r="O452" i="16"/>
  <c r="O484" i="16"/>
  <c r="O516" i="16"/>
  <c r="O548" i="16"/>
  <c r="O580" i="16"/>
  <c r="O612" i="16"/>
  <c r="O644" i="16"/>
  <c r="O676" i="16"/>
  <c r="O229" i="16"/>
  <c r="O261" i="16"/>
  <c r="O293" i="16"/>
  <c r="O325" i="16"/>
  <c r="O357" i="16"/>
  <c r="O389" i="16"/>
  <c r="O421" i="16"/>
  <c r="O453" i="16"/>
  <c r="O485" i="16"/>
  <c r="O517" i="16"/>
  <c r="O549" i="16"/>
  <c r="O581" i="16"/>
  <c r="O613" i="16"/>
  <c r="O645" i="16"/>
  <c r="O677" i="16"/>
  <c r="O236" i="16"/>
  <c r="O268" i="16"/>
  <c r="O300" i="16"/>
  <c r="O332" i="16"/>
  <c r="O364" i="16"/>
  <c r="O396" i="16"/>
  <c r="O428" i="16"/>
  <c r="O460" i="16"/>
  <c r="O492" i="16"/>
  <c r="O524" i="16"/>
  <c r="O556" i="16"/>
  <c r="O588" i="16"/>
  <c r="O620" i="16"/>
  <c r="O652" i="16"/>
  <c r="O684" i="16"/>
  <c r="O237" i="16"/>
  <c r="O269" i="16"/>
  <c r="O301" i="16"/>
  <c r="O333" i="16"/>
  <c r="O365" i="16"/>
  <c r="O397" i="16"/>
  <c r="O429" i="16"/>
  <c r="O461" i="16"/>
  <c r="O493" i="16"/>
  <c r="O525" i="16"/>
  <c r="O557" i="16"/>
  <c r="O589" i="16"/>
  <c r="O621" i="16"/>
  <c r="O653" i="16"/>
  <c r="O685" i="16"/>
  <c r="O212" i="16"/>
  <c r="O244" i="16"/>
  <c r="O276" i="16"/>
  <c r="O308" i="16"/>
  <c r="O340" i="16"/>
  <c r="O372" i="16"/>
  <c r="O404" i="16"/>
  <c r="O436" i="16"/>
  <c r="O468" i="16"/>
  <c r="O500" i="16"/>
  <c r="O532" i="16"/>
  <c r="O564" i="16"/>
  <c r="O596" i="16"/>
  <c r="O628" i="16"/>
  <c r="O660" i="16"/>
  <c r="O692" i="16"/>
  <c r="O213" i="16"/>
  <c r="O245" i="16"/>
  <c r="O277" i="16"/>
  <c r="O309" i="16"/>
  <c r="O341" i="16"/>
  <c r="O373" i="16"/>
  <c r="O405" i="16"/>
  <c r="O437" i="16"/>
  <c r="O469" i="16"/>
  <c r="O501" i="16"/>
  <c r="O533" i="16"/>
  <c r="O565" i="16"/>
  <c r="O597" i="16"/>
  <c r="O629" i="16"/>
  <c r="O661" i="16"/>
  <c r="O693" i="16"/>
  <c r="O220" i="16"/>
  <c r="O252" i="16"/>
  <c r="O284" i="16"/>
  <c r="O316" i="16"/>
  <c r="O348" i="16"/>
  <c r="O380" i="16"/>
  <c r="O412" i="16"/>
  <c r="O444" i="16"/>
  <c r="O476" i="16"/>
  <c r="O508" i="16"/>
  <c r="O540" i="16"/>
  <c r="O572" i="16"/>
  <c r="O604" i="16"/>
  <c r="O636" i="16"/>
  <c r="O668" i="16"/>
  <c r="O700" i="16"/>
  <c r="O221" i="16"/>
  <c r="O253" i="16"/>
  <c r="O285" i="16"/>
  <c r="O317" i="16"/>
  <c r="O349" i="16"/>
  <c r="O381" i="16"/>
  <c r="O413" i="16"/>
  <c r="O445" i="16"/>
  <c r="O477" i="16"/>
  <c r="O509" i="16"/>
  <c r="O541" i="16"/>
  <c r="O573" i="16"/>
  <c r="O605" i="16"/>
  <c r="O637" i="16"/>
  <c r="O669" i="16"/>
  <c r="O701" i="16"/>
  <c r="X38" i="7"/>
  <c r="R39" i="7"/>
  <c r="T38" i="7"/>
  <c r="S38" i="7"/>
  <c r="AD38" i="7"/>
  <c r="AJ38" i="7"/>
  <c r="AG38" i="7"/>
  <c r="AA38" i="7"/>
  <c r="U22" i="7"/>
  <c r="P36" i="7"/>
  <c r="C17" i="15"/>
  <c r="F76" i="16"/>
  <c r="P76" i="16"/>
  <c r="I76" i="16"/>
  <c r="K76" i="16"/>
  <c r="G76" i="16"/>
  <c r="E76" i="16"/>
  <c r="S32" i="3"/>
  <c r="T32" i="3" s="1"/>
  <c r="U32" i="3"/>
  <c r="H76" i="16"/>
  <c r="E34" i="3"/>
  <c r="D33" i="3"/>
  <c r="J33" i="3"/>
  <c r="R33" i="3"/>
  <c r="O24" i="7"/>
  <c r="M25" i="7"/>
  <c r="N24" i="7"/>
  <c r="D76" i="16"/>
  <c r="F18" i="15"/>
  <c r="D18" i="15"/>
  <c r="B19" i="15"/>
  <c r="E18" i="15"/>
  <c r="AD18" i="7"/>
  <c r="S18" i="7"/>
  <c r="AJ18" i="7"/>
  <c r="AA18" i="7"/>
  <c r="X18" i="7"/>
  <c r="T18" i="7"/>
  <c r="AG18" i="7"/>
  <c r="N48" i="7"/>
  <c r="M49" i="7"/>
  <c r="O48" i="7"/>
  <c r="X61" i="7"/>
  <c r="AA61" i="7"/>
  <c r="R62" i="7"/>
  <c r="AG61" i="7"/>
  <c r="AJ61" i="7"/>
  <c r="T61" i="7"/>
  <c r="AD61" i="7"/>
  <c r="S61" i="7"/>
  <c r="U61" i="7" s="1"/>
  <c r="F36" i="3"/>
  <c r="P47" i="7"/>
  <c r="U60" i="7"/>
  <c r="O37" i="7"/>
  <c r="N37" i="7"/>
  <c r="M38" i="7"/>
  <c r="H50" i="2"/>
  <c r="J50" i="2"/>
  <c r="G50" i="2"/>
  <c r="D51" i="2"/>
  <c r="C52" i="2"/>
  <c r="E51" i="2"/>
  <c r="F51" i="2"/>
  <c r="B5" i="15"/>
  <c r="E6" i="15"/>
  <c r="F6" i="15"/>
  <c r="D6" i="15"/>
  <c r="I50" i="2"/>
  <c r="O138" i="16"/>
  <c r="O150" i="16"/>
  <c r="O162" i="16"/>
  <c r="O174" i="16"/>
  <c r="O192" i="16"/>
  <c r="O79" i="16"/>
  <c r="O89" i="16"/>
  <c r="O76" i="16"/>
  <c r="O103" i="16"/>
  <c r="O199" i="16"/>
  <c r="O86" i="16"/>
  <c r="O98" i="16"/>
  <c r="O110" i="16"/>
  <c r="O128" i="16"/>
  <c r="O140" i="16"/>
  <c r="O143" i="16"/>
  <c r="O151" i="16"/>
  <c r="O170" i="16"/>
  <c r="O182" i="16"/>
  <c r="O194" i="16"/>
  <c r="O81" i="16"/>
  <c r="O93" i="16"/>
  <c r="O105" i="16"/>
  <c r="O111" i="16"/>
  <c r="O175" i="16"/>
  <c r="O118" i="16"/>
  <c r="O179" i="16"/>
  <c r="O197" i="16"/>
  <c r="O75" i="16"/>
  <c r="O201" i="16"/>
  <c r="O84" i="16"/>
  <c r="O102" i="16"/>
  <c r="O120" i="16"/>
  <c r="O189" i="16"/>
  <c r="O91" i="16"/>
  <c r="O109" i="16"/>
  <c r="O121" i="16"/>
  <c r="O133" i="16"/>
  <c r="O145" i="16"/>
  <c r="O163" i="16"/>
  <c r="O181" i="16"/>
  <c r="O94" i="16"/>
  <c r="O191" i="16"/>
  <c r="O78" i="16"/>
  <c r="O177" i="16"/>
  <c r="O202" i="16"/>
  <c r="O96" i="16"/>
  <c r="O108" i="16"/>
  <c r="O164" i="16"/>
  <c r="O190" i="16"/>
  <c r="O126" i="16"/>
  <c r="O130" i="16"/>
  <c r="O148" i="16"/>
  <c r="O198" i="16"/>
  <c r="O87" i="16"/>
  <c r="O187" i="16"/>
  <c r="O113" i="16"/>
  <c r="O131" i="16"/>
  <c r="O134" i="16"/>
  <c r="O167" i="16"/>
  <c r="O158" i="16"/>
  <c r="O156" i="16"/>
  <c r="O139" i="16"/>
  <c r="O99" i="16"/>
  <c r="O129" i="16"/>
  <c r="O123" i="16"/>
  <c r="O92" i="16"/>
  <c r="O171" i="16"/>
  <c r="O77" i="16"/>
  <c r="O185" i="16"/>
  <c r="O106" i="16"/>
  <c r="O188" i="16"/>
  <c r="O154" i="16"/>
  <c r="O178" i="16"/>
  <c r="O90" i="16"/>
  <c r="O95" i="16"/>
  <c r="O153" i="16"/>
  <c r="O137" i="16"/>
  <c r="O161" i="16"/>
  <c r="O114" i="16"/>
  <c r="O135" i="16"/>
  <c r="O136" i="16"/>
  <c r="O180" i="16"/>
  <c r="O169" i="16"/>
  <c r="O112" i="16"/>
  <c r="O101" i="16"/>
  <c r="O119" i="16"/>
  <c r="O116" i="16"/>
  <c r="O88" i="16"/>
  <c r="O132" i="16"/>
  <c r="O144" i="16"/>
  <c r="O127" i="16"/>
  <c r="O82" i="16"/>
  <c r="O184" i="16"/>
  <c r="O166" i="16"/>
  <c r="O80" i="16"/>
  <c r="O159" i="16"/>
  <c r="O183" i="16"/>
  <c r="O173" i="16"/>
  <c r="O186" i="16"/>
  <c r="O176" i="16"/>
  <c r="O142" i="16"/>
  <c r="O160" i="16"/>
  <c r="O85" i="16"/>
  <c r="O97" i="16"/>
  <c r="O141" i="16"/>
  <c r="O125" i="16"/>
  <c r="O149" i="16"/>
  <c r="O152" i="16"/>
  <c r="O193" i="16"/>
  <c r="O124" i="16"/>
  <c r="O168" i="16"/>
  <c r="O157" i="16"/>
  <c r="O117" i="16"/>
  <c r="O122" i="16"/>
  <c r="O107" i="16"/>
  <c r="O104" i="16"/>
  <c r="O195" i="16"/>
  <c r="O100" i="16"/>
  <c r="O83" i="16"/>
  <c r="O147" i="16"/>
  <c r="O165" i="16"/>
  <c r="O155" i="16"/>
  <c r="O146" i="16"/>
  <c r="O115" i="16"/>
  <c r="O200" i="16"/>
  <c r="O172" i="16"/>
  <c r="O196" i="16"/>
  <c r="N29" i="3"/>
  <c r="O29" i="3"/>
  <c r="S23" i="7"/>
  <c r="AG23" i="7"/>
  <c r="R24" i="7"/>
  <c r="AJ23" i="7"/>
  <c r="T23" i="7"/>
  <c r="X23" i="7"/>
  <c r="AA23" i="7"/>
  <c r="AD23" i="7"/>
  <c r="C7" i="15"/>
  <c r="P23" i="7"/>
  <c r="AD28" i="3"/>
  <c r="K49" i="2" l="1"/>
  <c r="R76" i="16"/>
  <c r="U18" i="7"/>
  <c r="J76" i="16"/>
  <c r="L76" i="16"/>
  <c r="L77" i="16" s="1"/>
  <c r="M48" i="15"/>
  <c r="M49" i="15"/>
  <c r="O510" i="16"/>
  <c r="O446" i="16"/>
  <c r="O382" i="16"/>
  <c r="O318" i="16"/>
  <c r="S76" i="16"/>
  <c r="R77" i="16" s="1"/>
  <c r="Q77" i="16"/>
  <c r="F77" i="16"/>
  <c r="P77" i="16"/>
  <c r="B51" i="18"/>
  <c r="C50" i="18"/>
  <c r="P24" i="7"/>
  <c r="K77" i="16"/>
  <c r="U38" i="7"/>
  <c r="S39" i="7"/>
  <c r="R40" i="7"/>
  <c r="AJ39" i="7"/>
  <c r="AA39" i="7"/>
  <c r="X39" i="7"/>
  <c r="AG39" i="7"/>
  <c r="T39" i="7"/>
  <c r="AD39" i="7"/>
  <c r="J77" i="16"/>
  <c r="I77" i="16"/>
  <c r="K50" i="2"/>
  <c r="F5" i="15"/>
  <c r="D5" i="15"/>
  <c r="E5" i="15"/>
  <c r="E35" i="3"/>
  <c r="R34" i="3"/>
  <c r="J34" i="3"/>
  <c r="D34" i="3"/>
  <c r="E52" i="2"/>
  <c r="C53" i="2"/>
  <c r="D52" i="2"/>
  <c r="F52" i="2"/>
  <c r="AD62" i="7"/>
  <c r="X62" i="7"/>
  <c r="S62" i="7"/>
  <c r="R63" i="7"/>
  <c r="AJ62" i="7"/>
  <c r="AG62" i="7"/>
  <c r="AA62" i="7"/>
  <c r="T62" i="7"/>
  <c r="F19" i="15"/>
  <c r="B20" i="15"/>
  <c r="D19" i="15"/>
  <c r="E19" i="15"/>
  <c r="C18" i="15"/>
  <c r="P37" i="7"/>
  <c r="D77" i="16"/>
  <c r="E77" i="16"/>
  <c r="I51" i="2"/>
  <c r="T24" i="7"/>
  <c r="R25" i="7"/>
  <c r="AD24" i="7"/>
  <c r="X24" i="7"/>
  <c r="AA24" i="7"/>
  <c r="S24" i="7"/>
  <c r="AG24" i="7"/>
  <c r="AJ24" i="7"/>
  <c r="N49" i="7"/>
  <c r="O49" i="7"/>
  <c r="M50" i="7"/>
  <c r="H77" i="16"/>
  <c r="P48" i="7"/>
  <c r="N38" i="7"/>
  <c r="O38" i="7"/>
  <c r="M39" i="7"/>
  <c r="F37" i="3"/>
  <c r="O25" i="7"/>
  <c r="N25" i="7"/>
  <c r="M26" i="7"/>
  <c r="G51" i="2"/>
  <c r="J51" i="2"/>
  <c r="H51" i="2"/>
  <c r="C6" i="15"/>
  <c r="U23" i="7"/>
  <c r="U33" i="3"/>
  <c r="S33" i="3"/>
  <c r="T33" i="3" s="1"/>
  <c r="G77" i="16"/>
  <c r="P78" i="16" l="1"/>
  <c r="L78" i="16"/>
  <c r="R25" i="15"/>
  <c r="N48" i="15"/>
  <c r="S52" i="15"/>
  <c r="S53" i="15" s="1"/>
  <c r="P25" i="7"/>
  <c r="R40" i="15"/>
  <c r="N49" i="15"/>
  <c r="M51" i="15" s="1"/>
  <c r="M52" i="15" s="1"/>
  <c r="U24" i="7"/>
  <c r="T77" i="16"/>
  <c r="S77" i="16"/>
  <c r="R78" i="16" s="1"/>
  <c r="Q79" i="16" s="1"/>
  <c r="I78" i="16"/>
  <c r="Q78" i="16"/>
  <c r="P79" i="16" s="1"/>
  <c r="S78" i="16"/>
  <c r="K78" i="16"/>
  <c r="L79" i="16" s="1"/>
  <c r="B52" i="18"/>
  <c r="C51" i="18"/>
  <c r="AA40" i="7"/>
  <c r="AG40" i="7"/>
  <c r="R41" i="7"/>
  <c r="X40" i="7"/>
  <c r="AD40" i="7"/>
  <c r="S40" i="7"/>
  <c r="T40" i="7"/>
  <c r="AJ40" i="7"/>
  <c r="J78" i="16"/>
  <c r="U39" i="7"/>
  <c r="F78" i="16"/>
  <c r="K51" i="2"/>
  <c r="D78" i="16"/>
  <c r="E78" i="16"/>
  <c r="M40" i="7"/>
  <c r="N39" i="7"/>
  <c r="O39" i="7"/>
  <c r="E53" i="2"/>
  <c r="D53" i="2"/>
  <c r="C54" i="2"/>
  <c r="F53" i="2"/>
  <c r="S34" i="3"/>
  <c r="T34" i="3" s="1"/>
  <c r="U34" i="3"/>
  <c r="E36" i="3"/>
  <c r="D35" i="3"/>
  <c r="J35" i="3"/>
  <c r="R35" i="3"/>
  <c r="I52" i="2"/>
  <c r="N50" i="7"/>
  <c r="M51" i="7"/>
  <c r="O50" i="7"/>
  <c r="N26" i="7"/>
  <c r="M27" i="7"/>
  <c r="O26" i="7"/>
  <c r="R64" i="7"/>
  <c r="AG63" i="7"/>
  <c r="AJ63" i="7"/>
  <c r="T63" i="7"/>
  <c r="AA63" i="7"/>
  <c r="AD63" i="7"/>
  <c r="S63" i="7"/>
  <c r="X63" i="7"/>
  <c r="C5" i="15"/>
  <c r="C19" i="15"/>
  <c r="E20" i="15"/>
  <c r="F20" i="15"/>
  <c r="D20" i="15"/>
  <c r="G78" i="16"/>
  <c r="P49" i="7"/>
  <c r="U62" i="7"/>
  <c r="P38" i="7"/>
  <c r="J52" i="2"/>
  <c r="G52" i="2"/>
  <c r="H52" i="2"/>
  <c r="AJ25" i="7"/>
  <c r="S25" i="7"/>
  <c r="T25" i="7"/>
  <c r="R26" i="7"/>
  <c r="X25" i="7"/>
  <c r="AA25" i="7"/>
  <c r="AD25" i="7"/>
  <c r="AG25" i="7"/>
  <c r="H78" i="16"/>
  <c r="F38" i="3"/>
  <c r="T78" i="16" l="1"/>
  <c r="S79" i="16" s="1"/>
  <c r="R42" i="15"/>
  <c r="R43" i="15" s="1"/>
  <c r="R44" i="15" s="1"/>
  <c r="T40" i="15"/>
  <c r="S38" i="15" s="1"/>
  <c r="R79" i="16"/>
  <c r="M50" i="15"/>
  <c r="S48" i="15"/>
  <c r="S49" i="15" s="1"/>
  <c r="R27" i="15"/>
  <c r="R28" i="15" s="1"/>
  <c r="R29" i="15" s="1"/>
  <c r="T25" i="15"/>
  <c r="S23" i="15" s="1"/>
  <c r="U40" i="7"/>
  <c r="K79" i="16"/>
  <c r="L80" i="16" s="1"/>
  <c r="I79" i="16"/>
  <c r="B53" i="18"/>
  <c r="C52" i="18"/>
  <c r="U63" i="7"/>
  <c r="J79" i="16"/>
  <c r="AA41" i="7"/>
  <c r="AJ41" i="7"/>
  <c r="R42" i="7"/>
  <c r="S41" i="7"/>
  <c r="AG41" i="7"/>
  <c r="AD41" i="7"/>
  <c r="T41" i="7"/>
  <c r="X41" i="7"/>
  <c r="H79" i="16"/>
  <c r="K52" i="2"/>
  <c r="C20" i="15"/>
  <c r="Q80" i="16"/>
  <c r="P80" i="16"/>
  <c r="H53" i="2"/>
  <c r="G53" i="2"/>
  <c r="J53" i="2"/>
  <c r="E37" i="3"/>
  <c r="J36" i="3"/>
  <c r="D36" i="3"/>
  <c r="R36" i="3"/>
  <c r="AA64" i="7"/>
  <c r="R65" i="7"/>
  <c r="AD64" i="7"/>
  <c r="S64" i="7"/>
  <c r="T64" i="7"/>
  <c r="AJ64" i="7"/>
  <c r="X64" i="7"/>
  <c r="AG64" i="7"/>
  <c r="O27" i="7"/>
  <c r="M28" i="7"/>
  <c r="N27" i="7"/>
  <c r="P26" i="7"/>
  <c r="N51" i="7"/>
  <c r="O51" i="7"/>
  <c r="M52" i="7"/>
  <c r="F39" i="3"/>
  <c r="P39" i="7"/>
  <c r="C55" i="2"/>
  <c r="D54" i="2"/>
  <c r="E54" i="2"/>
  <c r="F54" i="2"/>
  <c r="M41" i="7"/>
  <c r="O40" i="7"/>
  <c r="N40" i="7"/>
  <c r="AD26" i="7"/>
  <c r="AA26" i="7"/>
  <c r="AJ26" i="7"/>
  <c r="S26" i="7"/>
  <c r="T26" i="7"/>
  <c r="R27" i="7"/>
  <c r="AG26" i="7"/>
  <c r="X26" i="7"/>
  <c r="P50" i="7"/>
  <c r="S35" i="3"/>
  <c r="T35" i="3" s="1"/>
  <c r="U35" i="3"/>
  <c r="F79" i="16"/>
  <c r="E79" i="16"/>
  <c r="D79" i="16"/>
  <c r="U25" i="7"/>
  <c r="G79" i="16"/>
  <c r="I53" i="2"/>
  <c r="T79" i="16" l="1"/>
  <c r="S80" i="16" s="1"/>
  <c r="R81" i="16" s="1"/>
  <c r="R80" i="16"/>
  <c r="S81" i="16" s="1"/>
  <c r="T80" i="16"/>
  <c r="T81" i="16" s="1"/>
  <c r="U41" i="7"/>
  <c r="P40" i="7"/>
  <c r="U64" i="7"/>
  <c r="K80" i="16"/>
  <c r="L81" i="16" s="1"/>
  <c r="I80" i="16"/>
  <c r="H80" i="16"/>
  <c r="J80" i="16"/>
  <c r="B54" i="18"/>
  <c r="C53" i="18"/>
  <c r="P27" i="7"/>
  <c r="T42" i="7"/>
  <c r="R43" i="7"/>
  <c r="AG42" i="7"/>
  <c r="AJ42" i="7"/>
  <c r="S42" i="7"/>
  <c r="X42" i="7"/>
  <c r="AA42" i="7"/>
  <c r="AD42" i="7"/>
  <c r="F80" i="16"/>
  <c r="G80" i="16"/>
  <c r="K53" i="2"/>
  <c r="AG27" i="7"/>
  <c r="AA27" i="7"/>
  <c r="X27" i="7"/>
  <c r="T27" i="7"/>
  <c r="R28" i="7"/>
  <c r="S27" i="7"/>
  <c r="U27" i="7" s="1"/>
  <c r="AJ27" i="7"/>
  <c r="AD27" i="7"/>
  <c r="U26" i="7"/>
  <c r="U36" i="3"/>
  <c r="S36" i="3"/>
  <c r="T36" i="3" s="1"/>
  <c r="P51" i="7"/>
  <c r="M29" i="7"/>
  <c r="O28" i="7"/>
  <c r="N28" i="7"/>
  <c r="N52" i="7"/>
  <c r="M53" i="7"/>
  <c r="O52" i="7"/>
  <c r="S65" i="7"/>
  <c r="AA65" i="7"/>
  <c r="AJ65" i="7"/>
  <c r="AD65" i="7"/>
  <c r="R66" i="7"/>
  <c r="X65" i="7"/>
  <c r="AG65" i="7"/>
  <c r="T65" i="7"/>
  <c r="N41" i="7"/>
  <c r="O41" i="7"/>
  <c r="D55" i="2"/>
  <c r="E55" i="2"/>
  <c r="C56" i="2"/>
  <c r="F55" i="2"/>
  <c r="P81" i="16"/>
  <c r="Q81" i="16"/>
  <c r="E38" i="3"/>
  <c r="R37" i="3"/>
  <c r="J37" i="3"/>
  <c r="D37" i="3"/>
  <c r="D80" i="16"/>
  <c r="E80" i="16"/>
  <c r="G54" i="2"/>
  <c r="H54" i="2"/>
  <c r="J54" i="2"/>
  <c r="I54" i="2"/>
  <c r="F40" i="3"/>
  <c r="K81" i="16" l="1"/>
  <c r="L82" i="16" s="1"/>
  <c r="U42" i="7"/>
  <c r="T82" i="16"/>
  <c r="S82" i="16"/>
  <c r="F81" i="16"/>
  <c r="H81" i="16"/>
  <c r="T83" i="16"/>
  <c r="I81" i="16"/>
  <c r="J81" i="16"/>
  <c r="B55" i="18"/>
  <c r="C54" i="18"/>
  <c r="X43" i="7"/>
  <c r="R44" i="7"/>
  <c r="AJ43" i="7"/>
  <c r="AG43" i="7"/>
  <c r="S43" i="7"/>
  <c r="AD43" i="7"/>
  <c r="AA43" i="7"/>
  <c r="T43" i="7"/>
  <c r="U65" i="7"/>
  <c r="G81" i="16"/>
  <c r="R82" i="16"/>
  <c r="S83" i="16" s="1"/>
  <c r="F41" i="3"/>
  <c r="O29" i="7"/>
  <c r="N29" i="7"/>
  <c r="M30" i="7"/>
  <c r="AJ28" i="7"/>
  <c r="AA28" i="7"/>
  <c r="T28" i="7"/>
  <c r="R29" i="7"/>
  <c r="X28" i="7"/>
  <c r="S28" i="7"/>
  <c r="AG28" i="7"/>
  <c r="AD28" i="7"/>
  <c r="G55" i="2"/>
  <c r="H55" i="2"/>
  <c r="J55" i="2"/>
  <c r="Q82" i="16"/>
  <c r="R83" i="16" s="1"/>
  <c r="P82" i="16"/>
  <c r="D56" i="2"/>
  <c r="E56" i="2"/>
  <c r="C57" i="2"/>
  <c r="F56" i="2"/>
  <c r="K54" i="2"/>
  <c r="AA66" i="7"/>
  <c r="R67" i="7"/>
  <c r="X66" i="7"/>
  <c r="AJ66" i="7"/>
  <c r="AG66" i="7"/>
  <c r="T66" i="7"/>
  <c r="S66" i="7"/>
  <c r="AD66" i="7"/>
  <c r="N53" i="7"/>
  <c r="M54" i="7"/>
  <c r="O53" i="7"/>
  <c r="P41" i="7"/>
  <c r="D81" i="16"/>
  <c r="E81" i="16"/>
  <c r="I55" i="2"/>
  <c r="S37" i="3"/>
  <c r="T37" i="3" s="1"/>
  <c r="U37" i="3"/>
  <c r="P28" i="7"/>
  <c r="P52" i="7"/>
  <c r="E39" i="3"/>
  <c r="D38" i="3"/>
  <c r="J38" i="3"/>
  <c r="R38" i="3"/>
  <c r="S84" i="16" l="1"/>
  <c r="U66" i="7"/>
  <c r="U28" i="7"/>
  <c r="U43" i="7"/>
  <c r="H82" i="16"/>
  <c r="I82" i="16"/>
  <c r="T84" i="16"/>
  <c r="T85" i="16" s="1"/>
  <c r="F82" i="16"/>
  <c r="K82" i="16"/>
  <c r="L83" i="16" s="1"/>
  <c r="J82" i="16"/>
  <c r="B56" i="18"/>
  <c r="C55" i="18"/>
  <c r="X44" i="7"/>
  <c r="T44" i="7"/>
  <c r="AJ44" i="7"/>
  <c r="AG44" i="7"/>
  <c r="S44" i="7"/>
  <c r="AA44" i="7"/>
  <c r="AD44" i="7"/>
  <c r="R45" i="7"/>
  <c r="P29" i="7"/>
  <c r="G82" i="16"/>
  <c r="X67" i="7"/>
  <c r="R68" i="7"/>
  <c r="AG67" i="7"/>
  <c r="AJ67" i="7"/>
  <c r="S67" i="7"/>
  <c r="T67" i="7"/>
  <c r="AD67" i="7"/>
  <c r="AA67" i="7"/>
  <c r="X29" i="7"/>
  <c r="S29" i="7"/>
  <c r="AD29" i="7"/>
  <c r="R30" i="7"/>
  <c r="T29" i="7"/>
  <c r="AA29" i="7"/>
  <c r="AJ29" i="7"/>
  <c r="AG29" i="7"/>
  <c r="U38" i="3"/>
  <c r="S38" i="3"/>
  <c r="T38" i="3" s="1"/>
  <c r="H56" i="2"/>
  <c r="G56" i="2"/>
  <c r="J56" i="2"/>
  <c r="N54" i="7"/>
  <c r="O54" i="7"/>
  <c r="E57" i="2"/>
  <c r="D57" i="2"/>
  <c r="C58" i="2"/>
  <c r="F57" i="2"/>
  <c r="E82" i="16"/>
  <c r="D82" i="16"/>
  <c r="Q83" i="16"/>
  <c r="R84" i="16" s="1"/>
  <c r="P83" i="16"/>
  <c r="P53" i="7"/>
  <c r="E40" i="3"/>
  <c r="R39" i="3"/>
  <c r="J39" i="3"/>
  <c r="D39" i="3"/>
  <c r="N30" i="7"/>
  <c r="O30" i="7"/>
  <c r="M31" i="7"/>
  <c r="F42" i="3"/>
  <c r="I56" i="2"/>
  <c r="K55" i="2"/>
  <c r="U44" i="7" l="1"/>
  <c r="S85" i="16"/>
  <c r="H83" i="16"/>
  <c r="P30" i="7"/>
  <c r="T86" i="16"/>
  <c r="K83" i="16"/>
  <c r="L84" i="16" s="1"/>
  <c r="I83" i="16"/>
  <c r="J83" i="16"/>
  <c r="B57" i="18"/>
  <c r="C56" i="18"/>
  <c r="T45" i="7"/>
  <c r="AD45" i="7"/>
  <c r="S45" i="7"/>
  <c r="AA45" i="7"/>
  <c r="X45" i="7"/>
  <c r="AG45" i="7"/>
  <c r="AJ45" i="7"/>
  <c r="R46" i="7"/>
  <c r="F83" i="16"/>
  <c r="G83" i="16"/>
  <c r="U39" i="3"/>
  <c r="S39" i="3"/>
  <c r="T39" i="3" s="1"/>
  <c r="F43" i="3"/>
  <c r="N31" i="7"/>
  <c r="O31" i="7"/>
  <c r="AD30" i="7"/>
  <c r="AJ30" i="7"/>
  <c r="AA30" i="7"/>
  <c r="R31" i="7"/>
  <c r="S30" i="7"/>
  <c r="AG30" i="7"/>
  <c r="T30" i="7"/>
  <c r="X30" i="7"/>
  <c r="H57" i="2"/>
  <c r="G57" i="2"/>
  <c r="J57" i="2"/>
  <c r="P54" i="7"/>
  <c r="I57" i="2"/>
  <c r="E41" i="3"/>
  <c r="D40" i="3"/>
  <c r="R40" i="3"/>
  <c r="J40" i="3"/>
  <c r="Q84" i="16"/>
  <c r="R85" i="16" s="1"/>
  <c r="S86" i="16" s="1"/>
  <c r="T87" i="16" s="1"/>
  <c r="P84" i="16"/>
  <c r="U67" i="7"/>
  <c r="AJ68" i="7"/>
  <c r="S68" i="7"/>
  <c r="AD68" i="7"/>
  <c r="X68" i="7"/>
  <c r="R69" i="7"/>
  <c r="T68" i="7"/>
  <c r="AA68" i="7"/>
  <c r="AG68" i="7"/>
  <c r="K56" i="2"/>
  <c r="D83" i="16"/>
  <c r="E83" i="16"/>
  <c r="E58" i="2"/>
  <c r="C59" i="2"/>
  <c r="D58" i="2"/>
  <c r="F58" i="2"/>
  <c r="U29" i="7"/>
  <c r="U30" i="7" l="1"/>
  <c r="J84" i="16"/>
  <c r="H84" i="16"/>
  <c r="K84" i="16"/>
  <c r="L85" i="16" s="1"/>
  <c r="I84" i="16"/>
  <c r="B58" i="18"/>
  <c r="C57" i="18"/>
  <c r="AD46" i="7"/>
  <c r="AA46" i="7"/>
  <c r="S46" i="7"/>
  <c r="X46" i="7"/>
  <c r="AJ46" i="7"/>
  <c r="AG46" i="7"/>
  <c r="R47" i="7"/>
  <c r="T46" i="7"/>
  <c r="U45" i="7"/>
  <c r="G84" i="16"/>
  <c r="F84" i="16"/>
  <c r="E42" i="3"/>
  <c r="J41" i="3"/>
  <c r="R41" i="3"/>
  <c r="D41" i="3"/>
  <c r="AD69" i="7"/>
  <c r="AG69" i="7"/>
  <c r="T69" i="7"/>
  <c r="X69" i="7"/>
  <c r="AA69" i="7"/>
  <c r="S5" i="7"/>
  <c r="AJ69" i="7"/>
  <c r="S69" i="7"/>
  <c r="U69" i="7" s="1"/>
  <c r="R70" i="7"/>
  <c r="U68" i="7"/>
  <c r="F44" i="3"/>
  <c r="S31" i="7"/>
  <c r="T31" i="7"/>
  <c r="AD31" i="7"/>
  <c r="AJ31" i="7"/>
  <c r="AA31" i="7"/>
  <c r="AG31" i="7"/>
  <c r="X31" i="7"/>
  <c r="R32" i="7"/>
  <c r="P31" i="7"/>
  <c r="I58" i="2"/>
  <c r="E59" i="2"/>
  <c r="D59" i="2"/>
  <c r="C60" i="2"/>
  <c r="F59" i="2"/>
  <c r="G58" i="2"/>
  <c r="H58" i="2"/>
  <c r="J58" i="2"/>
  <c r="K57" i="2"/>
  <c r="P85" i="16"/>
  <c r="Q85" i="16"/>
  <c r="R86" i="16" s="1"/>
  <c r="S87" i="16" s="1"/>
  <c r="T88" i="16" s="1"/>
  <c r="E84" i="16"/>
  <c r="D84" i="16"/>
  <c r="U40" i="3"/>
  <c r="S40" i="3"/>
  <c r="T40" i="3" s="1"/>
  <c r="J85" i="16" l="1"/>
  <c r="U31" i="7"/>
  <c r="H85" i="16"/>
  <c r="K85" i="16"/>
  <c r="F85" i="16"/>
  <c r="I85" i="16"/>
  <c r="B59" i="18"/>
  <c r="C58" i="18"/>
  <c r="AA47" i="7"/>
  <c r="S47" i="7"/>
  <c r="AJ47" i="7"/>
  <c r="AD47" i="7"/>
  <c r="R48" i="7"/>
  <c r="T47" i="7"/>
  <c r="X47" i="7"/>
  <c r="AG47" i="7"/>
  <c r="G85" i="16"/>
  <c r="U46" i="7"/>
  <c r="X70" i="7"/>
  <c r="AD70" i="7"/>
  <c r="S70" i="7"/>
  <c r="T70" i="7"/>
  <c r="AJ70" i="7"/>
  <c r="R71" i="7"/>
  <c r="AA70" i="7"/>
  <c r="AG70" i="7"/>
  <c r="D60" i="2"/>
  <c r="E60" i="2"/>
  <c r="C61" i="2"/>
  <c r="F60" i="2"/>
  <c r="K58" i="2"/>
  <c r="I59" i="2"/>
  <c r="S41" i="3"/>
  <c r="T41" i="3" s="1"/>
  <c r="U41" i="3"/>
  <c r="F45" i="3"/>
  <c r="E43" i="3"/>
  <c r="J42" i="3"/>
  <c r="R42" i="3"/>
  <c r="D42" i="3"/>
  <c r="H59" i="2"/>
  <c r="G59" i="2"/>
  <c r="J59" i="2"/>
  <c r="E85" i="16"/>
  <c r="D85" i="16"/>
  <c r="R33" i="7"/>
  <c r="AA32" i="7"/>
  <c r="AG32" i="7"/>
  <c r="AJ32" i="7"/>
  <c r="X32" i="7"/>
  <c r="AD32" i="7"/>
  <c r="T32" i="7"/>
  <c r="S32" i="7"/>
  <c r="Q86" i="16"/>
  <c r="R87" i="16" s="1"/>
  <c r="S88" i="16" s="1"/>
  <c r="T89" i="16" s="1"/>
  <c r="P86" i="16"/>
  <c r="H86" i="16" l="1"/>
  <c r="J86" i="16"/>
  <c r="L86" i="16"/>
  <c r="K86" i="16"/>
  <c r="F86" i="16"/>
  <c r="I86" i="16"/>
  <c r="B60" i="18"/>
  <c r="C59" i="18"/>
  <c r="R49" i="7"/>
  <c r="T48" i="7"/>
  <c r="S48" i="7"/>
  <c r="AA48" i="7"/>
  <c r="AG48" i="7"/>
  <c r="AJ48" i="7"/>
  <c r="AD48" i="7"/>
  <c r="X48" i="7"/>
  <c r="U47" i="7"/>
  <c r="G86" i="16"/>
  <c r="J60" i="2"/>
  <c r="H60" i="2"/>
  <c r="G60" i="2"/>
  <c r="D61" i="2"/>
  <c r="C62" i="2"/>
  <c r="E61" i="2"/>
  <c r="F61" i="2"/>
  <c r="F46" i="3"/>
  <c r="D86" i="16"/>
  <c r="E86" i="16"/>
  <c r="U70" i="7"/>
  <c r="I60" i="2"/>
  <c r="AG33" i="7"/>
  <c r="T33" i="7"/>
  <c r="AD33" i="7"/>
  <c r="S33" i="7"/>
  <c r="X33" i="7"/>
  <c r="AA33" i="7"/>
  <c r="AJ33" i="7"/>
  <c r="AJ71" i="7"/>
  <c r="AG71" i="7"/>
  <c r="AD71" i="7"/>
  <c r="S71" i="7"/>
  <c r="X71" i="7"/>
  <c r="R72" i="7"/>
  <c r="T71" i="7"/>
  <c r="AA71" i="7"/>
  <c r="S42" i="3"/>
  <c r="T42" i="3" s="1"/>
  <c r="U42" i="3"/>
  <c r="K59" i="2"/>
  <c r="Q87" i="16"/>
  <c r="R88" i="16" s="1"/>
  <c r="S89" i="16" s="1"/>
  <c r="T90" i="16" s="1"/>
  <c r="P87" i="16"/>
  <c r="U32" i="7"/>
  <c r="E44" i="3"/>
  <c r="D43" i="3"/>
  <c r="J43" i="3"/>
  <c r="R43" i="3"/>
  <c r="U48" i="7" l="1"/>
  <c r="U33" i="7"/>
  <c r="J87" i="16"/>
  <c r="K87" i="16"/>
  <c r="L87" i="16"/>
  <c r="H87" i="16"/>
  <c r="F87" i="16"/>
  <c r="I87" i="16"/>
  <c r="J88" i="16" s="1"/>
  <c r="B61" i="18"/>
  <c r="C60" i="18"/>
  <c r="X49" i="7"/>
  <c r="AA49" i="7"/>
  <c r="AD49" i="7"/>
  <c r="S49" i="7"/>
  <c r="AG49" i="7"/>
  <c r="T49" i="7"/>
  <c r="R50" i="7"/>
  <c r="AJ49" i="7"/>
  <c r="G87" i="16"/>
  <c r="K60" i="2"/>
  <c r="S43" i="3"/>
  <c r="T43" i="3" s="1"/>
  <c r="U43" i="3"/>
  <c r="F47" i="3"/>
  <c r="AD72" i="7"/>
  <c r="R73" i="7"/>
  <c r="AJ72" i="7"/>
  <c r="T72" i="7"/>
  <c r="AA72" i="7"/>
  <c r="S72" i="7"/>
  <c r="U72" i="7" s="1"/>
  <c r="X72" i="7"/>
  <c r="AG72" i="7"/>
  <c r="E45" i="3"/>
  <c r="J44" i="3"/>
  <c r="R44" i="3"/>
  <c r="D44" i="3"/>
  <c r="P88" i="16"/>
  <c r="Q88" i="16"/>
  <c r="R89" i="16" s="1"/>
  <c r="S90" i="16" s="1"/>
  <c r="T91" i="16" s="1"/>
  <c r="D62" i="2"/>
  <c r="C63" i="2"/>
  <c r="F62" i="2"/>
  <c r="E62" i="2"/>
  <c r="H61" i="2"/>
  <c r="G61" i="2"/>
  <c r="J61" i="2"/>
  <c r="E87" i="16"/>
  <c r="D87" i="16"/>
  <c r="U71" i="7"/>
  <c r="I61" i="2"/>
  <c r="U49" i="7" l="1"/>
  <c r="K88" i="16"/>
  <c r="L88" i="16"/>
  <c r="H88" i="16"/>
  <c r="F88" i="16"/>
  <c r="I88" i="16"/>
  <c r="J89" i="16" s="1"/>
  <c r="B62" i="18"/>
  <c r="C61" i="18"/>
  <c r="R51" i="7"/>
  <c r="X50" i="7"/>
  <c r="AG50" i="7"/>
  <c r="S50" i="7"/>
  <c r="U50" i="7" s="1"/>
  <c r="T50" i="7"/>
  <c r="AA50" i="7"/>
  <c r="AD50" i="7"/>
  <c r="AJ50" i="7"/>
  <c r="G88" i="16"/>
  <c r="E63" i="2"/>
  <c r="D63" i="2"/>
  <c r="C64" i="2"/>
  <c r="F63" i="2"/>
  <c r="I62" i="2"/>
  <c r="G62" i="2"/>
  <c r="J62" i="2"/>
  <c r="H62" i="2"/>
  <c r="K61" i="2"/>
  <c r="AJ73" i="7"/>
  <c r="X73" i="7"/>
  <c r="S73" i="7"/>
  <c r="AD73" i="7"/>
  <c r="AG73" i="7"/>
  <c r="T73" i="7"/>
  <c r="R74" i="7"/>
  <c r="AA73" i="7"/>
  <c r="S44" i="3"/>
  <c r="T44" i="3" s="1"/>
  <c r="U44" i="3"/>
  <c r="F48" i="3"/>
  <c r="E88" i="16"/>
  <c r="D88" i="16"/>
  <c r="E46" i="3"/>
  <c r="D45" i="3"/>
  <c r="J45" i="3"/>
  <c r="R45" i="3"/>
  <c r="Q89" i="16"/>
  <c r="R90" i="16" s="1"/>
  <c r="S91" i="16" s="1"/>
  <c r="T92" i="16" s="1"/>
  <c r="P89" i="16"/>
  <c r="L89" i="16" l="1"/>
  <c r="U73" i="7"/>
  <c r="K89" i="16"/>
  <c r="H89" i="16"/>
  <c r="F89" i="16"/>
  <c r="I89" i="16"/>
  <c r="B63" i="18"/>
  <c r="C62" i="18"/>
  <c r="K62" i="2"/>
  <c r="S51" i="7"/>
  <c r="AG51" i="7"/>
  <c r="X51" i="7"/>
  <c r="AA51" i="7"/>
  <c r="T51" i="7"/>
  <c r="AJ51" i="7"/>
  <c r="R52" i="7"/>
  <c r="AD51" i="7"/>
  <c r="G89" i="16"/>
  <c r="E89" i="16"/>
  <c r="D89" i="16"/>
  <c r="I63" i="2"/>
  <c r="F49" i="3"/>
  <c r="H63" i="2"/>
  <c r="G63" i="2"/>
  <c r="J63" i="2"/>
  <c r="C65" i="2"/>
  <c r="E64" i="2"/>
  <c r="D64" i="2"/>
  <c r="F64" i="2"/>
  <c r="Q90" i="16"/>
  <c r="R91" i="16" s="1"/>
  <c r="S92" i="16" s="1"/>
  <c r="T93" i="16" s="1"/>
  <c r="P90" i="16"/>
  <c r="X74" i="7"/>
  <c r="S74" i="7"/>
  <c r="AD74" i="7"/>
  <c r="AG74" i="7"/>
  <c r="R75" i="7"/>
  <c r="T74" i="7"/>
  <c r="AA74" i="7"/>
  <c r="AJ74" i="7"/>
  <c r="E47" i="3"/>
  <c r="D46" i="3"/>
  <c r="J46" i="3"/>
  <c r="R46" i="3"/>
  <c r="S45" i="3"/>
  <c r="T45" i="3" s="1"/>
  <c r="U45" i="3"/>
  <c r="L90" i="16" l="1"/>
  <c r="K90" i="16"/>
  <c r="L91" i="16" s="1"/>
  <c r="J90" i="16"/>
  <c r="I90" i="16"/>
  <c r="H90" i="16"/>
  <c r="F90" i="16"/>
  <c r="B64" i="18"/>
  <c r="C63" i="18"/>
  <c r="AD52" i="7"/>
  <c r="T52" i="7"/>
  <c r="R53" i="7"/>
  <c r="AJ52" i="7"/>
  <c r="AA52" i="7"/>
  <c r="AG52" i="7"/>
  <c r="S52" i="7"/>
  <c r="X52" i="7"/>
  <c r="G90" i="16"/>
  <c r="U51" i="7"/>
  <c r="E48" i="3"/>
  <c r="R47" i="3"/>
  <c r="D47" i="3"/>
  <c r="J47" i="3"/>
  <c r="U74" i="7"/>
  <c r="F65" i="2"/>
  <c r="C66" i="2"/>
  <c r="E65" i="2"/>
  <c r="D65" i="2"/>
  <c r="R76" i="7"/>
  <c r="AD75" i="7"/>
  <c r="T75" i="7"/>
  <c r="AG75" i="7"/>
  <c r="AJ75" i="7"/>
  <c r="S75" i="7"/>
  <c r="X75" i="7"/>
  <c r="AA75" i="7"/>
  <c r="K63" i="2"/>
  <c r="F50" i="3"/>
  <c r="I64" i="2"/>
  <c r="Q91" i="16"/>
  <c r="R92" i="16" s="1"/>
  <c r="S93" i="16" s="1"/>
  <c r="T94" i="16" s="1"/>
  <c r="P91" i="16"/>
  <c r="D90" i="16"/>
  <c r="E90" i="16"/>
  <c r="U46" i="3"/>
  <c r="S46" i="3"/>
  <c r="T46" i="3" s="1"/>
  <c r="H64" i="2"/>
  <c r="G64" i="2"/>
  <c r="J64" i="2"/>
  <c r="K91" i="16" l="1"/>
  <c r="L92" i="16"/>
  <c r="H91" i="16"/>
  <c r="U52" i="7"/>
  <c r="I91" i="16"/>
  <c r="J91" i="16"/>
  <c r="K92" i="16" s="1"/>
  <c r="L93" i="16" s="1"/>
  <c r="F91" i="16"/>
  <c r="B65" i="18"/>
  <c r="C64" i="18"/>
  <c r="X53" i="7"/>
  <c r="AG53" i="7"/>
  <c r="T53" i="7"/>
  <c r="AJ53" i="7"/>
  <c r="AD53" i="7"/>
  <c r="R54" i="7"/>
  <c r="S53" i="7"/>
  <c r="AA53" i="7"/>
  <c r="G91" i="16"/>
  <c r="I65" i="2"/>
  <c r="E91" i="16"/>
  <c r="D91" i="16"/>
  <c r="S76" i="7"/>
  <c r="AJ76" i="7"/>
  <c r="R77" i="7"/>
  <c r="T76" i="7"/>
  <c r="AD76" i="7"/>
  <c r="X76" i="7"/>
  <c r="AA76" i="7"/>
  <c r="AG76" i="7"/>
  <c r="S47" i="3"/>
  <c r="T47" i="3" s="1"/>
  <c r="U47" i="3"/>
  <c r="Q92" i="16"/>
  <c r="R93" i="16" s="1"/>
  <c r="S94" i="16" s="1"/>
  <c r="T95" i="16" s="1"/>
  <c r="P92" i="16"/>
  <c r="H65" i="2"/>
  <c r="G65" i="2"/>
  <c r="J65" i="2"/>
  <c r="E49" i="3"/>
  <c r="R48" i="3"/>
  <c r="J48" i="3"/>
  <c r="D48" i="3"/>
  <c r="K64" i="2"/>
  <c r="D66" i="2"/>
  <c r="E66" i="2"/>
  <c r="C67" i="2"/>
  <c r="F66" i="2"/>
  <c r="F51" i="3"/>
  <c r="U75" i="7"/>
  <c r="J92" i="16" l="1"/>
  <c r="K93" i="16" s="1"/>
  <c r="L94" i="16" s="1"/>
  <c r="H92" i="16"/>
  <c r="F92" i="16"/>
  <c r="I92" i="16"/>
  <c r="J93" i="16" s="1"/>
  <c r="K94" i="16" s="1"/>
  <c r="B66" i="18"/>
  <c r="C65" i="18"/>
  <c r="U53" i="7"/>
  <c r="G92" i="16"/>
  <c r="R55" i="7"/>
  <c r="T54" i="7"/>
  <c r="AD54" i="7"/>
  <c r="AA54" i="7"/>
  <c r="X54" i="7"/>
  <c r="AG54" i="7"/>
  <c r="AJ54" i="7"/>
  <c r="S54" i="7"/>
  <c r="E67" i="2"/>
  <c r="D67" i="2"/>
  <c r="F67" i="2"/>
  <c r="C68" i="2"/>
  <c r="F52" i="3"/>
  <c r="G66" i="2"/>
  <c r="H66" i="2"/>
  <c r="J66" i="2"/>
  <c r="U76" i="7"/>
  <c r="I66" i="2"/>
  <c r="S77" i="7"/>
  <c r="AG77" i="7"/>
  <c r="T77" i="7"/>
  <c r="AD77" i="7"/>
  <c r="X77" i="7"/>
  <c r="R78" i="7"/>
  <c r="AA77" i="7"/>
  <c r="AJ77" i="7"/>
  <c r="Q93" i="16"/>
  <c r="R94" i="16" s="1"/>
  <c r="S95" i="16" s="1"/>
  <c r="T96" i="16" s="1"/>
  <c r="P93" i="16"/>
  <c r="U48" i="3"/>
  <c r="S48" i="3"/>
  <c r="T48" i="3" s="1"/>
  <c r="E50" i="3"/>
  <c r="D49" i="3"/>
  <c r="J49" i="3"/>
  <c r="R49" i="3"/>
  <c r="E92" i="16"/>
  <c r="D92" i="16"/>
  <c r="K65" i="2"/>
  <c r="I93" i="16" l="1"/>
  <c r="J94" i="16" s="1"/>
  <c r="H93" i="16"/>
  <c r="I94" i="16" s="1"/>
  <c r="F93" i="16"/>
  <c r="B67" i="18"/>
  <c r="C66" i="18"/>
  <c r="L95" i="16"/>
  <c r="K95" i="16"/>
  <c r="AD55" i="7"/>
  <c r="AA55" i="7"/>
  <c r="T55" i="7"/>
  <c r="X55" i="7"/>
  <c r="S55" i="7"/>
  <c r="AJ55" i="7"/>
  <c r="AG55" i="7"/>
  <c r="U54" i="7"/>
  <c r="J95" i="16"/>
  <c r="G93" i="16"/>
  <c r="H94" i="16" s="1"/>
  <c r="I95" i="16" s="1"/>
  <c r="K66" i="2"/>
  <c r="F53" i="3"/>
  <c r="E51" i="3"/>
  <c r="J50" i="3"/>
  <c r="R50" i="3"/>
  <c r="D50" i="3"/>
  <c r="Q94" i="16"/>
  <c r="R95" i="16" s="1"/>
  <c r="S96" i="16" s="1"/>
  <c r="T97" i="16" s="1"/>
  <c r="P94" i="16"/>
  <c r="AJ78" i="7"/>
  <c r="AG78" i="7"/>
  <c r="AA78" i="7"/>
  <c r="R79" i="7"/>
  <c r="AD78" i="7"/>
  <c r="X78" i="7"/>
  <c r="T78" i="7"/>
  <c r="S78" i="7"/>
  <c r="E93" i="16"/>
  <c r="D93" i="16"/>
  <c r="J67" i="2"/>
  <c r="G67" i="2"/>
  <c r="H67" i="2"/>
  <c r="D68" i="2"/>
  <c r="E68" i="2"/>
  <c r="C69" i="2"/>
  <c r="F68" i="2"/>
  <c r="U49" i="3"/>
  <c r="S49" i="3"/>
  <c r="T49" i="3" s="1"/>
  <c r="I67" i="2"/>
  <c r="U77" i="7"/>
  <c r="L96" i="16" l="1"/>
  <c r="J96" i="16"/>
  <c r="K96" i="16"/>
  <c r="F94" i="16"/>
  <c r="B68" i="18"/>
  <c r="C67" i="18"/>
  <c r="U55" i="7"/>
  <c r="U78" i="7"/>
  <c r="G94" i="16"/>
  <c r="H95" i="16" s="1"/>
  <c r="I96" i="16" s="1"/>
  <c r="K67" i="2"/>
  <c r="I68" i="2"/>
  <c r="U50" i="3"/>
  <c r="S50" i="3"/>
  <c r="T50" i="3" s="1"/>
  <c r="G68" i="2"/>
  <c r="H68" i="2"/>
  <c r="J68" i="2"/>
  <c r="F54" i="3"/>
  <c r="S79" i="7"/>
  <c r="R80" i="7"/>
  <c r="AA79" i="7"/>
  <c r="T79" i="7"/>
  <c r="AD79" i="7"/>
  <c r="X79" i="7"/>
  <c r="AG79" i="7"/>
  <c r="AJ79" i="7"/>
  <c r="Q95" i="16"/>
  <c r="R96" i="16" s="1"/>
  <c r="S97" i="16" s="1"/>
  <c r="T98" i="16" s="1"/>
  <c r="P95" i="16"/>
  <c r="E94" i="16"/>
  <c r="D94" i="16"/>
  <c r="E52" i="3"/>
  <c r="J51" i="3"/>
  <c r="R51" i="3"/>
  <c r="D51" i="3"/>
  <c r="C70" i="2"/>
  <c r="E69" i="2"/>
  <c r="D69" i="2"/>
  <c r="F69" i="2"/>
  <c r="L97" i="16" l="1"/>
  <c r="J97" i="16"/>
  <c r="K97" i="16"/>
  <c r="F95" i="16"/>
  <c r="B69" i="18"/>
  <c r="C68" i="18"/>
  <c r="U79" i="7"/>
  <c r="G95" i="16"/>
  <c r="H96" i="16" s="1"/>
  <c r="I97" i="16" s="1"/>
  <c r="F55" i="3"/>
  <c r="D95" i="16"/>
  <c r="E95" i="16"/>
  <c r="P96" i="16"/>
  <c r="Q96" i="16"/>
  <c r="R97" i="16" s="1"/>
  <c r="S98" i="16" s="1"/>
  <c r="T99" i="16" s="1"/>
  <c r="C71" i="2"/>
  <c r="D70" i="2"/>
  <c r="E70" i="2"/>
  <c r="F70" i="2"/>
  <c r="AG80" i="7"/>
  <c r="AA80" i="7"/>
  <c r="X80" i="7"/>
  <c r="S80" i="7"/>
  <c r="AD80" i="7"/>
  <c r="T80" i="7"/>
  <c r="R81" i="7"/>
  <c r="AJ80" i="7"/>
  <c r="E53" i="3"/>
  <c r="J52" i="3"/>
  <c r="D52" i="3"/>
  <c r="R52" i="3"/>
  <c r="K68" i="2"/>
  <c r="U51" i="3"/>
  <c r="S51" i="3"/>
  <c r="T51" i="3" s="1"/>
  <c r="I69" i="2"/>
  <c r="H69" i="2"/>
  <c r="J69" i="2"/>
  <c r="G69" i="2"/>
  <c r="L98" i="16" l="1"/>
  <c r="F96" i="16"/>
  <c r="J98" i="16"/>
  <c r="K98" i="16"/>
  <c r="L99" i="16" s="1"/>
  <c r="B70" i="18"/>
  <c r="C69" i="18"/>
  <c r="G96" i="16"/>
  <c r="H97" i="16" s="1"/>
  <c r="I98" i="16" s="1"/>
  <c r="H70" i="2"/>
  <c r="G70" i="2"/>
  <c r="J70" i="2"/>
  <c r="U52" i="3"/>
  <c r="S52" i="3"/>
  <c r="T52" i="3" s="1"/>
  <c r="Q97" i="16"/>
  <c r="R98" i="16" s="1"/>
  <c r="S99" i="16" s="1"/>
  <c r="T100" i="16" s="1"/>
  <c r="P97" i="16"/>
  <c r="I70" i="2"/>
  <c r="D96" i="16"/>
  <c r="E96" i="16"/>
  <c r="D71" i="2"/>
  <c r="C72" i="2"/>
  <c r="E71" i="2"/>
  <c r="F71" i="2"/>
  <c r="E54" i="3"/>
  <c r="J53" i="3"/>
  <c r="D53" i="3"/>
  <c r="R53" i="3"/>
  <c r="AD81" i="7"/>
  <c r="X81" i="7"/>
  <c r="AA81" i="7"/>
  <c r="S81" i="7"/>
  <c r="R82" i="7"/>
  <c r="T81" i="7"/>
  <c r="AG81" i="7"/>
  <c r="AJ81" i="7"/>
  <c r="U80" i="7"/>
  <c r="F56" i="3"/>
  <c r="K69" i="2"/>
  <c r="J99" i="16" l="1"/>
  <c r="F97" i="16"/>
  <c r="K99" i="16"/>
  <c r="L100" i="16" s="1"/>
  <c r="B71" i="18"/>
  <c r="C70" i="18"/>
  <c r="G97" i="16"/>
  <c r="H98" i="16" s="1"/>
  <c r="I99" i="16" s="1"/>
  <c r="J100" i="16" s="1"/>
  <c r="I71" i="2"/>
  <c r="AD82" i="7"/>
  <c r="R83" i="7"/>
  <c r="X82" i="7"/>
  <c r="AG82" i="7"/>
  <c r="AJ82" i="7"/>
  <c r="T82" i="7"/>
  <c r="S82" i="7"/>
  <c r="AA82" i="7"/>
  <c r="P98" i="16"/>
  <c r="Q98" i="16"/>
  <c r="R99" i="16" s="1"/>
  <c r="S100" i="16" s="1"/>
  <c r="T101" i="16" s="1"/>
  <c r="U81" i="7"/>
  <c r="S53" i="3"/>
  <c r="T53" i="3" s="1"/>
  <c r="U53" i="3"/>
  <c r="F57" i="3"/>
  <c r="H71" i="2"/>
  <c r="G71" i="2"/>
  <c r="J71" i="2"/>
  <c r="D97" i="16"/>
  <c r="E97" i="16"/>
  <c r="E55" i="3"/>
  <c r="J54" i="3"/>
  <c r="R54" i="3"/>
  <c r="D54" i="3"/>
  <c r="K70" i="2"/>
  <c r="E72" i="2"/>
  <c r="D72" i="2"/>
  <c r="C73" i="2"/>
  <c r="F72" i="2"/>
  <c r="F98" i="16" l="1"/>
  <c r="K100" i="16"/>
  <c r="L101" i="16" s="1"/>
  <c r="B72" i="18"/>
  <c r="C71" i="18"/>
  <c r="G98" i="16"/>
  <c r="H99" i="16" s="1"/>
  <c r="I100" i="16" s="1"/>
  <c r="J101" i="16" s="1"/>
  <c r="F58" i="3"/>
  <c r="P99" i="16"/>
  <c r="Q99" i="16"/>
  <c r="R100" i="16" s="1"/>
  <c r="S101" i="16" s="1"/>
  <c r="T102" i="16" s="1"/>
  <c r="U82" i="7"/>
  <c r="D73" i="2"/>
  <c r="E73" i="2"/>
  <c r="C74" i="2"/>
  <c r="F73" i="2"/>
  <c r="U54" i="3"/>
  <c r="S54" i="3"/>
  <c r="T54" i="3" s="1"/>
  <c r="E56" i="3"/>
  <c r="J55" i="3"/>
  <c r="R55" i="3"/>
  <c r="D55" i="3"/>
  <c r="D98" i="16"/>
  <c r="E98" i="16"/>
  <c r="F99" i="16" s="1"/>
  <c r="K71" i="2"/>
  <c r="AJ83" i="7"/>
  <c r="AG83" i="7"/>
  <c r="AA83" i="7"/>
  <c r="AD83" i="7"/>
  <c r="X83" i="7"/>
  <c r="S83" i="7"/>
  <c r="T83" i="7"/>
  <c r="I72" i="2"/>
  <c r="H72" i="2"/>
  <c r="J72" i="2"/>
  <c r="G72" i="2"/>
  <c r="U83" i="7" l="1"/>
  <c r="K101" i="16"/>
  <c r="L102" i="16" s="1"/>
  <c r="C72" i="18"/>
  <c r="G99" i="16"/>
  <c r="H100" i="16" s="1"/>
  <c r="I101" i="16" s="1"/>
  <c r="K72" i="2"/>
  <c r="H73" i="2"/>
  <c r="G73" i="2"/>
  <c r="J73" i="2"/>
  <c r="D74" i="2"/>
  <c r="C75" i="2"/>
  <c r="E74" i="2"/>
  <c r="F74" i="2"/>
  <c r="P100" i="16"/>
  <c r="Q100" i="16"/>
  <c r="R101" i="16" s="1"/>
  <c r="S102" i="16" s="1"/>
  <c r="T103" i="16" s="1"/>
  <c r="S55" i="3"/>
  <c r="T55" i="3" s="1"/>
  <c r="U55" i="3"/>
  <c r="F59" i="3"/>
  <c r="E57" i="3"/>
  <c r="R56" i="3"/>
  <c r="J56" i="3"/>
  <c r="D56" i="3"/>
  <c r="I73" i="2"/>
  <c r="E99" i="16"/>
  <c r="F100" i="16" s="1"/>
  <c r="D99" i="16"/>
  <c r="J102" i="16" l="1"/>
  <c r="K102" i="16"/>
  <c r="L103" i="16" s="1"/>
  <c r="G100" i="16"/>
  <c r="H101" i="16" s="1"/>
  <c r="I102" i="16" s="1"/>
  <c r="D100" i="16"/>
  <c r="E100" i="16"/>
  <c r="D75" i="2"/>
  <c r="C76" i="2"/>
  <c r="F75" i="2"/>
  <c r="E75" i="2"/>
  <c r="Q101" i="16"/>
  <c r="R102" i="16" s="1"/>
  <c r="S103" i="16" s="1"/>
  <c r="T104" i="16" s="1"/>
  <c r="P101" i="16"/>
  <c r="G74" i="2"/>
  <c r="J74" i="2"/>
  <c r="H74" i="2"/>
  <c r="U56" i="3"/>
  <c r="S56" i="3"/>
  <c r="T56" i="3" s="1"/>
  <c r="K73" i="2"/>
  <c r="I74" i="2"/>
  <c r="F60" i="3"/>
  <c r="E58" i="3"/>
  <c r="J57" i="3"/>
  <c r="R57" i="3"/>
  <c r="D57" i="3"/>
  <c r="J103" i="16" l="1"/>
  <c r="F101" i="16"/>
  <c r="K103" i="16"/>
  <c r="L104" i="16" s="1"/>
  <c r="G101" i="16"/>
  <c r="H102" i="16" s="1"/>
  <c r="I103" i="16" s="1"/>
  <c r="J104" i="16" s="1"/>
  <c r="K74" i="2"/>
  <c r="P102" i="16"/>
  <c r="Q102" i="16"/>
  <c r="R103" i="16" s="1"/>
  <c r="S104" i="16" s="1"/>
  <c r="T105" i="16" s="1"/>
  <c r="U57" i="3"/>
  <c r="S57" i="3"/>
  <c r="T57" i="3" s="1"/>
  <c r="G75" i="2"/>
  <c r="H75" i="2"/>
  <c r="J75" i="2"/>
  <c r="E76" i="2"/>
  <c r="F76" i="2"/>
  <c r="D76" i="2"/>
  <c r="C77" i="2"/>
  <c r="I75" i="2"/>
  <c r="E59" i="3"/>
  <c r="R58" i="3"/>
  <c r="J58" i="3"/>
  <c r="D58" i="3"/>
  <c r="F61" i="3"/>
  <c r="D101" i="16"/>
  <c r="E101" i="16"/>
  <c r="F102" i="16" s="1"/>
  <c r="K104" i="16" l="1"/>
  <c r="L105" i="16" s="1"/>
  <c r="G102" i="16"/>
  <c r="H103" i="16" s="1"/>
  <c r="I104" i="16" s="1"/>
  <c r="J105" i="16" s="1"/>
  <c r="I76" i="2"/>
  <c r="D102" i="16"/>
  <c r="E102" i="16"/>
  <c r="S58" i="3"/>
  <c r="T58" i="3" s="1"/>
  <c r="U58" i="3"/>
  <c r="D77" i="2"/>
  <c r="C78" i="2"/>
  <c r="E77" i="2"/>
  <c r="F77" i="2"/>
  <c r="G76" i="2"/>
  <c r="H76" i="2"/>
  <c r="J76" i="2"/>
  <c r="K75" i="2"/>
  <c r="F62" i="3"/>
  <c r="Q103" i="16"/>
  <c r="R104" i="16" s="1"/>
  <c r="S105" i="16" s="1"/>
  <c r="T106" i="16" s="1"/>
  <c r="P103" i="16"/>
  <c r="E60" i="3"/>
  <c r="J59" i="3"/>
  <c r="R59" i="3"/>
  <c r="D59" i="3"/>
  <c r="F103" i="16" l="1"/>
  <c r="K105" i="16"/>
  <c r="L106" i="16" s="1"/>
  <c r="G103" i="16"/>
  <c r="H104" i="16" s="1"/>
  <c r="I105" i="16" s="1"/>
  <c r="K76" i="2"/>
  <c r="F63" i="3"/>
  <c r="G77" i="2"/>
  <c r="H77" i="2"/>
  <c r="J77" i="2"/>
  <c r="C79" i="2"/>
  <c r="F78" i="2"/>
  <c r="E78" i="2"/>
  <c r="D78" i="2"/>
  <c r="U59" i="3"/>
  <c r="S59" i="3"/>
  <c r="T59" i="3" s="1"/>
  <c r="I77" i="2"/>
  <c r="Q104" i="16"/>
  <c r="R105" i="16" s="1"/>
  <c r="S106" i="16" s="1"/>
  <c r="T107" i="16" s="1"/>
  <c r="P104" i="16"/>
  <c r="E61" i="3"/>
  <c r="D60" i="3"/>
  <c r="J60" i="3"/>
  <c r="R60" i="3"/>
  <c r="D103" i="16"/>
  <c r="E103" i="16"/>
  <c r="J106" i="16" l="1"/>
  <c r="K106" i="16"/>
  <c r="L107" i="16" s="1"/>
  <c r="F104" i="16"/>
  <c r="G104" i="16"/>
  <c r="H105" i="16" s="1"/>
  <c r="I106" i="16" s="1"/>
  <c r="J107" i="16" s="1"/>
  <c r="I78" i="2"/>
  <c r="H78" i="2"/>
  <c r="J78" i="2"/>
  <c r="G78" i="2"/>
  <c r="U60" i="3"/>
  <c r="S60" i="3"/>
  <c r="T60" i="3" s="1"/>
  <c r="F79" i="2"/>
  <c r="E79" i="2"/>
  <c r="D79" i="2"/>
  <c r="C80" i="2"/>
  <c r="K77" i="2"/>
  <c r="E104" i="16"/>
  <c r="D104" i="16"/>
  <c r="E62" i="3"/>
  <c r="D61" i="3"/>
  <c r="J61" i="3"/>
  <c r="R61" i="3"/>
  <c r="P105" i="16"/>
  <c r="Q105" i="16"/>
  <c r="R106" i="16" s="1"/>
  <c r="S107" i="16" s="1"/>
  <c r="T108" i="16" s="1"/>
  <c r="F64" i="3"/>
  <c r="K107" i="16" l="1"/>
  <c r="L108" i="16" s="1"/>
  <c r="F105" i="16"/>
  <c r="I79" i="2"/>
  <c r="G105" i="16"/>
  <c r="H106" i="16" s="1"/>
  <c r="I107" i="16" s="1"/>
  <c r="J108" i="16" s="1"/>
  <c r="E80" i="2"/>
  <c r="C81" i="2"/>
  <c r="D80" i="2"/>
  <c r="F80" i="2"/>
  <c r="E105" i="16"/>
  <c r="D105" i="16"/>
  <c r="J79" i="2"/>
  <c r="H79" i="2"/>
  <c r="G79" i="2"/>
  <c r="U61" i="3"/>
  <c r="S61" i="3"/>
  <c r="T61" i="3" s="1"/>
  <c r="F65" i="3"/>
  <c r="P106" i="16"/>
  <c r="Q106" i="16"/>
  <c r="R107" i="16" s="1"/>
  <c r="S108" i="16" s="1"/>
  <c r="T109" i="16" s="1"/>
  <c r="K78" i="2"/>
  <c r="E63" i="3"/>
  <c r="D62" i="3"/>
  <c r="R62" i="3"/>
  <c r="J62" i="3"/>
  <c r="F106" i="16" l="1"/>
  <c r="K108" i="16"/>
  <c r="L109" i="16" s="1"/>
  <c r="G106" i="16"/>
  <c r="H107" i="16" s="1"/>
  <c r="I108" i="16" s="1"/>
  <c r="J109" i="16" s="1"/>
  <c r="K79" i="2"/>
  <c r="S62" i="3"/>
  <c r="T62" i="3" s="1"/>
  <c r="U62" i="3"/>
  <c r="E64" i="3"/>
  <c r="J63" i="3"/>
  <c r="D63" i="3"/>
  <c r="R63" i="3"/>
  <c r="D106" i="16"/>
  <c r="E106" i="16"/>
  <c r="F107" i="16" s="1"/>
  <c r="P107" i="16"/>
  <c r="Q107" i="16"/>
  <c r="R108" i="16" s="1"/>
  <c r="S109" i="16" s="1"/>
  <c r="T110" i="16" s="1"/>
  <c r="I80" i="2"/>
  <c r="C82" i="2"/>
  <c r="D81" i="2"/>
  <c r="F81" i="2"/>
  <c r="E81" i="2"/>
  <c r="H80" i="2"/>
  <c r="G80" i="2"/>
  <c r="J80" i="2"/>
  <c r="F66" i="3"/>
  <c r="K109" i="16" l="1"/>
  <c r="L110" i="16" s="1"/>
  <c r="G107" i="16"/>
  <c r="H108" i="16" s="1"/>
  <c r="I109" i="16" s="1"/>
  <c r="J110" i="16" s="1"/>
  <c r="D107" i="16"/>
  <c r="E107" i="16"/>
  <c r="E65" i="3"/>
  <c r="J64" i="3"/>
  <c r="D64" i="3"/>
  <c r="R64" i="3"/>
  <c r="P108" i="16"/>
  <c r="Q108" i="16"/>
  <c r="R109" i="16" s="1"/>
  <c r="S110" i="16" s="1"/>
  <c r="T111" i="16" s="1"/>
  <c r="K80" i="2"/>
  <c r="U63" i="3"/>
  <c r="S63" i="3"/>
  <c r="T63" i="3" s="1"/>
  <c r="F67" i="3"/>
  <c r="I81" i="2"/>
  <c r="G81" i="2"/>
  <c r="H81" i="2"/>
  <c r="J81" i="2"/>
  <c r="E82" i="2"/>
  <c r="C83" i="2"/>
  <c r="D82" i="2"/>
  <c r="F82" i="2"/>
  <c r="K110" i="16" l="1"/>
  <c r="L111" i="16" s="1"/>
  <c r="F108" i="16"/>
  <c r="G108" i="16"/>
  <c r="H109" i="16" s="1"/>
  <c r="I110" i="16" s="1"/>
  <c r="Q109" i="16"/>
  <c r="R110" i="16" s="1"/>
  <c r="S111" i="16" s="1"/>
  <c r="T112" i="16" s="1"/>
  <c r="P109" i="16"/>
  <c r="F68" i="3"/>
  <c r="K81" i="2"/>
  <c r="E108" i="16"/>
  <c r="D108" i="16"/>
  <c r="I82" i="2"/>
  <c r="C84" i="2"/>
  <c r="D83" i="2"/>
  <c r="E83" i="2"/>
  <c r="F83" i="2"/>
  <c r="U64" i="3"/>
  <c r="S64" i="3"/>
  <c r="T64" i="3" s="1"/>
  <c r="E66" i="3"/>
  <c r="D65" i="3"/>
  <c r="R65" i="3"/>
  <c r="J65" i="3"/>
  <c r="G82" i="2"/>
  <c r="J82" i="2"/>
  <c r="H82" i="2"/>
  <c r="J111" i="16" l="1"/>
  <c r="K111" i="16"/>
  <c r="L112" i="16" s="1"/>
  <c r="F109" i="16"/>
  <c r="G109" i="16"/>
  <c r="H110" i="16" s="1"/>
  <c r="I111" i="16" s="1"/>
  <c r="J112" i="16" s="1"/>
  <c r="I83" i="2"/>
  <c r="E67" i="3"/>
  <c r="D66" i="3"/>
  <c r="J66" i="3"/>
  <c r="R66" i="3"/>
  <c r="E109" i="16"/>
  <c r="D109" i="16"/>
  <c r="F69" i="3"/>
  <c r="Q110" i="16"/>
  <c r="R111" i="16" s="1"/>
  <c r="S112" i="16" s="1"/>
  <c r="T113" i="16" s="1"/>
  <c r="P110" i="16"/>
  <c r="C85" i="2"/>
  <c r="D84" i="2"/>
  <c r="E84" i="2"/>
  <c r="F84" i="2"/>
  <c r="K82" i="2"/>
  <c r="S65" i="3"/>
  <c r="T65" i="3" s="1"/>
  <c r="U65" i="3"/>
  <c r="H83" i="2"/>
  <c r="G83" i="2"/>
  <c r="J83" i="2"/>
  <c r="K112" i="16" l="1"/>
  <c r="L113" i="16" s="1"/>
  <c r="F110" i="16"/>
  <c r="G110" i="16"/>
  <c r="H111" i="16" s="1"/>
  <c r="I112" i="16" s="1"/>
  <c r="E110" i="16"/>
  <c r="D110" i="16"/>
  <c r="F70" i="3"/>
  <c r="K83" i="2"/>
  <c r="U66" i="3"/>
  <c r="S66" i="3"/>
  <c r="T66" i="3" s="1"/>
  <c r="E68" i="3"/>
  <c r="D67" i="3"/>
  <c r="J67" i="3"/>
  <c r="R67" i="3"/>
  <c r="I84" i="2"/>
  <c r="H84" i="2"/>
  <c r="G84" i="2"/>
  <c r="J84" i="2"/>
  <c r="E85" i="2"/>
  <c r="C86" i="2"/>
  <c r="F85" i="2"/>
  <c r="D85" i="2"/>
  <c r="P111" i="16"/>
  <c r="Q111" i="16"/>
  <c r="R112" i="16" s="1"/>
  <c r="S113" i="16" s="1"/>
  <c r="T114" i="16" s="1"/>
  <c r="J113" i="16" l="1"/>
  <c r="K113" i="16"/>
  <c r="L114" i="16" s="1"/>
  <c r="F111" i="16"/>
  <c r="G111" i="16"/>
  <c r="H112" i="16" s="1"/>
  <c r="I113" i="16" s="1"/>
  <c r="J114" i="16" s="1"/>
  <c r="I85" i="2"/>
  <c r="K84" i="2"/>
  <c r="P112" i="16"/>
  <c r="Q112" i="16"/>
  <c r="R113" i="16" s="1"/>
  <c r="S114" i="16" s="1"/>
  <c r="T115" i="16" s="1"/>
  <c r="G85" i="2"/>
  <c r="H85" i="2"/>
  <c r="J85" i="2"/>
  <c r="E69" i="3"/>
  <c r="J68" i="3"/>
  <c r="R68" i="3"/>
  <c r="D68" i="3"/>
  <c r="D86" i="2"/>
  <c r="F86" i="2"/>
  <c r="C87" i="2"/>
  <c r="E86" i="2"/>
  <c r="E111" i="16"/>
  <c r="D111" i="16"/>
  <c r="U67" i="3"/>
  <c r="S67" i="3"/>
  <c r="T67" i="3" s="1"/>
  <c r="F71" i="3"/>
  <c r="F112" i="16" l="1"/>
  <c r="K114" i="16"/>
  <c r="L115" i="16" s="1"/>
  <c r="G112" i="16"/>
  <c r="H113" i="16" s="1"/>
  <c r="I114" i="16" s="1"/>
  <c r="K85" i="2"/>
  <c r="E87" i="2"/>
  <c r="D87" i="2"/>
  <c r="F87" i="2"/>
  <c r="C88" i="2"/>
  <c r="Q113" i="16"/>
  <c r="R114" i="16" s="1"/>
  <c r="S115" i="16" s="1"/>
  <c r="T116" i="16" s="1"/>
  <c r="P113" i="16"/>
  <c r="I86" i="2"/>
  <c r="S68" i="3"/>
  <c r="T68" i="3" s="1"/>
  <c r="U68" i="3"/>
  <c r="E70" i="3"/>
  <c r="R69" i="3"/>
  <c r="J69" i="3"/>
  <c r="D69" i="3"/>
  <c r="F72" i="3"/>
  <c r="D112" i="16"/>
  <c r="E112" i="16"/>
  <c r="H86" i="2"/>
  <c r="G86" i="2"/>
  <c r="J86" i="2"/>
  <c r="F113" i="16" l="1"/>
  <c r="J115" i="16"/>
  <c r="K115" i="16"/>
  <c r="L116" i="16" s="1"/>
  <c r="G113" i="16"/>
  <c r="H114" i="16" s="1"/>
  <c r="I115" i="16" s="1"/>
  <c r="J116" i="16" s="1"/>
  <c r="K86" i="2"/>
  <c r="S69" i="3"/>
  <c r="T69" i="3" s="1"/>
  <c r="U69" i="3"/>
  <c r="P114" i="16"/>
  <c r="Q114" i="16"/>
  <c r="R115" i="16" s="1"/>
  <c r="S116" i="16" s="1"/>
  <c r="T117" i="16" s="1"/>
  <c r="E113" i="16"/>
  <c r="D113" i="16"/>
  <c r="E88" i="2"/>
  <c r="D88" i="2"/>
  <c r="C89" i="2"/>
  <c r="F88" i="2"/>
  <c r="I87" i="2"/>
  <c r="E71" i="3"/>
  <c r="D70" i="3"/>
  <c r="R70" i="3"/>
  <c r="J70" i="3"/>
  <c r="H87" i="2"/>
  <c r="G87" i="2"/>
  <c r="J87" i="2"/>
  <c r="F73" i="3"/>
  <c r="F114" i="16" l="1"/>
  <c r="K116" i="16"/>
  <c r="L117" i="16" s="1"/>
  <c r="G114" i="16"/>
  <c r="H115" i="16" s="1"/>
  <c r="I116" i="16" s="1"/>
  <c r="I88" i="2"/>
  <c r="H88" i="2"/>
  <c r="G88" i="2"/>
  <c r="J88" i="2"/>
  <c r="F74" i="3"/>
  <c r="Q115" i="16"/>
  <c r="R116" i="16" s="1"/>
  <c r="S117" i="16" s="1"/>
  <c r="T118" i="16" s="1"/>
  <c r="P115" i="16"/>
  <c r="S70" i="3"/>
  <c r="T70" i="3" s="1"/>
  <c r="U70" i="3"/>
  <c r="K87" i="2"/>
  <c r="E72" i="3"/>
  <c r="R71" i="3"/>
  <c r="J71" i="3"/>
  <c r="D71" i="3"/>
  <c r="D89" i="2"/>
  <c r="C90" i="2"/>
  <c r="F89" i="2"/>
  <c r="E89" i="2"/>
  <c r="E114" i="16"/>
  <c r="F115" i="16" s="1"/>
  <c r="D114" i="16"/>
  <c r="J117" i="16" l="1"/>
  <c r="K117" i="16"/>
  <c r="L118" i="16" s="1"/>
  <c r="G115" i="16"/>
  <c r="H116" i="16" s="1"/>
  <c r="I117" i="16" s="1"/>
  <c r="P116" i="16"/>
  <c r="Q116" i="16"/>
  <c r="R117" i="16" s="1"/>
  <c r="S118" i="16" s="1"/>
  <c r="T119" i="16" s="1"/>
  <c r="E115" i="16"/>
  <c r="F116" i="16" s="1"/>
  <c r="D115" i="16"/>
  <c r="F75" i="3"/>
  <c r="G89" i="2"/>
  <c r="J89" i="2"/>
  <c r="H89" i="2"/>
  <c r="C91" i="2"/>
  <c r="E90" i="2"/>
  <c r="D90" i="2"/>
  <c r="F90" i="2"/>
  <c r="K88" i="2"/>
  <c r="S71" i="3"/>
  <c r="T71" i="3" s="1"/>
  <c r="U71" i="3"/>
  <c r="I89" i="2"/>
  <c r="E73" i="3"/>
  <c r="D72" i="3"/>
  <c r="R72" i="3"/>
  <c r="J72" i="3"/>
  <c r="J118" i="16" l="1"/>
  <c r="K118" i="16"/>
  <c r="L119" i="16" s="1"/>
  <c r="G116" i="16"/>
  <c r="H117" i="16" s="1"/>
  <c r="I118" i="16" s="1"/>
  <c r="I90" i="2"/>
  <c r="K89" i="2"/>
  <c r="D91" i="2"/>
  <c r="F91" i="2"/>
  <c r="E91" i="2"/>
  <c r="C92" i="2"/>
  <c r="S72" i="3"/>
  <c r="T72" i="3" s="1"/>
  <c r="U72" i="3"/>
  <c r="E74" i="3"/>
  <c r="J73" i="3"/>
  <c r="D73" i="3"/>
  <c r="R73" i="3"/>
  <c r="P117" i="16"/>
  <c r="Q117" i="16"/>
  <c r="R118" i="16" s="1"/>
  <c r="S119" i="16" s="1"/>
  <c r="T120" i="16" s="1"/>
  <c r="F76" i="3"/>
  <c r="D116" i="16"/>
  <c r="E116" i="16"/>
  <c r="H90" i="2"/>
  <c r="J90" i="2"/>
  <c r="G90" i="2"/>
  <c r="J119" i="16" l="1"/>
  <c r="K119" i="16"/>
  <c r="L120" i="16" s="1"/>
  <c r="F117" i="16"/>
  <c r="G117" i="16"/>
  <c r="H118" i="16" s="1"/>
  <c r="I119" i="16" s="1"/>
  <c r="I91" i="2"/>
  <c r="K90" i="2"/>
  <c r="E75" i="3"/>
  <c r="R74" i="3"/>
  <c r="J74" i="3"/>
  <c r="D74" i="3"/>
  <c r="D92" i="2"/>
  <c r="C93" i="2"/>
  <c r="E92" i="2"/>
  <c r="F92" i="2"/>
  <c r="U73" i="3"/>
  <c r="S73" i="3"/>
  <c r="T73" i="3" s="1"/>
  <c r="D117" i="16"/>
  <c r="E117" i="16"/>
  <c r="H91" i="2"/>
  <c r="G91" i="2"/>
  <c r="J91" i="2"/>
  <c r="F77" i="3"/>
  <c r="P118" i="16"/>
  <c r="Q118" i="16"/>
  <c r="R119" i="16" s="1"/>
  <c r="S120" i="16" s="1"/>
  <c r="T121" i="16" s="1"/>
  <c r="F118" i="16" l="1"/>
  <c r="J120" i="16"/>
  <c r="K120" i="16"/>
  <c r="L121" i="16" s="1"/>
  <c r="G118" i="16"/>
  <c r="H119" i="16" s="1"/>
  <c r="I120" i="16" s="1"/>
  <c r="J121" i="16" s="1"/>
  <c r="K91" i="2"/>
  <c r="I92" i="2"/>
  <c r="C94" i="2"/>
  <c r="D93" i="2"/>
  <c r="E93" i="2"/>
  <c r="F93" i="2"/>
  <c r="E118" i="16"/>
  <c r="D118" i="16"/>
  <c r="P119" i="16"/>
  <c r="Q119" i="16"/>
  <c r="R120" i="16" s="1"/>
  <c r="S121" i="16" s="1"/>
  <c r="T122" i="16" s="1"/>
  <c r="F78" i="3"/>
  <c r="H92" i="2"/>
  <c r="G92" i="2"/>
  <c r="J92" i="2"/>
  <c r="S74" i="3"/>
  <c r="T74" i="3" s="1"/>
  <c r="U74" i="3"/>
  <c r="E76" i="3"/>
  <c r="R75" i="3"/>
  <c r="J75" i="3"/>
  <c r="D75" i="3"/>
  <c r="F119" i="16" l="1"/>
  <c r="K121" i="16"/>
  <c r="L122" i="16" s="1"/>
  <c r="G119" i="16"/>
  <c r="H120" i="16" s="1"/>
  <c r="I121" i="16" s="1"/>
  <c r="I93" i="2"/>
  <c r="E77" i="3"/>
  <c r="D76" i="3"/>
  <c r="R76" i="3"/>
  <c r="J76" i="3"/>
  <c r="F79" i="3"/>
  <c r="S75" i="3"/>
  <c r="T75" i="3" s="1"/>
  <c r="U75" i="3"/>
  <c r="D119" i="16"/>
  <c r="E119" i="16"/>
  <c r="H93" i="2"/>
  <c r="J93" i="2"/>
  <c r="G93" i="2"/>
  <c r="K92" i="2"/>
  <c r="P120" i="16"/>
  <c r="Q120" i="16"/>
  <c r="R121" i="16" s="1"/>
  <c r="S122" i="16" s="1"/>
  <c r="T123" i="16" s="1"/>
  <c r="D94" i="2"/>
  <c r="C95" i="2"/>
  <c r="E94" i="2"/>
  <c r="F94" i="2"/>
  <c r="F120" i="16" l="1"/>
  <c r="J122" i="16"/>
  <c r="K122" i="16"/>
  <c r="L123" i="16" s="1"/>
  <c r="G120" i="16"/>
  <c r="H121" i="16" s="1"/>
  <c r="I122" i="16" s="1"/>
  <c r="K93" i="2"/>
  <c r="E120" i="16"/>
  <c r="D120" i="16"/>
  <c r="G94" i="2"/>
  <c r="H94" i="2"/>
  <c r="J94" i="2"/>
  <c r="F80" i="3"/>
  <c r="F95" i="2"/>
  <c r="E95" i="2"/>
  <c r="C96" i="2"/>
  <c r="K33" i="2" s="1"/>
  <c r="D95" i="2"/>
  <c r="Q121" i="16"/>
  <c r="R122" i="16" s="1"/>
  <c r="S123" i="16" s="1"/>
  <c r="T124" i="16" s="1"/>
  <c r="P121" i="16"/>
  <c r="E78" i="3"/>
  <c r="R77" i="3"/>
  <c r="D77" i="3"/>
  <c r="J77" i="3"/>
  <c r="I94" i="2"/>
  <c r="S76" i="3"/>
  <c r="T76" i="3" s="1"/>
  <c r="U76" i="3"/>
  <c r="J123" i="16" l="1"/>
  <c r="K123" i="16"/>
  <c r="L124" i="16" s="1"/>
  <c r="F121" i="16"/>
  <c r="G121" i="16"/>
  <c r="H122" i="16" s="1"/>
  <c r="I123" i="16" s="1"/>
  <c r="J124" i="16" s="1"/>
  <c r="G95" i="2"/>
  <c r="G42" i="2" s="1"/>
  <c r="H95" i="2"/>
  <c r="J95" i="2"/>
  <c r="S77" i="3"/>
  <c r="T77" i="3" s="1"/>
  <c r="U77" i="3"/>
  <c r="F81" i="3"/>
  <c r="E79" i="3"/>
  <c r="J78" i="3"/>
  <c r="D78" i="3"/>
  <c r="R78" i="3"/>
  <c r="D121" i="16"/>
  <c r="E121" i="16"/>
  <c r="K94" i="2"/>
  <c r="Q122" i="16"/>
  <c r="R123" i="16" s="1"/>
  <c r="S124" i="16" s="1"/>
  <c r="T125" i="16" s="1"/>
  <c r="P122" i="16"/>
  <c r="I95" i="2"/>
  <c r="K124" i="16" l="1"/>
  <c r="L125" i="16" s="1"/>
  <c r="F122" i="16"/>
  <c r="G122" i="16"/>
  <c r="H123" i="16" s="1"/>
  <c r="I124" i="16" s="1"/>
  <c r="E80" i="3"/>
  <c r="D79" i="3"/>
  <c r="J79" i="3"/>
  <c r="R79" i="3"/>
  <c r="Q123" i="16"/>
  <c r="R124" i="16" s="1"/>
  <c r="S125" i="16" s="1"/>
  <c r="T126" i="16" s="1"/>
  <c r="P123" i="16"/>
  <c r="F82" i="3"/>
  <c r="K95" i="2"/>
  <c r="E122" i="16"/>
  <c r="D122" i="16"/>
  <c r="S78" i="3"/>
  <c r="T78" i="3" s="1"/>
  <c r="U78" i="3"/>
  <c r="J125" i="16" l="1"/>
  <c r="K125" i="16"/>
  <c r="L126" i="16" s="1"/>
  <c r="F123" i="16"/>
  <c r="G123" i="16"/>
  <c r="H124" i="16" s="1"/>
  <c r="I125" i="16" s="1"/>
  <c r="J126" i="16" s="1"/>
  <c r="F83" i="3"/>
  <c r="S79" i="3"/>
  <c r="T79" i="3" s="1"/>
  <c r="U79" i="3"/>
  <c r="E81" i="3"/>
  <c r="J80" i="3"/>
  <c r="D80" i="3"/>
  <c r="R80" i="3"/>
  <c r="D123" i="16"/>
  <c r="E123" i="16"/>
  <c r="K96" i="2"/>
  <c r="C36" i="2" s="1"/>
  <c r="Q124" i="16"/>
  <c r="R125" i="16" s="1"/>
  <c r="S126" i="16" s="1"/>
  <c r="T127" i="16" s="1"/>
  <c r="P124" i="16"/>
  <c r="K126" i="16" l="1"/>
  <c r="L127" i="16" s="1"/>
  <c r="F124" i="16"/>
  <c r="G124" i="16"/>
  <c r="H125" i="16" s="1"/>
  <c r="I126" i="16" s="1"/>
  <c r="J127" i="16" s="1"/>
  <c r="D124" i="16"/>
  <c r="E124" i="16"/>
  <c r="U80" i="3"/>
  <c r="S80" i="3"/>
  <c r="T80" i="3" s="1"/>
  <c r="E82" i="3"/>
  <c r="D81" i="3"/>
  <c r="J81" i="3"/>
  <c r="R81" i="3"/>
  <c r="F84" i="3"/>
  <c r="Q125" i="16"/>
  <c r="R126" i="16" s="1"/>
  <c r="S127" i="16" s="1"/>
  <c r="T128" i="16" s="1"/>
  <c r="P125" i="16"/>
  <c r="C8" i="4"/>
  <c r="C7" i="4"/>
  <c r="C40" i="2"/>
  <c r="C37" i="2"/>
  <c r="C4" i="18" s="1"/>
  <c r="F125" i="16" l="1"/>
  <c r="K127" i="16"/>
  <c r="L128" i="16" s="1"/>
  <c r="C14" i="18"/>
  <c r="G125" i="16"/>
  <c r="H126" i="16" s="1"/>
  <c r="I127" i="16" s="1"/>
  <c r="U81" i="3"/>
  <c r="S81" i="3"/>
  <c r="T81" i="3" s="1"/>
  <c r="F85" i="3"/>
  <c r="E83" i="3"/>
  <c r="J82" i="3"/>
  <c r="D82" i="3"/>
  <c r="H82" i="3" s="1"/>
  <c r="R82" i="3"/>
  <c r="L49" i="2"/>
  <c r="M49" i="2" s="1"/>
  <c r="L84" i="2"/>
  <c r="M84" i="2" s="1"/>
  <c r="L75" i="2"/>
  <c r="M75" i="2" s="1"/>
  <c r="L95" i="2"/>
  <c r="M95" i="2" s="1"/>
  <c r="L56" i="2"/>
  <c r="M56" i="2" s="1"/>
  <c r="L80" i="2"/>
  <c r="M80" i="2" s="1"/>
  <c r="L64" i="2"/>
  <c r="M64" i="2" s="1"/>
  <c r="H45" i="3"/>
  <c r="H75" i="3"/>
  <c r="L60" i="2"/>
  <c r="M60" i="2" s="1"/>
  <c r="H33" i="3"/>
  <c r="H31" i="3"/>
  <c r="L89" i="2"/>
  <c r="M89" i="2" s="1"/>
  <c r="L63" i="2"/>
  <c r="M63" i="2" s="1"/>
  <c r="L65" i="2"/>
  <c r="M65" i="2" s="1"/>
  <c r="L70" i="2"/>
  <c r="M70" i="2" s="1"/>
  <c r="H41" i="3"/>
  <c r="L52" i="2"/>
  <c r="M52" i="2" s="1"/>
  <c r="L92" i="2"/>
  <c r="M92" i="2" s="1"/>
  <c r="L77" i="2"/>
  <c r="M77" i="2" s="1"/>
  <c r="L46" i="2"/>
  <c r="M46" i="2" s="1"/>
  <c r="L86" i="2"/>
  <c r="M86" i="2" s="1"/>
  <c r="L72" i="2"/>
  <c r="M72" i="2" s="1"/>
  <c r="L91" i="2"/>
  <c r="M91" i="2" s="1"/>
  <c r="H43" i="3"/>
  <c r="H60" i="3"/>
  <c r="H34" i="3"/>
  <c r="L90" i="2"/>
  <c r="M90" i="2" s="1"/>
  <c r="L69" i="2"/>
  <c r="M69" i="2" s="1"/>
  <c r="L85" i="2"/>
  <c r="M85" i="2" s="1"/>
  <c r="L53" i="2"/>
  <c r="M53" i="2" s="1"/>
  <c r="H38" i="3"/>
  <c r="C10" i="11"/>
  <c r="L83" i="2"/>
  <c r="M83" i="2" s="1"/>
  <c r="H29" i="3"/>
  <c r="L66" i="2"/>
  <c r="M66" i="2" s="1"/>
  <c r="L78" i="2"/>
  <c r="M78" i="2" s="1"/>
  <c r="L62" i="2"/>
  <c r="M62" i="2" s="1"/>
  <c r="L61" i="2"/>
  <c r="M61" i="2" s="1"/>
  <c r="H36" i="3"/>
  <c r="H42" i="3"/>
  <c r="L73" i="2"/>
  <c r="M73" i="2" s="1"/>
  <c r="L48" i="2"/>
  <c r="M48" i="2" s="1"/>
  <c r="L57" i="2"/>
  <c r="M57" i="2" s="1"/>
  <c r="L55" i="2"/>
  <c r="M55" i="2" s="1"/>
  <c r="L76" i="2"/>
  <c r="M76" i="2" s="1"/>
  <c r="L87" i="2"/>
  <c r="M87" i="2" s="1"/>
  <c r="L45" i="2"/>
  <c r="M45" i="2" s="1"/>
  <c r="H37" i="3"/>
  <c r="H30" i="3"/>
  <c r="H28" i="3"/>
  <c r="H32" i="3"/>
  <c r="H55" i="3"/>
  <c r="L71" i="2"/>
  <c r="M71" i="2" s="1"/>
  <c r="L51" i="2"/>
  <c r="M51" i="2" s="1"/>
  <c r="H44" i="3"/>
  <c r="H47" i="3"/>
  <c r="H64" i="3"/>
  <c r="H65" i="3"/>
  <c r="L81" i="2"/>
  <c r="M81" i="2" s="1"/>
  <c r="H53" i="3"/>
  <c r="H76" i="3"/>
  <c r="H39" i="3"/>
  <c r="H61" i="3"/>
  <c r="H78" i="3"/>
  <c r="L68" i="2"/>
  <c r="M68" i="2" s="1"/>
  <c r="L47" i="2"/>
  <c r="M47" i="2" s="1"/>
  <c r="H52" i="3"/>
  <c r="H62" i="3"/>
  <c r="H63" i="3"/>
  <c r="L74" i="2"/>
  <c r="M74" i="2" s="1"/>
  <c r="L93" i="2"/>
  <c r="M93" i="2" s="1"/>
  <c r="H46" i="3"/>
  <c r="H80" i="3"/>
  <c r="L67" i="2"/>
  <c r="M67" i="2" s="1"/>
  <c r="H40" i="3"/>
  <c r="H51" i="3"/>
  <c r="H59" i="3"/>
  <c r="H70" i="3"/>
  <c r="H71" i="3"/>
  <c r="H79" i="3"/>
  <c r="L54" i="2"/>
  <c r="M54" i="2" s="1"/>
  <c r="H35" i="3"/>
  <c r="L82" i="2"/>
  <c r="M82" i="2" s="1"/>
  <c r="H48" i="3"/>
  <c r="H50" i="3"/>
  <c r="H69" i="3"/>
  <c r="H74" i="3"/>
  <c r="L50" i="2"/>
  <c r="M50" i="2" s="1"/>
  <c r="L94" i="2"/>
  <c r="M94" i="2" s="1"/>
  <c r="H54" i="3"/>
  <c r="H58" i="3"/>
  <c r="H68" i="3"/>
  <c r="L79" i="2"/>
  <c r="M79" i="2" s="1"/>
  <c r="L58" i="2"/>
  <c r="M58" i="2" s="1"/>
  <c r="L59" i="2"/>
  <c r="M59" i="2" s="1"/>
  <c r="H77" i="3"/>
  <c r="H67" i="3"/>
  <c r="H72" i="3"/>
  <c r="H49" i="3"/>
  <c r="H73" i="3"/>
  <c r="H56" i="3"/>
  <c r="H66" i="3"/>
  <c r="H57" i="3"/>
  <c r="H81" i="3"/>
  <c r="K81" i="3" s="1"/>
  <c r="L81" i="3" s="1"/>
  <c r="L88" i="2"/>
  <c r="M88" i="2" s="1"/>
  <c r="E125" i="16"/>
  <c r="F126" i="16" s="1"/>
  <c r="D125" i="16"/>
  <c r="C11" i="4"/>
  <c r="C11" i="11" s="1"/>
  <c r="C5" i="18" s="1"/>
  <c r="P126" i="16"/>
  <c r="Q126" i="16"/>
  <c r="R127" i="16" s="1"/>
  <c r="S128" i="16" s="1"/>
  <c r="T129" i="16" s="1"/>
  <c r="J128" i="16" l="1"/>
  <c r="K128" i="16"/>
  <c r="L129" i="16" s="1"/>
  <c r="E10" i="18"/>
  <c r="C15" i="18"/>
  <c r="E27" i="18"/>
  <c r="E35" i="18"/>
  <c r="E28" i="18"/>
  <c r="E33" i="18"/>
  <c r="E34" i="18"/>
  <c r="E36" i="18"/>
  <c r="E25" i="18"/>
  <c r="E26" i="18"/>
  <c r="E21" i="18"/>
  <c r="E29" i="18"/>
  <c r="E37" i="18"/>
  <c r="E23" i="18"/>
  <c r="E39" i="18"/>
  <c r="E32" i="18"/>
  <c r="E22" i="18"/>
  <c r="E30" i="18"/>
  <c r="E38" i="18"/>
  <c r="E31" i="18"/>
  <c r="E24" i="18"/>
  <c r="E20" i="18"/>
  <c r="G126" i="16"/>
  <c r="H127" i="16" s="1"/>
  <c r="I128" i="16" s="1"/>
  <c r="E82" i="4"/>
  <c r="F82" i="4" s="1"/>
  <c r="I82" i="3"/>
  <c r="D82" i="4" s="1"/>
  <c r="M96" i="2"/>
  <c r="J35" i="2"/>
  <c r="J37" i="2"/>
  <c r="J36" i="2"/>
  <c r="I61" i="3"/>
  <c r="D61" i="4" s="1"/>
  <c r="E61" i="4"/>
  <c r="F61" i="4" s="1"/>
  <c r="K61" i="3"/>
  <c r="L61" i="3" s="1"/>
  <c r="E53" i="4"/>
  <c r="F53" i="4" s="1"/>
  <c r="I53" i="3"/>
  <c r="D53" i="4" s="1"/>
  <c r="K53" i="3"/>
  <c r="L53" i="3" s="1"/>
  <c r="I38" i="3"/>
  <c r="D38" i="4" s="1"/>
  <c r="E38" i="4"/>
  <c r="F38" i="4" s="1"/>
  <c r="K38" i="3"/>
  <c r="L38" i="3" s="1"/>
  <c r="U82" i="3"/>
  <c r="S82" i="3"/>
  <c r="T82" i="3" s="1"/>
  <c r="P127" i="16"/>
  <c r="Q127" i="16"/>
  <c r="R128" i="16" s="1"/>
  <c r="S129" i="16" s="1"/>
  <c r="T130" i="16" s="1"/>
  <c r="I69" i="3"/>
  <c r="D69" i="4" s="1"/>
  <c r="E69" i="4"/>
  <c r="F69" i="4" s="1"/>
  <c r="K69" i="3"/>
  <c r="L69" i="3" s="1"/>
  <c r="I50" i="3"/>
  <c r="D50" i="4" s="1"/>
  <c r="E50" i="4"/>
  <c r="F50" i="4" s="1"/>
  <c r="K50" i="3"/>
  <c r="L50" i="3" s="1"/>
  <c r="K82" i="3"/>
  <c r="L82" i="3" s="1"/>
  <c r="E74" i="4"/>
  <c r="F74" i="4" s="1"/>
  <c r="I74" i="3"/>
  <c r="D74" i="4" s="1"/>
  <c r="K74" i="3"/>
  <c r="L74" i="3" s="1"/>
  <c r="I66" i="3"/>
  <c r="D66" i="4" s="1"/>
  <c r="E66" i="4"/>
  <c r="F66" i="4" s="1"/>
  <c r="K66" i="3"/>
  <c r="L66" i="3" s="1"/>
  <c r="I49" i="3"/>
  <c r="D49" i="4" s="1"/>
  <c r="E49" i="4"/>
  <c r="F49" i="4" s="1"/>
  <c r="K49" i="3"/>
  <c r="L49" i="3" s="1"/>
  <c r="E77" i="4"/>
  <c r="F77" i="4" s="1"/>
  <c r="I77" i="3"/>
  <c r="D77" i="4" s="1"/>
  <c r="K77" i="3"/>
  <c r="L77" i="3" s="1"/>
  <c r="I48" i="3"/>
  <c r="D48" i="4" s="1"/>
  <c r="E48" i="4"/>
  <c r="F48" i="4" s="1"/>
  <c r="K48" i="3"/>
  <c r="L48" i="3" s="1"/>
  <c r="E65" i="4"/>
  <c r="F65" i="4" s="1"/>
  <c r="I65" i="3"/>
  <c r="D65" i="4" s="1"/>
  <c r="K65" i="3"/>
  <c r="L65" i="3" s="1"/>
  <c r="E84" i="3"/>
  <c r="J83" i="3"/>
  <c r="D83" i="3"/>
  <c r="H83" i="3" s="1"/>
  <c r="R83" i="3"/>
  <c r="E56" i="4"/>
  <c r="F56" i="4" s="1"/>
  <c r="I56" i="3"/>
  <c r="D56" i="4" s="1"/>
  <c r="K56" i="3"/>
  <c r="L56" i="3" s="1"/>
  <c r="I80" i="3"/>
  <c r="D80" i="4" s="1"/>
  <c r="E80" i="4"/>
  <c r="F80" i="4" s="1"/>
  <c r="K80" i="3"/>
  <c r="L80" i="3" s="1"/>
  <c r="I64" i="3"/>
  <c r="D64" i="4" s="1"/>
  <c r="E64" i="4"/>
  <c r="F64" i="4" s="1"/>
  <c r="K64" i="3"/>
  <c r="L64" i="3" s="1"/>
  <c r="E31" i="4"/>
  <c r="F31" i="4" s="1"/>
  <c r="I31" i="3"/>
  <c r="D31" i="4" s="1"/>
  <c r="K31" i="3"/>
  <c r="L31" i="3" s="1"/>
  <c r="E35" i="4"/>
  <c r="F35" i="4" s="1"/>
  <c r="I35" i="3"/>
  <c r="D35" i="4" s="1"/>
  <c r="K35" i="3"/>
  <c r="L35" i="3" s="1"/>
  <c r="I46" i="3"/>
  <c r="D46" i="4" s="1"/>
  <c r="E46" i="4"/>
  <c r="F46" i="4" s="1"/>
  <c r="K46" i="3"/>
  <c r="L46" i="3" s="1"/>
  <c r="E47" i="4"/>
  <c r="F47" i="4" s="1"/>
  <c r="I47" i="3"/>
  <c r="D47" i="4" s="1"/>
  <c r="K47" i="3"/>
  <c r="L47" i="3" s="1"/>
  <c r="E42" i="4"/>
  <c r="F42" i="4" s="1"/>
  <c r="I42" i="3"/>
  <c r="D42" i="4" s="1"/>
  <c r="K42" i="3"/>
  <c r="L42" i="3" s="1"/>
  <c r="E34" i="4"/>
  <c r="F34" i="4" s="1"/>
  <c r="I34" i="3"/>
  <c r="D34" i="4" s="1"/>
  <c r="K34" i="3"/>
  <c r="L34" i="3" s="1"/>
  <c r="I33" i="3"/>
  <c r="D33" i="4" s="1"/>
  <c r="E33" i="4"/>
  <c r="F33" i="4" s="1"/>
  <c r="K33" i="3"/>
  <c r="L33" i="3" s="1"/>
  <c r="F86" i="3"/>
  <c r="E44" i="4"/>
  <c r="F44" i="4" s="1"/>
  <c r="I44" i="3"/>
  <c r="D44" i="4" s="1"/>
  <c r="K44" i="3"/>
  <c r="L44" i="3" s="1"/>
  <c r="I36" i="3"/>
  <c r="D36" i="4" s="1"/>
  <c r="E36" i="4"/>
  <c r="F36" i="4" s="1"/>
  <c r="K36" i="3"/>
  <c r="L36" i="3" s="1"/>
  <c r="I60" i="3"/>
  <c r="D60" i="4" s="1"/>
  <c r="E60" i="4"/>
  <c r="F60" i="4" s="1"/>
  <c r="K60" i="3"/>
  <c r="L60" i="3" s="1"/>
  <c r="Z16" i="11"/>
  <c r="C15" i="11"/>
  <c r="D126" i="16"/>
  <c r="E126" i="16"/>
  <c r="I68" i="3"/>
  <c r="D68" i="4" s="1"/>
  <c r="E68" i="4"/>
  <c r="F68" i="4" s="1"/>
  <c r="K68" i="3"/>
  <c r="L68" i="3" s="1"/>
  <c r="I43" i="3"/>
  <c r="D43" i="4" s="1"/>
  <c r="E43" i="4"/>
  <c r="F43" i="4" s="1"/>
  <c r="K43" i="3"/>
  <c r="L43" i="3" s="1"/>
  <c r="E75" i="4"/>
  <c r="F75" i="4" s="1"/>
  <c r="I75" i="3"/>
  <c r="D75" i="4" s="1"/>
  <c r="K75" i="3"/>
  <c r="L75" i="3" s="1"/>
  <c r="E58" i="4"/>
  <c r="F58" i="4" s="1"/>
  <c r="I58" i="3"/>
  <c r="D58" i="4" s="1"/>
  <c r="K58" i="3"/>
  <c r="L58" i="3" s="1"/>
  <c r="E79" i="4"/>
  <c r="F79" i="4" s="1"/>
  <c r="I79" i="3"/>
  <c r="D79" i="4" s="1"/>
  <c r="K79" i="3"/>
  <c r="L79" i="3" s="1"/>
  <c r="I63" i="3"/>
  <c r="D63" i="4" s="1"/>
  <c r="E63" i="4"/>
  <c r="F63" i="4" s="1"/>
  <c r="K63" i="3"/>
  <c r="L63" i="3" s="1"/>
  <c r="E45" i="4"/>
  <c r="F45" i="4" s="1"/>
  <c r="I45" i="3"/>
  <c r="D45" i="4" s="1"/>
  <c r="K45" i="3"/>
  <c r="L45" i="3" s="1"/>
  <c r="E76" i="4"/>
  <c r="F76" i="4" s="1"/>
  <c r="I76" i="3"/>
  <c r="D76" i="4" s="1"/>
  <c r="K76" i="3"/>
  <c r="L76" i="3" s="1"/>
  <c r="I72" i="3"/>
  <c r="D72" i="4" s="1"/>
  <c r="E72" i="4"/>
  <c r="F72" i="4" s="1"/>
  <c r="K72" i="3"/>
  <c r="L72" i="3" s="1"/>
  <c r="E54" i="4"/>
  <c r="F54" i="4" s="1"/>
  <c r="I54" i="3"/>
  <c r="D54" i="4" s="1"/>
  <c r="K54" i="3"/>
  <c r="L54" i="3" s="1"/>
  <c r="I71" i="3"/>
  <c r="D71" i="4" s="1"/>
  <c r="E71" i="4"/>
  <c r="F71" i="4" s="1"/>
  <c r="K71" i="3"/>
  <c r="L71" i="3" s="1"/>
  <c r="E62" i="4"/>
  <c r="F62" i="4" s="1"/>
  <c r="I62" i="3"/>
  <c r="D62" i="4" s="1"/>
  <c r="K62" i="3"/>
  <c r="L62" i="3" s="1"/>
  <c r="I55" i="3"/>
  <c r="D55" i="4" s="1"/>
  <c r="E55" i="4"/>
  <c r="F55" i="4" s="1"/>
  <c r="K55" i="3"/>
  <c r="L55" i="3" s="1"/>
  <c r="E78" i="4"/>
  <c r="F78" i="4" s="1"/>
  <c r="I78" i="3"/>
  <c r="D78" i="4" s="1"/>
  <c r="K78" i="3"/>
  <c r="L78" i="3" s="1"/>
  <c r="E70" i="4"/>
  <c r="F70" i="4" s="1"/>
  <c r="I70" i="3"/>
  <c r="D70" i="4" s="1"/>
  <c r="K70" i="3"/>
  <c r="L70" i="3" s="1"/>
  <c r="I52" i="3"/>
  <c r="D52" i="4" s="1"/>
  <c r="E52" i="4"/>
  <c r="F52" i="4" s="1"/>
  <c r="K52" i="3"/>
  <c r="L52" i="3" s="1"/>
  <c r="I39" i="3"/>
  <c r="D39" i="4" s="1"/>
  <c r="E39" i="4"/>
  <c r="F39" i="4" s="1"/>
  <c r="K39" i="3"/>
  <c r="L39" i="3" s="1"/>
  <c r="I32" i="3"/>
  <c r="D32" i="4" s="1"/>
  <c r="E32" i="4"/>
  <c r="F32" i="4" s="1"/>
  <c r="K32" i="3"/>
  <c r="L32" i="3" s="1"/>
  <c r="I41" i="3"/>
  <c r="D41" i="4" s="1"/>
  <c r="E41" i="4"/>
  <c r="F41" i="4" s="1"/>
  <c r="K41" i="3"/>
  <c r="L41" i="3" s="1"/>
  <c r="E81" i="4"/>
  <c r="F81" i="4" s="1"/>
  <c r="I81" i="3"/>
  <c r="D81" i="4" s="1"/>
  <c r="I73" i="3"/>
  <c r="D73" i="4" s="1"/>
  <c r="E73" i="4"/>
  <c r="F73" i="4" s="1"/>
  <c r="K73" i="3"/>
  <c r="L73" i="3" s="1"/>
  <c r="I67" i="3"/>
  <c r="D67" i="4" s="1"/>
  <c r="E67" i="4"/>
  <c r="F67" i="4" s="1"/>
  <c r="K67" i="3"/>
  <c r="L67" i="3" s="1"/>
  <c r="I59" i="3"/>
  <c r="D59" i="4" s="1"/>
  <c r="E59" i="4"/>
  <c r="F59" i="4" s="1"/>
  <c r="K59" i="3"/>
  <c r="L59" i="3" s="1"/>
  <c r="I28" i="3"/>
  <c r="D28" i="4" s="1"/>
  <c r="K28" i="3"/>
  <c r="L28" i="3" s="1"/>
  <c r="P28" i="3" s="1"/>
  <c r="E28" i="4"/>
  <c r="F28" i="4" s="1"/>
  <c r="I29" i="3"/>
  <c r="K29" i="3"/>
  <c r="L29" i="3" s="1"/>
  <c r="P29" i="3" s="1"/>
  <c r="Q29" i="3" s="1"/>
  <c r="E29" i="4"/>
  <c r="F29" i="4" s="1"/>
  <c r="I57" i="3"/>
  <c r="D57" i="4" s="1"/>
  <c r="E57" i="4"/>
  <c r="F57" i="4" s="1"/>
  <c r="K57" i="3"/>
  <c r="L57" i="3" s="1"/>
  <c r="E51" i="4"/>
  <c r="F51" i="4" s="1"/>
  <c r="I51" i="3"/>
  <c r="D51" i="4" s="1"/>
  <c r="K51" i="3"/>
  <c r="L51" i="3" s="1"/>
  <c r="E30" i="4"/>
  <c r="F30" i="4" s="1"/>
  <c r="I30" i="3"/>
  <c r="D30" i="4" s="1"/>
  <c r="K30" i="3"/>
  <c r="L30" i="3" s="1"/>
  <c r="I40" i="3"/>
  <c r="D40" i="4" s="1"/>
  <c r="E40" i="4"/>
  <c r="F40" i="4" s="1"/>
  <c r="K40" i="3"/>
  <c r="L40" i="3" s="1"/>
  <c r="I37" i="3"/>
  <c r="D37" i="4" s="1"/>
  <c r="E37" i="4"/>
  <c r="F37" i="4" s="1"/>
  <c r="K37" i="3"/>
  <c r="L37" i="3" s="1"/>
  <c r="Y15" i="11"/>
  <c r="Y21" i="11" s="1"/>
  <c r="Z15" i="11"/>
  <c r="C14" i="11"/>
  <c r="J129" i="16" l="1"/>
  <c r="K129" i="16"/>
  <c r="L130" i="16" s="1"/>
  <c r="F127" i="16"/>
  <c r="E15" i="18"/>
  <c r="E41" i="18" s="1"/>
  <c r="G127" i="16"/>
  <c r="H128" i="16" s="1"/>
  <c r="I129" i="16" s="1"/>
  <c r="J130" i="16" s="1"/>
  <c r="AA16" i="11"/>
  <c r="AA22" i="11" s="1"/>
  <c r="Z22" i="11"/>
  <c r="E85" i="3"/>
  <c r="J84" i="3"/>
  <c r="R84" i="3"/>
  <c r="D84" i="3"/>
  <c r="H84" i="3" s="1"/>
  <c r="L29" i="4"/>
  <c r="V29" i="3"/>
  <c r="Y16" i="11"/>
  <c r="Y22" i="11" s="1"/>
  <c r="D29" i="4"/>
  <c r="AI29" i="3"/>
  <c r="Q128" i="16"/>
  <c r="R129" i="16" s="1"/>
  <c r="S130" i="16" s="1"/>
  <c r="T131" i="16" s="1"/>
  <c r="P128" i="16"/>
  <c r="F87" i="3"/>
  <c r="S83" i="3"/>
  <c r="T83" i="3" s="1"/>
  <c r="U83" i="3"/>
  <c r="Z21" i="11"/>
  <c r="AA15" i="11"/>
  <c r="AA21" i="11" s="1"/>
  <c r="E127" i="16"/>
  <c r="D127" i="16"/>
  <c r="E83" i="4"/>
  <c r="F83" i="4" s="1"/>
  <c r="I83" i="3"/>
  <c r="D83" i="4" s="1"/>
  <c r="C16" i="11"/>
  <c r="K83" i="3"/>
  <c r="L83" i="3" s="1"/>
  <c r="K130" i="16" l="1"/>
  <c r="L131" i="16" s="1"/>
  <c r="F128" i="16"/>
  <c r="E70" i="18"/>
  <c r="E55" i="18"/>
  <c r="F60" i="18"/>
  <c r="E53" i="18"/>
  <c r="E65" i="18"/>
  <c r="E71" i="18"/>
  <c r="F59" i="18"/>
  <c r="F51" i="18"/>
  <c r="F61" i="18"/>
  <c r="E44" i="18"/>
  <c r="F54" i="18"/>
  <c r="E60" i="18"/>
  <c r="F52" i="18"/>
  <c r="E63" i="18"/>
  <c r="E57" i="18"/>
  <c r="F47" i="18"/>
  <c r="F44" i="18"/>
  <c r="E47" i="18"/>
  <c r="F55" i="18"/>
  <c r="F62" i="18"/>
  <c r="E69" i="18"/>
  <c r="F45" i="18"/>
  <c r="E59" i="18"/>
  <c r="F46" i="18"/>
  <c r="E61" i="18"/>
  <c r="E46" i="18"/>
  <c r="E72" i="18"/>
  <c r="F70" i="18"/>
  <c r="E62" i="18"/>
  <c r="E52" i="18"/>
  <c r="E67" i="18"/>
  <c r="F63" i="18"/>
  <c r="F57" i="18"/>
  <c r="F49" i="18"/>
  <c r="F67" i="18"/>
  <c r="F56" i="18"/>
  <c r="E51" i="18"/>
  <c r="E64" i="18"/>
  <c r="F41" i="18"/>
  <c r="E43" i="18"/>
  <c r="E48" i="18"/>
  <c r="E66" i="18"/>
  <c r="F64" i="18"/>
  <c r="F66" i="18"/>
  <c r="E58" i="18"/>
  <c r="E54" i="18"/>
  <c r="E45" i="18"/>
  <c r="F69" i="18"/>
  <c r="F43" i="18"/>
  <c r="E56" i="18"/>
  <c r="F48" i="18"/>
  <c r="F50" i="18"/>
  <c r="E50" i="18"/>
  <c r="E40" i="18"/>
  <c r="F68" i="18"/>
  <c r="F72" i="18"/>
  <c r="F53" i="18"/>
  <c r="E68" i="18"/>
  <c r="F58" i="18"/>
  <c r="E49" i="18"/>
  <c r="F40" i="18"/>
  <c r="E42" i="18"/>
  <c r="F42" i="18"/>
  <c r="F71" i="18"/>
  <c r="F65" i="18"/>
  <c r="G128" i="16"/>
  <c r="H129" i="16" s="1"/>
  <c r="I130" i="16" s="1"/>
  <c r="J131" i="16" s="1"/>
  <c r="Y25" i="11"/>
  <c r="Y29" i="11" s="1"/>
  <c r="Y24" i="11"/>
  <c r="Y28" i="11" s="1"/>
  <c r="U84" i="3"/>
  <c r="S84" i="3"/>
  <c r="T84" i="3" s="1"/>
  <c r="W29" i="3"/>
  <c r="X29" i="3" s="1"/>
  <c r="Y29" i="3" s="1"/>
  <c r="Z29" i="3" s="1"/>
  <c r="AA29" i="3" s="1"/>
  <c r="AB29" i="3" s="1"/>
  <c r="K84" i="3"/>
  <c r="L84" i="3" s="1"/>
  <c r="F88" i="3"/>
  <c r="Z25" i="11"/>
  <c r="Z24" i="11"/>
  <c r="D128" i="16"/>
  <c r="E128" i="16"/>
  <c r="P129" i="16"/>
  <c r="Q129" i="16"/>
  <c r="R130" i="16" s="1"/>
  <c r="S131" i="16" s="1"/>
  <c r="T132" i="16" s="1"/>
  <c r="I84" i="3"/>
  <c r="D84" i="4" s="1"/>
  <c r="E84" i="4"/>
  <c r="F84" i="4" s="1"/>
  <c r="E86" i="3"/>
  <c r="D85" i="3"/>
  <c r="H85" i="3" s="1"/>
  <c r="J85" i="3"/>
  <c r="R85" i="3"/>
  <c r="F129" i="16" l="1"/>
  <c r="K131" i="16"/>
  <c r="L132" i="16" s="1"/>
  <c r="G129" i="16"/>
  <c r="H130" i="16" s="1"/>
  <c r="I131" i="16" s="1"/>
  <c r="C29" i="4"/>
  <c r="AC29" i="3"/>
  <c r="M30" i="3"/>
  <c r="F89" i="3"/>
  <c r="E85" i="4"/>
  <c r="F85" i="4" s="1"/>
  <c r="I85" i="3"/>
  <c r="D85" i="4" s="1"/>
  <c r="K85" i="3"/>
  <c r="L85" i="3" s="1"/>
  <c r="E87" i="3"/>
  <c r="J86" i="3"/>
  <c r="D86" i="3"/>
  <c r="H86" i="3" s="1"/>
  <c r="R86" i="3"/>
  <c r="Q130" i="16"/>
  <c r="R131" i="16" s="1"/>
  <c r="S132" i="16" s="1"/>
  <c r="T133" i="16" s="1"/>
  <c r="P130" i="16"/>
  <c r="S85" i="3"/>
  <c r="T85" i="3" s="1"/>
  <c r="U85" i="3"/>
  <c r="E129" i="16"/>
  <c r="D129" i="16"/>
  <c r="F130" i="16" l="1"/>
  <c r="J132" i="16"/>
  <c r="K132" i="16"/>
  <c r="L133" i="16" s="1"/>
  <c r="G130" i="16"/>
  <c r="H131" i="16" s="1"/>
  <c r="I132" i="16" s="1"/>
  <c r="K86" i="3"/>
  <c r="L86" i="3" s="1"/>
  <c r="D130" i="16"/>
  <c r="E130" i="16"/>
  <c r="F131" i="16" s="1"/>
  <c r="F90" i="3"/>
  <c r="N30" i="3"/>
  <c r="AI30" i="3"/>
  <c r="O30" i="3"/>
  <c r="E86" i="4"/>
  <c r="F86" i="4" s="1"/>
  <c r="I86" i="3"/>
  <c r="D86" i="4" s="1"/>
  <c r="E88" i="3"/>
  <c r="R87" i="3"/>
  <c r="D87" i="3"/>
  <c r="H87" i="3" s="1"/>
  <c r="J87" i="3"/>
  <c r="AD29" i="3"/>
  <c r="P131" i="16"/>
  <c r="Q131" i="16"/>
  <c r="R132" i="16" s="1"/>
  <c r="S133" i="16" s="1"/>
  <c r="T134" i="16" s="1"/>
  <c r="H29" i="4"/>
  <c r="G29" i="4"/>
  <c r="I29" i="4" s="1"/>
  <c r="U86" i="3"/>
  <c r="S86" i="3"/>
  <c r="T86" i="3" s="1"/>
  <c r="J133" i="16" l="1"/>
  <c r="K133" i="16"/>
  <c r="L134" i="16" s="1"/>
  <c r="G131" i="16"/>
  <c r="H132" i="16" s="1"/>
  <c r="I133" i="16" s="1"/>
  <c r="P30" i="3"/>
  <c r="Q30" i="3" s="1"/>
  <c r="K87" i="3"/>
  <c r="L87" i="3" s="1"/>
  <c r="F91" i="3"/>
  <c r="E131" i="16"/>
  <c r="F132" i="16" s="1"/>
  <c r="D131" i="16"/>
  <c r="J29" i="4"/>
  <c r="E87" i="4"/>
  <c r="F87" i="4" s="1"/>
  <c r="I87" i="3"/>
  <c r="D87" i="4" s="1"/>
  <c r="Q132" i="16"/>
  <c r="R133" i="16" s="1"/>
  <c r="S134" i="16" s="1"/>
  <c r="T135" i="16" s="1"/>
  <c r="P132" i="16"/>
  <c r="U87" i="3"/>
  <c r="S87" i="3"/>
  <c r="T87" i="3" s="1"/>
  <c r="E89" i="3"/>
  <c r="J88" i="3"/>
  <c r="R88" i="3"/>
  <c r="D88" i="3"/>
  <c r="H88" i="3" s="1"/>
  <c r="J134" i="16" l="1"/>
  <c r="K134" i="16"/>
  <c r="L135" i="16" s="1"/>
  <c r="G132" i="16"/>
  <c r="H133" i="16" s="1"/>
  <c r="I134" i="16" s="1"/>
  <c r="D132" i="16"/>
  <c r="E132" i="16"/>
  <c r="K29" i="4"/>
  <c r="M29" i="4"/>
  <c r="U88" i="3"/>
  <c r="S88" i="3"/>
  <c r="T88" i="3" s="1"/>
  <c r="Q133" i="16"/>
  <c r="R134" i="16" s="1"/>
  <c r="S135" i="16" s="1"/>
  <c r="T136" i="16" s="1"/>
  <c r="P133" i="16"/>
  <c r="I88" i="3"/>
  <c r="D88" i="4" s="1"/>
  <c r="E88" i="4"/>
  <c r="F88" i="4" s="1"/>
  <c r="K88" i="3"/>
  <c r="L88" i="3" s="1"/>
  <c r="E90" i="3"/>
  <c r="R89" i="3"/>
  <c r="J89" i="3"/>
  <c r="D89" i="3"/>
  <c r="H89" i="3" s="1"/>
  <c r="F92" i="3"/>
  <c r="L30" i="4"/>
  <c r="V30" i="3"/>
  <c r="J135" i="16" l="1"/>
  <c r="F133" i="16"/>
  <c r="K135" i="16"/>
  <c r="L136" i="16" s="1"/>
  <c r="G133" i="16"/>
  <c r="H134" i="16" s="1"/>
  <c r="I135" i="16" s="1"/>
  <c r="E91" i="3"/>
  <c r="D90" i="3"/>
  <c r="H90" i="3" s="1"/>
  <c r="J90" i="3"/>
  <c r="R90" i="3"/>
  <c r="Q134" i="16"/>
  <c r="R135" i="16" s="1"/>
  <c r="S136" i="16" s="1"/>
  <c r="T137" i="16" s="1"/>
  <c r="P134" i="16"/>
  <c r="W30" i="3"/>
  <c r="X30" i="3" s="1"/>
  <c r="Y30" i="3" s="1"/>
  <c r="Z30" i="3" s="1"/>
  <c r="AA30" i="3" s="1"/>
  <c r="AB30" i="3" s="1"/>
  <c r="F93" i="3"/>
  <c r="E89" i="4"/>
  <c r="F89" i="4" s="1"/>
  <c r="I89" i="3"/>
  <c r="D89" i="4" s="1"/>
  <c r="S89" i="3"/>
  <c r="T89" i="3" s="1"/>
  <c r="U89" i="3"/>
  <c r="D133" i="16"/>
  <c r="E133" i="16"/>
  <c r="K89" i="3"/>
  <c r="L89" i="3" s="1"/>
  <c r="F134" i="16" l="1"/>
  <c r="J136" i="16"/>
  <c r="K136" i="16"/>
  <c r="L137" i="16" s="1"/>
  <c r="G134" i="16"/>
  <c r="H135" i="16" s="1"/>
  <c r="I136" i="16" s="1"/>
  <c r="M31" i="3"/>
  <c r="AC30" i="3"/>
  <c r="C30" i="4"/>
  <c r="Q135" i="16"/>
  <c r="R136" i="16" s="1"/>
  <c r="S137" i="16" s="1"/>
  <c r="T138" i="16" s="1"/>
  <c r="P135" i="16"/>
  <c r="E134" i="16"/>
  <c r="D134" i="16"/>
  <c r="I90" i="3"/>
  <c r="D90" i="4" s="1"/>
  <c r="E90" i="4"/>
  <c r="F90" i="4" s="1"/>
  <c r="U90" i="3"/>
  <c r="S90" i="3"/>
  <c r="T90" i="3" s="1"/>
  <c r="E92" i="3"/>
  <c r="D91" i="3"/>
  <c r="H91" i="3" s="1"/>
  <c r="R91" i="3"/>
  <c r="J91" i="3"/>
  <c r="K90" i="3"/>
  <c r="L90" i="3" s="1"/>
  <c r="F94" i="3"/>
  <c r="F135" i="16" l="1"/>
  <c r="J137" i="16"/>
  <c r="K137" i="16"/>
  <c r="L138" i="16" s="1"/>
  <c r="G135" i="16"/>
  <c r="H136" i="16" s="1"/>
  <c r="I137" i="16" s="1"/>
  <c r="J138" i="16" s="1"/>
  <c r="K91" i="3"/>
  <c r="L91" i="3" s="1"/>
  <c r="F95" i="3"/>
  <c r="D135" i="16"/>
  <c r="E135" i="16"/>
  <c r="F136" i="16" s="1"/>
  <c r="U91" i="3"/>
  <c r="S91" i="3"/>
  <c r="T91" i="3" s="1"/>
  <c r="AD30" i="3"/>
  <c r="E93" i="3"/>
  <c r="R92" i="3"/>
  <c r="J92" i="3"/>
  <c r="D92" i="3"/>
  <c r="H92" i="3" s="1"/>
  <c r="P136" i="16"/>
  <c r="Q136" i="16"/>
  <c r="R137" i="16" s="1"/>
  <c r="S138" i="16" s="1"/>
  <c r="T139" i="16" s="1"/>
  <c r="G30" i="4"/>
  <c r="I30" i="4" s="1"/>
  <c r="H30" i="4"/>
  <c r="E91" i="4"/>
  <c r="F91" i="4" s="1"/>
  <c r="I91" i="3"/>
  <c r="D91" i="4" s="1"/>
  <c r="N31" i="3"/>
  <c r="AI31" i="3"/>
  <c r="O31" i="3"/>
  <c r="K138" i="16" l="1"/>
  <c r="L139" i="16" s="1"/>
  <c r="G136" i="16"/>
  <c r="H137" i="16" s="1"/>
  <c r="I138" i="16" s="1"/>
  <c r="K92" i="3"/>
  <c r="L92" i="3" s="1"/>
  <c r="S92" i="3"/>
  <c r="T92" i="3" s="1"/>
  <c r="U92" i="3"/>
  <c r="P31" i="3"/>
  <c r="F96" i="3"/>
  <c r="J30" i="4"/>
  <c r="P137" i="16"/>
  <c r="Q137" i="16"/>
  <c r="R138" i="16" s="1"/>
  <c r="S139" i="16" s="1"/>
  <c r="T140" i="16" s="1"/>
  <c r="E94" i="3"/>
  <c r="D93" i="3"/>
  <c r="H93" i="3" s="1"/>
  <c r="R93" i="3"/>
  <c r="J93" i="3"/>
  <c r="E136" i="16"/>
  <c r="D136" i="16"/>
  <c r="E92" i="4"/>
  <c r="F92" i="4" s="1"/>
  <c r="I92" i="3"/>
  <c r="D92" i="4" s="1"/>
  <c r="J139" i="16" l="1"/>
  <c r="F137" i="16"/>
  <c r="K139" i="16"/>
  <c r="L140" i="16" s="1"/>
  <c r="G137" i="16"/>
  <c r="H138" i="16" s="1"/>
  <c r="I139" i="16" s="1"/>
  <c r="K93" i="3"/>
  <c r="L93" i="3" s="1"/>
  <c r="K30" i="4"/>
  <c r="M30" i="4"/>
  <c r="F97" i="3"/>
  <c r="E137" i="16"/>
  <c r="D137" i="16"/>
  <c r="Q31" i="3"/>
  <c r="S93" i="3"/>
  <c r="T93" i="3" s="1"/>
  <c r="U93" i="3"/>
  <c r="P138" i="16"/>
  <c r="Q138" i="16"/>
  <c r="R139" i="16" s="1"/>
  <c r="S140" i="16" s="1"/>
  <c r="T141" i="16" s="1"/>
  <c r="I93" i="3"/>
  <c r="D93" i="4" s="1"/>
  <c r="E93" i="4"/>
  <c r="F93" i="4" s="1"/>
  <c r="E95" i="3"/>
  <c r="J94" i="3"/>
  <c r="D94" i="3"/>
  <c r="H94" i="3" s="1"/>
  <c r="R94" i="3"/>
  <c r="F138" i="16" l="1"/>
  <c r="J140" i="16"/>
  <c r="K140" i="16"/>
  <c r="L141" i="16" s="1"/>
  <c r="G138" i="16"/>
  <c r="H139" i="16" s="1"/>
  <c r="I140" i="16" s="1"/>
  <c r="E96" i="3"/>
  <c r="R95" i="3"/>
  <c r="D95" i="3"/>
  <c r="H95" i="3" s="1"/>
  <c r="J95" i="3"/>
  <c r="I94" i="3"/>
  <c r="D94" i="4" s="1"/>
  <c r="E94" i="4"/>
  <c r="F94" i="4" s="1"/>
  <c r="D138" i="16"/>
  <c r="E138" i="16"/>
  <c r="F139" i="16" s="1"/>
  <c r="K94" i="3"/>
  <c r="L94" i="3" s="1"/>
  <c r="Q139" i="16"/>
  <c r="R140" i="16" s="1"/>
  <c r="S141" i="16" s="1"/>
  <c r="T142" i="16" s="1"/>
  <c r="P139" i="16"/>
  <c r="L31" i="4"/>
  <c r="V31" i="3"/>
  <c r="U94" i="3"/>
  <c r="S94" i="3"/>
  <c r="T94" i="3" s="1"/>
  <c r="F98" i="3"/>
  <c r="J141" i="16" l="1"/>
  <c r="K141" i="16"/>
  <c r="L142" i="16" s="1"/>
  <c r="G139" i="16"/>
  <c r="H140" i="16" s="1"/>
  <c r="I141" i="16" s="1"/>
  <c r="E97" i="3"/>
  <c r="D96" i="3"/>
  <c r="H96" i="3" s="1"/>
  <c r="J96" i="3"/>
  <c r="R96" i="3"/>
  <c r="P140" i="16"/>
  <c r="Q140" i="16"/>
  <c r="R141" i="16" s="1"/>
  <c r="S142" i="16" s="1"/>
  <c r="T143" i="16" s="1"/>
  <c r="E139" i="16"/>
  <c r="D139" i="16"/>
  <c r="E95" i="4"/>
  <c r="F95" i="4" s="1"/>
  <c r="I95" i="3"/>
  <c r="D95" i="4" s="1"/>
  <c r="F99" i="3"/>
  <c r="K95" i="3"/>
  <c r="L95" i="3" s="1"/>
  <c r="U95" i="3"/>
  <c r="S95" i="3"/>
  <c r="T95" i="3" s="1"/>
  <c r="W31" i="3"/>
  <c r="X31" i="3" s="1"/>
  <c r="Y31" i="3" s="1"/>
  <c r="Z31" i="3" s="1"/>
  <c r="AA31" i="3" s="1"/>
  <c r="AB31" i="3" s="1"/>
  <c r="F140" i="16" l="1"/>
  <c r="J142" i="16"/>
  <c r="K142" i="16"/>
  <c r="L143" i="16" s="1"/>
  <c r="G140" i="16"/>
  <c r="H141" i="16" s="1"/>
  <c r="I142" i="16" s="1"/>
  <c r="K96" i="3"/>
  <c r="L96" i="3" s="1"/>
  <c r="AC31" i="3"/>
  <c r="M32" i="3"/>
  <c r="C31" i="4"/>
  <c r="F100" i="3"/>
  <c r="D140" i="16"/>
  <c r="E140" i="16"/>
  <c r="U96" i="3"/>
  <c r="S96" i="3"/>
  <c r="T96" i="3" s="1"/>
  <c r="E96" i="4"/>
  <c r="F96" i="4" s="1"/>
  <c r="I96" i="3"/>
  <c r="D96" i="4" s="1"/>
  <c r="P141" i="16"/>
  <c r="Q141" i="16"/>
  <c r="R142" i="16" s="1"/>
  <c r="S143" i="16" s="1"/>
  <c r="T144" i="16" s="1"/>
  <c r="E98" i="3"/>
  <c r="J97" i="3"/>
  <c r="R97" i="3"/>
  <c r="D97" i="3"/>
  <c r="H97" i="3" s="1"/>
  <c r="F141" i="16" l="1"/>
  <c r="J143" i="16"/>
  <c r="K143" i="16"/>
  <c r="L144" i="16" s="1"/>
  <c r="G141" i="16"/>
  <c r="H142" i="16" s="1"/>
  <c r="I143" i="16" s="1"/>
  <c r="J144" i="16" s="1"/>
  <c r="K97" i="3"/>
  <c r="L97" i="3" s="1"/>
  <c r="H31" i="4"/>
  <c r="G31" i="4"/>
  <c r="I31" i="4" s="1"/>
  <c r="D141" i="16"/>
  <c r="E141" i="16"/>
  <c r="U97" i="3"/>
  <c r="S97" i="3"/>
  <c r="T97" i="3" s="1"/>
  <c r="E99" i="3"/>
  <c r="J98" i="3"/>
  <c r="R98" i="3"/>
  <c r="D98" i="3"/>
  <c r="H98" i="3" s="1"/>
  <c r="AD31" i="3"/>
  <c r="E97" i="4"/>
  <c r="F97" i="4" s="1"/>
  <c r="I97" i="3"/>
  <c r="D97" i="4" s="1"/>
  <c r="F101" i="3"/>
  <c r="N32" i="3"/>
  <c r="O32" i="3"/>
  <c r="AI32" i="3"/>
  <c r="Q142" i="16"/>
  <c r="R143" i="16" s="1"/>
  <c r="S144" i="16" s="1"/>
  <c r="T145" i="16" s="1"/>
  <c r="P142" i="16"/>
  <c r="F142" i="16" l="1"/>
  <c r="K144" i="16"/>
  <c r="L145" i="16" s="1"/>
  <c r="G142" i="16"/>
  <c r="H143" i="16" s="1"/>
  <c r="I144" i="16" s="1"/>
  <c r="J145" i="16" s="1"/>
  <c r="E98" i="4"/>
  <c r="F98" i="4" s="1"/>
  <c r="I98" i="3"/>
  <c r="D98" i="4" s="1"/>
  <c r="K98" i="3"/>
  <c r="L98" i="3" s="1"/>
  <c r="P32" i="3"/>
  <c r="S98" i="3"/>
  <c r="T98" i="3" s="1"/>
  <c r="U98" i="3"/>
  <c r="E100" i="3"/>
  <c r="R99" i="3"/>
  <c r="D99" i="3"/>
  <c r="H99" i="3" s="1"/>
  <c r="J99" i="3"/>
  <c r="J31" i="4"/>
  <c r="P143" i="16"/>
  <c r="Q143" i="16"/>
  <c r="R144" i="16" s="1"/>
  <c r="S145" i="16" s="1"/>
  <c r="T146" i="16" s="1"/>
  <c r="E142" i="16"/>
  <c r="F143" i="16" s="1"/>
  <c r="D142" i="16"/>
  <c r="F102" i="3"/>
  <c r="K145" i="16" l="1"/>
  <c r="L146" i="16" s="1"/>
  <c r="G143" i="16"/>
  <c r="H144" i="16" s="1"/>
  <c r="I145" i="16" s="1"/>
  <c r="J146" i="16" s="1"/>
  <c r="K99" i="3"/>
  <c r="L99" i="3" s="1"/>
  <c r="E101" i="3"/>
  <c r="D100" i="3"/>
  <c r="H100" i="3" s="1"/>
  <c r="J100" i="3"/>
  <c r="R100" i="3"/>
  <c r="K31" i="4"/>
  <c r="M31" i="4"/>
  <c r="S99" i="3"/>
  <c r="T99" i="3" s="1"/>
  <c r="U99" i="3"/>
  <c r="F103" i="3"/>
  <c r="D143" i="16"/>
  <c r="E143" i="16"/>
  <c r="F144" i="16" s="1"/>
  <c r="Q144" i="16"/>
  <c r="R145" i="16" s="1"/>
  <c r="S146" i="16" s="1"/>
  <c r="T147" i="16" s="1"/>
  <c r="P144" i="16"/>
  <c r="I99" i="3"/>
  <c r="D99" i="4" s="1"/>
  <c r="E99" i="4"/>
  <c r="F99" i="4" s="1"/>
  <c r="Q32" i="3"/>
  <c r="K146" i="16" l="1"/>
  <c r="L147" i="16" s="1"/>
  <c r="G144" i="16"/>
  <c r="H145" i="16" s="1"/>
  <c r="I146" i="16" s="1"/>
  <c r="K100" i="3"/>
  <c r="L100" i="3" s="1"/>
  <c r="F104" i="3"/>
  <c r="L32" i="4"/>
  <c r="V32" i="3"/>
  <c r="Q145" i="16"/>
  <c r="R146" i="16" s="1"/>
  <c r="S147" i="16" s="1"/>
  <c r="T148" i="16" s="1"/>
  <c r="P145" i="16"/>
  <c r="E100" i="4"/>
  <c r="F100" i="4" s="1"/>
  <c r="I100" i="3"/>
  <c r="D100" i="4" s="1"/>
  <c r="E102" i="3"/>
  <c r="D101" i="3"/>
  <c r="H101" i="3" s="1"/>
  <c r="R101" i="3"/>
  <c r="J101" i="3"/>
  <c r="S100" i="3"/>
  <c r="T100" i="3" s="1"/>
  <c r="U100" i="3"/>
  <c r="E144" i="16"/>
  <c r="D144" i="16"/>
  <c r="J147" i="16" l="1"/>
  <c r="F145" i="16"/>
  <c r="K147" i="16"/>
  <c r="L148" i="16" s="1"/>
  <c r="G145" i="16"/>
  <c r="H146" i="16" s="1"/>
  <c r="I147" i="16" s="1"/>
  <c r="J148" i="16" s="1"/>
  <c r="K101" i="3"/>
  <c r="L101" i="3" s="1"/>
  <c r="F105" i="3"/>
  <c r="P146" i="16"/>
  <c r="Q146" i="16"/>
  <c r="R147" i="16" s="1"/>
  <c r="S148" i="16" s="1"/>
  <c r="T149" i="16" s="1"/>
  <c r="E145" i="16"/>
  <c r="D145" i="16"/>
  <c r="W32" i="3"/>
  <c r="X32" i="3" s="1"/>
  <c r="Y32" i="3" s="1"/>
  <c r="Z32" i="3" s="1"/>
  <c r="AA32" i="3" s="1"/>
  <c r="AB32" i="3" s="1"/>
  <c r="S101" i="3"/>
  <c r="T101" i="3" s="1"/>
  <c r="U101" i="3"/>
  <c r="I101" i="3"/>
  <c r="D101" i="4" s="1"/>
  <c r="E101" i="4"/>
  <c r="F101" i="4" s="1"/>
  <c r="E103" i="3"/>
  <c r="D102" i="3"/>
  <c r="H102" i="3" s="1"/>
  <c r="R102" i="3"/>
  <c r="J102" i="3"/>
  <c r="F146" i="16" l="1"/>
  <c r="K148" i="16"/>
  <c r="L149" i="16" s="1"/>
  <c r="G146" i="16"/>
  <c r="H147" i="16" s="1"/>
  <c r="I148" i="16" s="1"/>
  <c r="K102" i="3"/>
  <c r="L102" i="3" s="1"/>
  <c r="M33" i="3"/>
  <c r="C32" i="4"/>
  <c r="AC32" i="3"/>
  <c r="D146" i="16"/>
  <c r="E146" i="16"/>
  <c r="Q147" i="16"/>
  <c r="R148" i="16" s="1"/>
  <c r="S149" i="16" s="1"/>
  <c r="T150" i="16" s="1"/>
  <c r="P147" i="16"/>
  <c r="F106" i="3"/>
  <c r="U102" i="3"/>
  <c r="S102" i="3"/>
  <c r="T102" i="3" s="1"/>
  <c r="E102" i="4"/>
  <c r="F102" i="4" s="1"/>
  <c r="I102" i="3"/>
  <c r="D102" i="4" s="1"/>
  <c r="E104" i="3"/>
  <c r="J103" i="3"/>
  <c r="R103" i="3"/>
  <c r="D103" i="3"/>
  <c r="H103" i="3" s="1"/>
  <c r="J149" i="16" l="1"/>
  <c r="F147" i="16"/>
  <c r="K149" i="16"/>
  <c r="L150" i="16" s="1"/>
  <c r="G147" i="16"/>
  <c r="H148" i="16" s="1"/>
  <c r="I149" i="16" s="1"/>
  <c r="J150" i="16" s="1"/>
  <c r="I103" i="3"/>
  <c r="D103" i="4" s="1"/>
  <c r="E103" i="4"/>
  <c r="F103" i="4" s="1"/>
  <c r="K103" i="3"/>
  <c r="L103" i="3" s="1"/>
  <c r="F107" i="3"/>
  <c r="Q148" i="16"/>
  <c r="R149" i="16" s="1"/>
  <c r="S150" i="16" s="1"/>
  <c r="T151" i="16" s="1"/>
  <c r="P148" i="16"/>
  <c r="E147" i="16"/>
  <c r="D147" i="16"/>
  <c r="S103" i="3"/>
  <c r="T103" i="3" s="1"/>
  <c r="U103" i="3"/>
  <c r="E105" i="3"/>
  <c r="J104" i="3"/>
  <c r="D104" i="3"/>
  <c r="H104" i="3" s="1"/>
  <c r="R104" i="3"/>
  <c r="AD32" i="3"/>
  <c r="H32" i="4"/>
  <c r="G32" i="4"/>
  <c r="I32" i="4" s="1"/>
  <c r="O33" i="3"/>
  <c r="N33" i="3"/>
  <c r="AI33" i="3"/>
  <c r="F148" i="16" l="1"/>
  <c r="K150" i="16"/>
  <c r="L151" i="16" s="1"/>
  <c r="G148" i="16"/>
  <c r="H149" i="16" s="1"/>
  <c r="I150" i="16" s="1"/>
  <c r="D148" i="16"/>
  <c r="E148" i="16"/>
  <c r="F149" i="16" s="1"/>
  <c r="P149" i="16"/>
  <c r="Q149" i="16"/>
  <c r="R150" i="16" s="1"/>
  <c r="S151" i="16" s="1"/>
  <c r="T152" i="16" s="1"/>
  <c r="J32" i="4"/>
  <c r="I104" i="3"/>
  <c r="D104" i="4" s="1"/>
  <c r="E104" i="4"/>
  <c r="F104" i="4" s="1"/>
  <c r="P33" i="3"/>
  <c r="Q33" i="3" s="1"/>
  <c r="F108" i="3"/>
  <c r="E106" i="3"/>
  <c r="J105" i="3"/>
  <c r="R105" i="3"/>
  <c r="D105" i="3"/>
  <c r="H105" i="3" s="1"/>
  <c r="S104" i="3"/>
  <c r="T104" i="3" s="1"/>
  <c r="U104" i="3"/>
  <c r="K104" i="3"/>
  <c r="L104" i="3" s="1"/>
  <c r="J151" i="16" l="1"/>
  <c r="K151" i="16"/>
  <c r="L152" i="16" s="1"/>
  <c r="G149" i="16"/>
  <c r="H150" i="16" s="1"/>
  <c r="I151" i="16" s="1"/>
  <c r="F109" i="3"/>
  <c r="E107" i="3"/>
  <c r="D106" i="3"/>
  <c r="H106" i="3" s="1"/>
  <c r="J106" i="3"/>
  <c r="R106" i="3"/>
  <c r="M32" i="4"/>
  <c r="K32" i="4"/>
  <c r="P150" i="16"/>
  <c r="Q150" i="16"/>
  <c r="R151" i="16" s="1"/>
  <c r="S152" i="16" s="1"/>
  <c r="T153" i="16" s="1"/>
  <c r="L33" i="4"/>
  <c r="V33" i="3"/>
  <c r="E105" i="4"/>
  <c r="F105" i="4" s="1"/>
  <c r="I105" i="3"/>
  <c r="D105" i="4" s="1"/>
  <c r="E149" i="16"/>
  <c r="F150" i="16" s="1"/>
  <c r="D149" i="16"/>
  <c r="U105" i="3"/>
  <c r="S105" i="3"/>
  <c r="T105" i="3" s="1"/>
  <c r="K105" i="3"/>
  <c r="L105" i="3" s="1"/>
  <c r="J152" i="16" l="1"/>
  <c r="K152" i="16"/>
  <c r="L153" i="16" s="1"/>
  <c r="G150" i="16"/>
  <c r="H151" i="16" s="1"/>
  <c r="I152" i="16" s="1"/>
  <c r="J153" i="16" s="1"/>
  <c r="K106" i="3"/>
  <c r="L106" i="3" s="1"/>
  <c r="P151" i="16"/>
  <c r="Q151" i="16"/>
  <c r="R152" i="16" s="1"/>
  <c r="S153" i="16" s="1"/>
  <c r="T154" i="16" s="1"/>
  <c r="S106" i="3"/>
  <c r="T106" i="3" s="1"/>
  <c r="U106" i="3"/>
  <c r="I106" i="3"/>
  <c r="D106" i="4" s="1"/>
  <c r="E106" i="4"/>
  <c r="F106" i="4" s="1"/>
  <c r="E150" i="16"/>
  <c r="D150" i="16"/>
  <c r="F110" i="3"/>
  <c r="W33" i="3"/>
  <c r="X33" i="3" s="1"/>
  <c r="Y33" i="3" s="1"/>
  <c r="Z33" i="3" s="1"/>
  <c r="AA33" i="3" s="1"/>
  <c r="AB33" i="3" s="1"/>
  <c r="E108" i="3"/>
  <c r="D107" i="3"/>
  <c r="H107" i="3" s="1"/>
  <c r="R107" i="3"/>
  <c r="J107" i="3"/>
  <c r="F151" i="16" l="1"/>
  <c r="K153" i="16"/>
  <c r="L154" i="16" s="1"/>
  <c r="G151" i="16"/>
  <c r="H152" i="16" s="1"/>
  <c r="I153" i="16" s="1"/>
  <c r="K107" i="3"/>
  <c r="L107" i="3" s="1"/>
  <c r="F111" i="3"/>
  <c r="E109" i="3"/>
  <c r="R108" i="3"/>
  <c r="D108" i="3"/>
  <c r="H108" i="3" s="1"/>
  <c r="J108" i="3"/>
  <c r="E151" i="16"/>
  <c r="D151" i="16"/>
  <c r="S107" i="3"/>
  <c r="T107" i="3" s="1"/>
  <c r="U107" i="3"/>
  <c r="AC33" i="3"/>
  <c r="AD33" i="3" s="1"/>
  <c r="M34" i="3"/>
  <c r="C33" i="4"/>
  <c r="E107" i="4"/>
  <c r="F107" i="4" s="1"/>
  <c r="I107" i="3"/>
  <c r="D107" i="4" s="1"/>
  <c r="Q152" i="16"/>
  <c r="R153" i="16" s="1"/>
  <c r="S154" i="16" s="1"/>
  <c r="T155" i="16" s="1"/>
  <c r="P152" i="16"/>
  <c r="J154" i="16" l="1"/>
  <c r="F152" i="16"/>
  <c r="K154" i="16"/>
  <c r="L155" i="16" s="1"/>
  <c r="G152" i="16"/>
  <c r="H153" i="16" s="1"/>
  <c r="I154" i="16" s="1"/>
  <c r="J155" i="16" s="1"/>
  <c r="S108" i="3"/>
  <c r="T108" i="3" s="1"/>
  <c r="U108" i="3"/>
  <c r="E152" i="16"/>
  <c r="D152" i="16"/>
  <c r="K108" i="3"/>
  <c r="L108" i="3" s="1"/>
  <c r="P153" i="16"/>
  <c r="Q153" i="16"/>
  <c r="R154" i="16" s="1"/>
  <c r="S155" i="16" s="1"/>
  <c r="T156" i="16" s="1"/>
  <c r="E110" i="3"/>
  <c r="R109" i="3"/>
  <c r="D109" i="3"/>
  <c r="H109" i="3" s="1"/>
  <c r="J109" i="3"/>
  <c r="F112" i="3"/>
  <c r="G33" i="4"/>
  <c r="I33" i="4" s="1"/>
  <c r="H33" i="4"/>
  <c r="I108" i="3"/>
  <c r="D108" i="4" s="1"/>
  <c r="E108" i="4"/>
  <c r="F108" i="4" s="1"/>
  <c r="N34" i="3"/>
  <c r="AI34" i="3"/>
  <c r="O34" i="3"/>
  <c r="F153" i="16" l="1"/>
  <c r="K155" i="16"/>
  <c r="L156" i="16" s="1"/>
  <c r="G153" i="16"/>
  <c r="H154" i="16" s="1"/>
  <c r="I155" i="16" s="1"/>
  <c r="J156" i="16" s="1"/>
  <c r="P34" i="3"/>
  <c r="Q34" i="3" s="1"/>
  <c r="L34" i="4" s="1"/>
  <c r="E109" i="4"/>
  <c r="F109" i="4" s="1"/>
  <c r="I109" i="3"/>
  <c r="D109" i="4" s="1"/>
  <c r="F113" i="3"/>
  <c r="E111" i="3"/>
  <c r="J110" i="3"/>
  <c r="R110" i="3"/>
  <c r="D110" i="3"/>
  <c r="H110" i="3" s="1"/>
  <c r="Q154" i="16"/>
  <c r="R155" i="16" s="1"/>
  <c r="S156" i="16" s="1"/>
  <c r="T157" i="16" s="1"/>
  <c r="P154" i="16"/>
  <c r="D153" i="16"/>
  <c r="E153" i="16"/>
  <c r="F154" i="16" s="1"/>
  <c r="K109" i="3"/>
  <c r="L109" i="3" s="1"/>
  <c r="U109" i="3"/>
  <c r="S109" i="3"/>
  <c r="T109" i="3" s="1"/>
  <c r="J33" i="4"/>
  <c r="K156" i="16" l="1"/>
  <c r="L157" i="16" s="1"/>
  <c r="V34" i="3"/>
  <c r="G154" i="16"/>
  <c r="H155" i="16" s="1"/>
  <c r="I156" i="16" s="1"/>
  <c r="J157" i="16" s="1"/>
  <c r="I110" i="3"/>
  <c r="D110" i="4" s="1"/>
  <c r="E110" i="4"/>
  <c r="F110" i="4" s="1"/>
  <c r="P155" i="16"/>
  <c r="Q155" i="16"/>
  <c r="R156" i="16" s="1"/>
  <c r="S157" i="16" s="1"/>
  <c r="T158" i="16" s="1"/>
  <c r="S110" i="3"/>
  <c r="T110" i="3" s="1"/>
  <c r="U110" i="3"/>
  <c r="K110" i="3"/>
  <c r="L110" i="3" s="1"/>
  <c r="E112" i="3"/>
  <c r="J111" i="3"/>
  <c r="R111" i="3"/>
  <c r="D111" i="3"/>
  <c r="H111" i="3" s="1"/>
  <c r="K33" i="4"/>
  <c r="M33" i="4"/>
  <c r="F114" i="3"/>
  <c r="W34" i="3"/>
  <c r="X34" i="3" s="1"/>
  <c r="Y34" i="3" s="1"/>
  <c r="Z34" i="3" s="1"/>
  <c r="AA34" i="3" s="1"/>
  <c r="AB34" i="3" s="1"/>
  <c r="E154" i="16"/>
  <c r="F155" i="16" s="1"/>
  <c r="D154" i="16"/>
  <c r="K157" i="16" l="1"/>
  <c r="L158" i="16" s="1"/>
  <c r="G155" i="16"/>
  <c r="H156" i="16" s="1"/>
  <c r="I157" i="16" s="1"/>
  <c r="J158" i="16" s="1"/>
  <c r="AC34" i="3"/>
  <c r="AD34" i="3" s="1"/>
  <c r="C34" i="4"/>
  <c r="M35" i="3"/>
  <c r="D155" i="16"/>
  <c r="E155" i="16"/>
  <c r="F156" i="16" s="1"/>
  <c r="K111" i="3"/>
  <c r="L111" i="3" s="1"/>
  <c r="E113" i="3"/>
  <c r="J112" i="3"/>
  <c r="R112" i="3"/>
  <c r="D112" i="3"/>
  <c r="H112" i="3" s="1"/>
  <c r="F115" i="3"/>
  <c r="E111" i="4"/>
  <c r="F111" i="4" s="1"/>
  <c r="I111" i="3"/>
  <c r="D111" i="4" s="1"/>
  <c r="S111" i="3"/>
  <c r="T111" i="3" s="1"/>
  <c r="U111" i="3"/>
  <c r="Q156" i="16"/>
  <c r="R157" i="16" s="1"/>
  <c r="S158" i="16" s="1"/>
  <c r="T159" i="16" s="1"/>
  <c r="P156" i="16"/>
  <c r="K158" i="16" l="1"/>
  <c r="L159" i="16" s="1"/>
  <c r="G156" i="16"/>
  <c r="H157" i="16" s="1"/>
  <c r="I158" i="16" s="1"/>
  <c r="J159" i="16" s="1"/>
  <c r="S112" i="3"/>
  <c r="T112" i="3" s="1"/>
  <c r="U112" i="3"/>
  <c r="I112" i="3"/>
  <c r="D112" i="4" s="1"/>
  <c r="E112" i="4"/>
  <c r="F112" i="4" s="1"/>
  <c r="Q157" i="16"/>
  <c r="R158" i="16" s="1"/>
  <c r="S159" i="16" s="1"/>
  <c r="T160" i="16" s="1"/>
  <c r="P157" i="16"/>
  <c r="E114" i="3"/>
  <c r="R113" i="3"/>
  <c r="D113" i="3"/>
  <c r="H113" i="3" s="1"/>
  <c r="J113" i="3"/>
  <c r="D156" i="16"/>
  <c r="E156" i="16"/>
  <c r="F157" i="16" s="1"/>
  <c r="AI35" i="3"/>
  <c r="N35" i="3"/>
  <c r="O35" i="3"/>
  <c r="G34" i="4"/>
  <c r="I34" i="4" s="1"/>
  <c r="J34" i="4" s="1"/>
  <c r="H34" i="4"/>
  <c r="K112" i="3"/>
  <c r="L112" i="3" s="1"/>
  <c r="F116" i="3"/>
  <c r="K159" i="16" l="1"/>
  <c r="L160" i="16" s="1"/>
  <c r="G157" i="16"/>
  <c r="H158" i="16" s="1"/>
  <c r="I159" i="16" s="1"/>
  <c r="K113" i="3"/>
  <c r="L113" i="3" s="1"/>
  <c r="D157" i="16"/>
  <c r="E157" i="16"/>
  <c r="F158" i="16" s="1"/>
  <c r="E115" i="3"/>
  <c r="J114" i="3"/>
  <c r="R114" i="3"/>
  <c r="D114" i="3"/>
  <c r="H114" i="3" s="1"/>
  <c r="S113" i="3"/>
  <c r="T113" i="3" s="1"/>
  <c r="U113" i="3"/>
  <c r="F117" i="3"/>
  <c r="E113" i="4"/>
  <c r="F113" i="4" s="1"/>
  <c r="I113" i="3"/>
  <c r="D113" i="4" s="1"/>
  <c r="P158" i="16"/>
  <c r="Q158" i="16"/>
  <c r="R159" i="16" s="1"/>
  <c r="S160" i="16" s="1"/>
  <c r="T161" i="16" s="1"/>
  <c r="K34" i="4"/>
  <c r="M34" i="4"/>
  <c r="P35" i="3"/>
  <c r="Q35" i="3" s="1"/>
  <c r="J160" i="16" l="1"/>
  <c r="K160" i="16"/>
  <c r="L161" i="16" s="1"/>
  <c r="G158" i="16"/>
  <c r="H159" i="16" s="1"/>
  <c r="I160" i="16" s="1"/>
  <c r="K114" i="3"/>
  <c r="L114" i="3" s="1"/>
  <c r="F118" i="3"/>
  <c r="L35" i="4"/>
  <c r="V35" i="3"/>
  <c r="E116" i="3"/>
  <c r="J115" i="3"/>
  <c r="R115" i="3"/>
  <c r="D115" i="3"/>
  <c r="H115" i="3" s="1"/>
  <c r="S114" i="3"/>
  <c r="T114" i="3" s="1"/>
  <c r="U114" i="3"/>
  <c r="Q159" i="16"/>
  <c r="R160" i="16" s="1"/>
  <c r="S161" i="16" s="1"/>
  <c r="T162" i="16" s="1"/>
  <c r="P159" i="16"/>
  <c r="I114" i="3"/>
  <c r="D114" i="4" s="1"/>
  <c r="E114" i="4"/>
  <c r="F114" i="4" s="1"/>
  <c r="E158" i="16"/>
  <c r="D158" i="16"/>
  <c r="J161" i="16" l="1"/>
  <c r="F159" i="16"/>
  <c r="K161" i="16"/>
  <c r="L162" i="16" s="1"/>
  <c r="G159" i="16"/>
  <c r="H160" i="16" s="1"/>
  <c r="I161" i="16" s="1"/>
  <c r="J162" i="16" s="1"/>
  <c r="I115" i="3"/>
  <c r="D115" i="4" s="1"/>
  <c r="E115" i="4"/>
  <c r="F115" i="4" s="1"/>
  <c r="W35" i="3"/>
  <c r="X35" i="3" s="1"/>
  <c r="Y35" i="3" s="1"/>
  <c r="Z35" i="3" s="1"/>
  <c r="AA35" i="3" s="1"/>
  <c r="AB35" i="3" s="1"/>
  <c r="S115" i="3"/>
  <c r="T115" i="3" s="1"/>
  <c r="U115" i="3"/>
  <c r="E117" i="3"/>
  <c r="J116" i="3"/>
  <c r="D116" i="3"/>
  <c r="H116" i="3" s="1"/>
  <c r="R116" i="3"/>
  <c r="K115" i="3"/>
  <c r="L115" i="3" s="1"/>
  <c r="D159" i="16"/>
  <c r="E159" i="16"/>
  <c r="F119" i="3"/>
  <c r="Q160" i="16"/>
  <c r="R161" i="16" s="1"/>
  <c r="S162" i="16" s="1"/>
  <c r="T163" i="16" s="1"/>
  <c r="P160" i="16"/>
  <c r="F160" i="16" l="1"/>
  <c r="K162" i="16"/>
  <c r="L163" i="16" s="1"/>
  <c r="G160" i="16"/>
  <c r="H161" i="16" s="1"/>
  <c r="I162" i="16" s="1"/>
  <c r="J163" i="16" s="1"/>
  <c r="AC35" i="3"/>
  <c r="AD35" i="3" s="1"/>
  <c r="C35" i="4"/>
  <c r="M36" i="3"/>
  <c r="D160" i="16"/>
  <c r="E160" i="16"/>
  <c r="S116" i="3"/>
  <c r="T116" i="3" s="1"/>
  <c r="U116" i="3"/>
  <c r="E116" i="4"/>
  <c r="F116" i="4" s="1"/>
  <c r="I116" i="3"/>
  <c r="D116" i="4" s="1"/>
  <c r="F120" i="3"/>
  <c r="K116" i="3"/>
  <c r="L116" i="3" s="1"/>
  <c r="E118" i="3"/>
  <c r="D117" i="3"/>
  <c r="H117" i="3" s="1"/>
  <c r="J117" i="3"/>
  <c r="R117" i="3"/>
  <c r="Q161" i="16"/>
  <c r="R162" i="16" s="1"/>
  <c r="S163" i="16" s="1"/>
  <c r="T164" i="16" s="1"/>
  <c r="P161" i="16"/>
  <c r="K163" i="16" l="1"/>
  <c r="L164" i="16" s="1"/>
  <c r="F161" i="16"/>
  <c r="G161" i="16"/>
  <c r="H162" i="16" s="1"/>
  <c r="I163" i="16" s="1"/>
  <c r="J164" i="16" s="1"/>
  <c r="K117" i="3"/>
  <c r="L117" i="3" s="1"/>
  <c r="F121" i="3"/>
  <c r="D161" i="16"/>
  <c r="E161" i="16"/>
  <c r="F162" i="16" s="1"/>
  <c r="AI36" i="3"/>
  <c r="N36" i="3"/>
  <c r="O36" i="3"/>
  <c r="Q162" i="16"/>
  <c r="R163" i="16" s="1"/>
  <c r="S164" i="16" s="1"/>
  <c r="T165" i="16" s="1"/>
  <c r="P162" i="16"/>
  <c r="H35" i="4"/>
  <c r="G35" i="4"/>
  <c r="I35" i="4" s="1"/>
  <c r="J35" i="4" s="1"/>
  <c r="S117" i="3"/>
  <c r="T117" i="3" s="1"/>
  <c r="U117" i="3"/>
  <c r="I117" i="3"/>
  <c r="D117" i="4" s="1"/>
  <c r="E117" i="4"/>
  <c r="F117" i="4" s="1"/>
  <c r="E119" i="3"/>
  <c r="J118" i="3"/>
  <c r="D118" i="3"/>
  <c r="H118" i="3" s="1"/>
  <c r="R118" i="3"/>
  <c r="K164" i="16" l="1"/>
  <c r="L165" i="16" s="1"/>
  <c r="G162" i="16"/>
  <c r="H163" i="16" s="1"/>
  <c r="I164" i="16" s="1"/>
  <c r="J165" i="16" s="1"/>
  <c r="P163" i="16"/>
  <c r="Q163" i="16"/>
  <c r="R164" i="16" s="1"/>
  <c r="S165" i="16" s="1"/>
  <c r="T166" i="16" s="1"/>
  <c r="U118" i="3"/>
  <c r="S118" i="3"/>
  <c r="T118" i="3" s="1"/>
  <c r="K118" i="3"/>
  <c r="L118" i="3" s="1"/>
  <c r="P36" i="3"/>
  <c r="Q36" i="3" s="1"/>
  <c r="E118" i="4"/>
  <c r="F118" i="4" s="1"/>
  <c r="I118" i="3"/>
  <c r="D118" i="4" s="1"/>
  <c r="E120" i="3"/>
  <c r="J119" i="3"/>
  <c r="D119" i="3"/>
  <c r="H119" i="3" s="1"/>
  <c r="R119" i="3"/>
  <c r="D162" i="16"/>
  <c r="E162" i="16"/>
  <c r="F163" i="16" s="1"/>
  <c r="F122" i="3"/>
  <c r="M35" i="4"/>
  <c r="K35" i="4"/>
  <c r="K165" i="16" l="1"/>
  <c r="L166" i="16" s="1"/>
  <c r="G163" i="16"/>
  <c r="H164" i="16" s="1"/>
  <c r="I165" i="16" s="1"/>
  <c r="D163" i="16"/>
  <c r="E163" i="16"/>
  <c r="E121" i="3"/>
  <c r="J120" i="3"/>
  <c r="D120" i="3"/>
  <c r="H120" i="3" s="1"/>
  <c r="R120" i="3"/>
  <c r="I119" i="3"/>
  <c r="D119" i="4" s="1"/>
  <c r="E119" i="4"/>
  <c r="F119" i="4" s="1"/>
  <c r="S119" i="3"/>
  <c r="T119" i="3" s="1"/>
  <c r="U119" i="3"/>
  <c r="K119" i="3"/>
  <c r="L119" i="3" s="1"/>
  <c r="L36" i="4"/>
  <c r="V36" i="3"/>
  <c r="F123" i="3"/>
  <c r="Q164" i="16"/>
  <c r="R165" i="16" s="1"/>
  <c r="S166" i="16" s="1"/>
  <c r="T167" i="16" s="1"/>
  <c r="P164" i="16"/>
  <c r="J166" i="16" l="1"/>
  <c r="K166" i="16"/>
  <c r="L167" i="16" s="1"/>
  <c r="F164" i="16"/>
  <c r="G164" i="16"/>
  <c r="H165" i="16" s="1"/>
  <c r="I166" i="16" s="1"/>
  <c r="J167" i="16" s="1"/>
  <c r="S120" i="3"/>
  <c r="T120" i="3" s="1"/>
  <c r="U120" i="3"/>
  <c r="F124" i="3"/>
  <c r="I120" i="3"/>
  <c r="D120" i="4" s="1"/>
  <c r="E120" i="4"/>
  <c r="F120" i="4" s="1"/>
  <c r="K120" i="3"/>
  <c r="L120" i="3" s="1"/>
  <c r="E122" i="3"/>
  <c r="R121" i="3"/>
  <c r="D121" i="3"/>
  <c r="H121" i="3" s="1"/>
  <c r="J121" i="3"/>
  <c r="P165" i="16"/>
  <c r="Q165" i="16"/>
  <c r="R166" i="16" s="1"/>
  <c r="S167" i="16" s="1"/>
  <c r="T168" i="16" s="1"/>
  <c r="D164" i="16"/>
  <c r="E164" i="16"/>
  <c r="W36" i="3"/>
  <c r="X36" i="3" s="1"/>
  <c r="Y36" i="3" s="1"/>
  <c r="Z36" i="3" s="1"/>
  <c r="AA36" i="3" s="1"/>
  <c r="AB36" i="3" s="1"/>
  <c r="F165" i="16" l="1"/>
  <c r="K167" i="16"/>
  <c r="L168" i="16" s="1"/>
  <c r="G165" i="16"/>
  <c r="H166" i="16" s="1"/>
  <c r="I167" i="16" s="1"/>
  <c r="C36" i="4"/>
  <c r="M37" i="3"/>
  <c r="AC36" i="3"/>
  <c r="AD36" i="3" s="1"/>
  <c r="E121" i="4"/>
  <c r="F121" i="4" s="1"/>
  <c r="I121" i="3"/>
  <c r="D121" i="4" s="1"/>
  <c r="S121" i="3"/>
  <c r="T121" i="3" s="1"/>
  <c r="U121" i="3"/>
  <c r="E123" i="3"/>
  <c r="J122" i="3"/>
  <c r="D122" i="3"/>
  <c r="H122" i="3" s="1"/>
  <c r="R122" i="3"/>
  <c r="D165" i="16"/>
  <c r="E165" i="16"/>
  <c r="F166" i="16" s="1"/>
  <c r="F125" i="3"/>
  <c r="Q166" i="16"/>
  <c r="R167" i="16" s="1"/>
  <c r="S168" i="16" s="1"/>
  <c r="T169" i="16" s="1"/>
  <c r="P166" i="16"/>
  <c r="K121" i="3"/>
  <c r="L121" i="3" s="1"/>
  <c r="J168" i="16" l="1"/>
  <c r="K168" i="16"/>
  <c r="L169" i="16" s="1"/>
  <c r="G166" i="16"/>
  <c r="H167" i="16" s="1"/>
  <c r="I168" i="16" s="1"/>
  <c r="J169" i="16" s="1"/>
  <c r="E122" i="4"/>
  <c r="F122" i="4" s="1"/>
  <c r="I122" i="3"/>
  <c r="D122" i="4" s="1"/>
  <c r="D166" i="16"/>
  <c r="E166" i="16"/>
  <c r="F167" i="16" s="1"/>
  <c r="Q167" i="16"/>
  <c r="R168" i="16" s="1"/>
  <c r="S169" i="16" s="1"/>
  <c r="T170" i="16" s="1"/>
  <c r="P167" i="16"/>
  <c r="S122" i="3"/>
  <c r="T122" i="3" s="1"/>
  <c r="U122" i="3"/>
  <c r="K122" i="3"/>
  <c r="L122" i="3" s="1"/>
  <c r="E124" i="3"/>
  <c r="D123" i="3"/>
  <c r="H123" i="3" s="1"/>
  <c r="R123" i="3"/>
  <c r="J123" i="3"/>
  <c r="AI37" i="3"/>
  <c r="O37" i="3"/>
  <c r="N37" i="3"/>
  <c r="F126" i="3"/>
  <c r="H36" i="4"/>
  <c r="G36" i="4"/>
  <c r="I36" i="4" s="1"/>
  <c r="J36" i="4" s="1"/>
  <c r="K169" i="16" l="1"/>
  <c r="L170" i="16" s="1"/>
  <c r="G167" i="16"/>
  <c r="H168" i="16" s="1"/>
  <c r="I169" i="16" s="1"/>
  <c r="J170" i="16" s="1"/>
  <c r="P37" i="3"/>
  <c r="Q37" i="3" s="1"/>
  <c r="L37" i="4" s="1"/>
  <c r="K123" i="3"/>
  <c r="L123" i="3" s="1"/>
  <c r="S123" i="3"/>
  <c r="T123" i="3" s="1"/>
  <c r="U123" i="3"/>
  <c r="M36" i="4"/>
  <c r="K36" i="4"/>
  <c r="I123" i="3"/>
  <c r="D123" i="4" s="1"/>
  <c r="E123" i="4"/>
  <c r="F123" i="4" s="1"/>
  <c r="E125" i="3"/>
  <c r="R124" i="3"/>
  <c r="J124" i="3"/>
  <c r="D124" i="3"/>
  <c r="H124" i="3" s="1"/>
  <c r="E167" i="16"/>
  <c r="D167" i="16"/>
  <c r="F127" i="3"/>
  <c r="P168" i="16"/>
  <c r="Q168" i="16"/>
  <c r="R169" i="16" s="1"/>
  <c r="S170" i="16" s="1"/>
  <c r="T171" i="16" s="1"/>
  <c r="K170" i="16" l="1"/>
  <c r="L171" i="16" s="1"/>
  <c r="F168" i="16"/>
  <c r="V37" i="3"/>
  <c r="W37" i="3" s="1"/>
  <c r="X37" i="3" s="1"/>
  <c r="Y37" i="3" s="1"/>
  <c r="Z37" i="3" s="1"/>
  <c r="AA37" i="3" s="1"/>
  <c r="AB37" i="3" s="1"/>
  <c r="G168" i="16"/>
  <c r="H169" i="16" s="1"/>
  <c r="I170" i="16" s="1"/>
  <c r="J171" i="16" s="1"/>
  <c r="F128" i="3"/>
  <c r="I124" i="3"/>
  <c r="D124" i="4" s="1"/>
  <c r="E124" i="4"/>
  <c r="F124" i="4" s="1"/>
  <c r="K124" i="3"/>
  <c r="L124" i="3" s="1"/>
  <c r="E126" i="3"/>
  <c r="R125" i="3"/>
  <c r="D125" i="3"/>
  <c r="H125" i="3" s="1"/>
  <c r="J125" i="3"/>
  <c r="E168" i="16"/>
  <c r="D168" i="16"/>
  <c r="U124" i="3"/>
  <c r="S124" i="3"/>
  <c r="T124" i="3" s="1"/>
  <c r="P169" i="16"/>
  <c r="Q169" i="16"/>
  <c r="R170" i="16" s="1"/>
  <c r="S171" i="16" s="1"/>
  <c r="T172" i="16" s="1"/>
  <c r="K171" i="16" l="1"/>
  <c r="L172" i="16" s="1"/>
  <c r="F169" i="16"/>
  <c r="G169" i="16"/>
  <c r="H170" i="16" s="1"/>
  <c r="I171" i="16" s="1"/>
  <c r="M38" i="3"/>
  <c r="AC37" i="3"/>
  <c r="AD37" i="3" s="1"/>
  <c r="C37" i="4"/>
  <c r="U125" i="3"/>
  <c r="S125" i="3"/>
  <c r="T125" i="3" s="1"/>
  <c r="K125" i="3"/>
  <c r="L125" i="3" s="1"/>
  <c r="P170" i="16"/>
  <c r="Q170" i="16"/>
  <c r="R171" i="16" s="1"/>
  <c r="S172" i="16" s="1"/>
  <c r="T173" i="16" s="1"/>
  <c r="E125" i="4"/>
  <c r="F125" i="4" s="1"/>
  <c r="I125" i="3"/>
  <c r="D125" i="4" s="1"/>
  <c r="F129" i="3"/>
  <c r="E169" i="16"/>
  <c r="D169" i="16"/>
  <c r="E127" i="3"/>
  <c r="R126" i="3"/>
  <c r="D126" i="3"/>
  <c r="H126" i="3" s="1"/>
  <c r="J126" i="3"/>
  <c r="J172" i="16" l="1"/>
  <c r="K172" i="16"/>
  <c r="L173" i="16" s="1"/>
  <c r="F170" i="16"/>
  <c r="G170" i="16"/>
  <c r="H171" i="16" s="1"/>
  <c r="I172" i="16" s="1"/>
  <c r="J173" i="16" s="1"/>
  <c r="K126" i="3"/>
  <c r="L126" i="3" s="1"/>
  <c r="P171" i="16"/>
  <c r="Q171" i="16"/>
  <c r="R172" i="16" s="1"/>
  <c r="S173" i="16" s="1"/>
  <c r="T174" i="16" s="1"/>
  <c r="I126" i="3"/>
  <c r="D126" i="4" s="1"/>
  <c r="E126" i="4"/>
  <c r="F126" i="4" s="1"/>
  <c r="E128" i="3"/>
  <c r="D127" i="3"/>
  <c r="H127" i="3" s="1"/>
  <c r="J127" i="3"/>
  <c r="R127" i="3"/>
  <c r="F130" i="3"/>
  <c r="S126" i="3"/>
  <c r="T126" i="3" s="1"/>
  <c r="U126" i="3"/>
  <c r="D170" i="16"/>
  <c r="E170" i="16"/>
  <c r="F171" i="16" s="1"/>
  <c r="G37" i="4"/>
  <c r="I37" i="4" s="1"/>
  <c r="J37" i="4" s="1"/>
  <c r="H37" i="4"/>
  <c r="O38" i="3"/>
  <c r="AI38" i="3"/>
  <c r="N38" i="3"/>
  <c r="K173" i="16" l="1"/>
  <c r="L174" i="16" s="1"/>
  <c r="G171" i="16"/>
  <c r="H172" i="16" s="1"/>
  <c r="I173" i="16" s="1"/>
  <c r="P38" i="3"/>
  <c r="Q38" i="3" s="1"/>
  <c r="V38" i="3" s="1"/>
  <c r="K127" i="3"/>
  <c r="L127" i="3" s="1"/>
  <c r="E127" i="4"/>
  <c r="F127" i="4" s="1"/>
  <c r="I127" i="3"/>
  <c r="D127" i="4" s="1"/>
  <c r="S127" i="3"/>
  <c r="T127" i="3" s="1"/>
  <c r="U127" i="3"/>
  <c r="M37" i="4"/>
  <c r="K37" i="4"/>
  <c r="F131" i="3"/>
  <c r="E129" i="3"/>
  <c r="J128" i="3"/>
  <c r="D128" i="3"/>
  <c r="H128" i="3" s="1"/>
  <c r="R128" i="3"/>
  <c r="P172" i="16"/>
  <c r="Q172" i="16"/>
  <c r="R173" i="16" s="1"/>
  <c r="S174" i="16" s="1"/>
  <c r="T175" i="16" s="1"/>
  <c r="E171" i="16"/>
  <c r="F172" i="16" s="1"/>
  <c r="D171" i="16"/>
  <c r="J174" i="16" l="1"/>
  <c r="K174" i="16"/>
  <c r="L175" i="16" s="1"/>
  <c r="G172" i="16"/>
  <c r="H173" i="16" s="1"/>
  <c r="I174" i="16" s="1"/>
  <c r="J175" i="16" s="1"/>
  <c r="L38" i="4"/>
  <c r="K128" i="3"/>
  <c r="L128" i="3" s="1"/>
  <c r="E172" i="16"/>
  <c r="D172" i="16"/>
  <c r="E130" i="3"/>
  <c r="R129" i="3"/>
  <c r="J129" i="3"/>
  <c r="D129" i="3"/>
  <c r="H129" i="3" s="1"/>
  <c r="S128" i="3"/>
  <c r="T128" i="3" s="1"/>
  <c r="U128" i="3"/>
  <c r="F132" i="3"/>
  <c r="W38" i="3"/>
  <c r="X38" i="3" s="1"/>
  <c r="Y38" i="3" s="1"/>
  <c r="Z38" i="3" s="1"/>
  <c r="AA38" i="3" s="1"/>
  <c r="AB38" i="3" s="1"/>
  <c r="Q173" i="16"/>
  <c r="R174" i="16" s="1"/>
  <c r="S175" i="16" s="1"/>
  <c r="T176" i="16" s="1"/>
  <c r="P173" i="16"/>
  <c r="I128" i="3"/>
  <c r="D128" i="4" s="1"/>
  <c r="E128" i="4"/>
  <c r="F128" i="4" s="1"/>
  <c r="K175" i="16" l="1"/>
  <c r="L176" i="16" s="1"/>
  <c r="F173" i="16"/>
  <c r="G173" i="16"/>
  <c r="H174" i="16" s="1"/>
  <c r="I175" i="16" s="1"/>
  <c r="J176" i="16" s="1"/>
  <c r="C38" i="4"/>
  <c r="M39" i="3"/>
  <c r="AC38" i="3"/>
  <c r="AD38" i="3" s="1"/>
  <c r="E129" i="4"/>
  <c r="F129" i="4" s="1"/>
  <c r="I129" i="3"/>
  <c r="D129" i="4" s="1"/>
  <c r="E131" i="3"/>
  <c r="D130" i="3"/>
  <c r="H130" i="3" s="1"/>
  <c r="R130" i="3"/>
  <c r="J130" i="3"/>
  <c r="F133" i="3"/>
  <c r="S129" i="3"/>
  <c r="T129" i="3" s="1"/>
  <c r="U129" i="3"/>
  <c r="E173" i="16"/>
  <c r="F174" i="16" s="1"/>
  <c r="D173" i="16"/>
  <c r="K129" i="3"/>
  <c r="L129" i="3" s="1"/>
  <c r="P174" i="16"/>
  <c r="Q174" i="16"/>
  <c r="R175" i="16" s="1"/>
  <c r="S176" i="16" s="1"/>
  <c r="T177" i="16" s="1"/>
  <c r="K176" i="16" l="1"/>
  <c r="L177" i="16" s="1"/>
  <c r="G174" i="16"/>
  <c r="H175" i="16" s="1"/>
  <c r="I176" i="16" s="1"/>
  <c r="J177" i="16" s="1"/>
  <c r="F134" i="3"/>
  <c r="S130" i="3"/>
  <c r="T130" i="3" s="1"/>
  <c r="U130" i="3"/>
  <c r="Q175" i="16"/>
  <c r="R176" i="16" s="1"/>
  <c r="S177" i="16" s="1"/>
  <c r="T178" i="16" s="1"/>
  <c r="P175" i="16"/>
  <c r="I130" i="3"/>
  <c r="D130" i="4" s="1"/>
  <c r="E130" i="4"/>
  <c r="F130" i="4" s="1"/>
  <c r="K130" i="3"/>
  <c r="L130" i="3" s="1"/>
  <c r="E132" i="3"/>
  <c r="J131" i="3"/>
  <c r="D131" i="3"/>
  <c r="H131" i="3" s="1"/>
  <c r="R131" i="3"/>
  <c r="D174" i="16"/>
  <c r="E174" i="16"/>
  <c r="F175" i="16" s="1"/>
  <c r="N39" i="3"/>
  <c r="AI39" i="3"/>
  <c r="O39" i="3"/>
  <c r="G38" i="4"/>
  <c r="I38" i="4" s="1"/>
  <c r="J38" i="4" s="1"/>
  <c r="H38" i="4"/>
  <c r="K177" i="16" l="1"/>
  <c r="L178" i="16" s="1"/>
  <c r="G175" i="16"/>
  <c r="H176" i="16" s="1"/>
  <c r="I177" i="16" s="1"/>
  <c r="J178" i="16" s="1"/>
  <c r="P39" i="3"/>
  <c r="Q39" i="3" s="1"/>
  <c r="V39" i="3" s="1"/>
  <c r="M38" i="4"/>
  <c r="K38" i="4"/>
  <c r="E175" i="16"/>
  <c r="D175" i="16"/>
  <c r="P176" i="16"/>
  <c r="Q176" i="16"/>
  <c r="R177" i="16" s="1"/>
  <c r="S178" i="16" s="1"/>
  <c r="T179" i="16" s="1"/>
  <c r="F135" i="3"/>
  <c r="S131" i="3"/>
  <c r="T131" i="3" s="1"/>
  <c r="U131" i="3"/>
  <c r="E131" i="4"/>
  <c r="F131" i="4" s="1"/>
  <c r="I131" i="3"/>
  <c r="D131" i="4" s="1"/>
  <c r="E133" i="3"/>
  <c r="D132" i="3"/>
  <c r="H132" i="3" s="1"/>
  <c r="J132" i="3"/>
  <c r="R132" i="3"/>
  <c r="K131" i="3"/>
  <c r="L131" i="3" s="1"/>
  <c r="K178" i="16" l="1"/>
  <c r="L179" i="16" s="1"/>
  <c r="F176" i="16"/>
  <c r="L39" i="4"/>
  <c r="G176" i="16"/>
  <c r="H177" i="16" s="1"/>
  <c r="I178" i="16" s="1"/>
  <c r="J179" i="16" s="1"/>
  <c r="K132" i="3"/>
  <c r="L132" i="3" s="1"/>
  <c r="F136" i="3"/>
  <c r="P177" i="16"/>
  <c r="Q177" i="16"/>
  <c r="R178" i="16" s="1"/>
  <c r="S179" i="16" s="1"/>
  <c r="T180" i="16" s="1"/>
  <c r="W39" i="3"/>
  <c r="X39" i="3" s="1"/>
  <c r="Y39" i="3" s="1"/>
  <c r="Z39" i="3" s="1"/>
  <c r="AA39" i="3" s="1"/>
  <c r="AB39" i="3" s="1"/>
  <c r="E176" i="16"/>
  <c r="D176" i="16"/>
  <c r="U132" i="3"/>
  <c r="S132" i="3"/>
  <c r="T132" i="3" s="1"/>
  <c r="E132" i="4"/>
  <c r="F132" i="4" s="1"/>
  <c r="I132" i="3"/>
  <c r="D132" i="4" s="1"/>
  <c r="E134" i="3"/>
  <c r="J133" i="3"/>
  <c r="R133" i="3"/>
  <c r="D133" i="3"/>
  <c r="H133" i="3" s="1"/>
  <c r="K180" i="16" l="1"/>
  <c r="L181" i="16" s="1"/>
  <c r="K179" i="16"/>
  <c r="L180" i="16" s="1"/>
  <c r="F177" i="16"/>
  <c r="G177" i="16"/>
  <c r="H178" i="16" s="1"/>
  <c r="I179" i="16" s="1"/>
  <c r="J180" i="16" s="1"/>
  <c r="K181" i="16" s="1"/>
  <c r="L182" i="16" s="1"/>
  <c r="K133" i="3"/>
  <c r="L133" i="3" s="1"/>
  <c r="M40" i="3"/>
  <c r="C39" i="4"/>
  <c r="AC39" i="3"/>
  <c r="AD39" i="3" s="1"/>
  <c r="E177" i="16"/>
  <c r="D177" i="16"/>
  <c r="I133" i="3"/>
  <c r="D133" i="4" s="1"/>
  <c r="E133" i="4"/>
  <c r="F133" i="4" s="1"/>
  <c r="U133" i="3"/>
  <c r="S133" i="3"/>
  <c r="T133" i="3" s="1"/>
  <c r="E135" i="3"/>
  <c r="D134" i="3"/>
  <c r="H134" i="3" s="1"/>
  <c r="R134" i="3"/>
  <c r="J134" i="3"/>
  <c r="F137" i="3"/>
  <c r="P178" i="16"/>
  <c r="Q178" i="16"/>
  <c r="R179" i="16" s="1"/>
  <c r="S180" i="16" s="1"/>
  <c r="T181" i="16" s="1"/>
  <c r="F178" i="16" l="1"/>
  <c r="G178" i="16"/>
  <c r="H179" i="16" s="1"/>
  <c r="I180" i="16" s="1"/>
  <c r="J181" i="16" s="1"/>
  <c r="K182" i="16" s="1"/>
  <c r="L183" i="16" s="1"/>
  <c r="S134" i="3"/>
  <c r="T134" i="3" s="1"/>
  <c r="U134" i="3"/>
  <c r="K134" i="3"/>
  <c r="L134" i="3" s="1"/>
  <c r="E136" i="3"/>
  <c r="R135" i="3"/>
  <c r="J135" i="3"/>
  <c r="D135" i="3"/>
  <c r="H135" i="3" s="1"/>
  <c r="I134" i="3"/>
  <c r="D134" i="4" s="1"/>
  <c r="E134" i="4"/>
  <c r="F134" i="4" s="1"/>
  <c r="D178" i="16"/>
  <c r="E178" i="16"/>
  <c r="Q179" i="16"/>
  <c r="R180" i="16" s="1"/>
  <c r="S181" i="16" s="1"/>
  <c r="T182" i="16" s="1"/>
  <c r="P179" i="16"/>
  <c r="F138" i="3"/>
  <c r="G39" i="4"/>
  <c r="I39" i="4" s="1"/>
  <c r="J39" i="4" s="1"/>
  <c r="H39" i="4"/>
  <c r="N40" i="3"/>
  <c r="O40" i="3"/>
  <c r="AI40" i="3"/>
  <c r="F179" i="16" l="1"/>
  <c r="G179" i="16"/>
  <c r="H180" i="16" s="1"/>
  <c r="I181" i="16" s="1"/>
  <c r="J182" i="16" s="1"/>
  <c r="K183" i="16" s="1"/>
  <c r="L184" i="16" s="1"/>
  <c r="D179" i="16"/>
  <c r="E179" i="16"/>
  <c r="I135" i="3"/>
  <c r="D135" i="4" s="1"/>
  <c r="E135" i="4"/>
  <c r="F135" i="4" s="1"/>
  <c r="Q180" i="16"/>
  <c r="R181" i="16" s="1"/>
  <c r="S182" i="16" s="1"/>
  <c r="T183" i="16" s="1"/>
  <c r="P180" i="16"/>
  <c r="P40" i="3"/>
  <c r="Q40" i="3" s="1"/>
  <c r="E137" i="3"/>
  <c r="J136" i="3"/>
  <c r="D136" i="3"/>
  <c r="H136" i="3" s="1"/>
  <c r="R136" i="3"/>
  <c r="K39" i="4"/>
  <c r="M39" i="4"/>
  <c r="K135" i="3"/>
  <c r="L135" i="3" s="1"/>
  <c r="S135" i="3"/>
  <c r="T135" i="3" s="1"/>
  <c r="U135" i="3"/>
  <c r="F139" i="3"/>
  <c r="F180" i="16" l="1"/>
  <c r="G180" i="16"/>
  <c r="H181" i="16" s="1"/>
  <c r="I182" i="16" s="1"/>
  <c r="J183" i="16" s="1"/>
  <c r="K184" i="16" s="1"/>
  <c r="L185" i="16" s="1"/>
  <c r="K136" i="3"/>
  <c r="L136" i="3" s="1"/>
  <c r="E136" i="4"/>
  <c r="F136" i="4" s="1"/>
  <c r="I136" i="3"/>
  <c r="D136" i="4" s="1"/>
  <c r="L40" i="4"/>
  <c r="V40" i="3"/>
  <c r="E138" i="3"/>
  <c r="R137" i="3"/>
  <c r="J137" i="3"/>
  <c r="D137" i="3"/>
  <c r="H137" i="3" s="1"/>
  <c r="P181" i="16"/>
  <c r="Q181" i="16"/>
  <c r="R182" i="16" s="1"/>
  <c r="S183" i="16" s="1"/>
  <c r="T184" i="16" s="1"/>
  <c r="D180" i="16"/>
  <c r="E180" i="16"/>
  <c r="S136" i="3"/>
  <c r="T136" i="3" s="1"/>
  <c r="U136" i="3"/>
  <c r="F140" i="3"/>
  <c r="F181" i="16" l="1"/>
  <c r="G181" i="16"/>
  <c r="H182" i="16" s="1"/>
  <c r="I183" i="16" s="1"/>
  <c r="J184" i="16" s="1"/>
  <c r="K185" i="16" s="1"/>
  <c r="L186" i="16" s="1"/>
  <c r="Q182" i="16"/>
  <c r="R183" i="16" s="1"/>
  <c r="S184" i="16" s="1"/>
  <c r="T185" i="16" s="1"/>
  <c r="P182" i="16"/>
  <c r="S137" i="3"/>
  <c r="T137" i="3" s="1"/>
  <c r="U137" i="3"/>
  <c r="E137" i="4"/>
  <c r="F137" i="4" s="1"/>
  <c r="I137" i="3"/>
  <c r="D137" i="4" s="1"/>
  <c r="W40" i="3"/>
  <c r="X40" i="3" s="1"/>
  <c r="Y40" i="3" s="1"/>
  <c r="Z40" i="3" s="1"/>
  <c r="AA40" i="3" s="1"/>
  <c r="AB40" i="3" s="1"/>
  <c r="E181" i="16"/>
  <c r="F182" i="16" s="1"/>
  <c r="D181" i="16"/>
  <c r="E139" i="3"/>
  <c r="D138" i="3"/>
  <c r="H138" i="3" s="1"/>
  <c r="J138" i="3"/>
  <c r="R138" i="3"/>
  <c r="K137" i="3"/>
  <c r="L137" i="3" s="1"/>
  <c r="F141" i="3"/>
  <c r="G182" i="16" l="1"/>
  <c r="H183" i="16" s="1"/>
  <c r="I184" i="16" s="1"/>
  <c r="J185" i="16" s="1"/>
  <c r="K186" i="16" s="1"/>
  <c r="L187" i="16" s="1"/>
  <c r="AC40" i="3"/>
  <c r="AD40" i="3" s="1"/>
  <c r="M41" i="3"/>
  <c r="C40" i="4"/>
  <c r="E138" i="4"/>
  <c r="F138" i="4" s="1"/>
  <c r="I138" i="3"/>
  <c r="D138" i="4" s="1"/>
  <c r="E140" i="3"/>
  <c r="R139" i="3"/>
  <c r="J139" i="3"/>
  <c r="D139" i="3"/>
  <c r="H139" i="3" s="1"/>
  <c r="K138" i="3"/>
  <c r="L138" i="3" s="1"/>
  <c r="P183" i="16"/>
  <c r="Q183" i="16"/>
  <c r="R184" i="16" s="1"/>
  <c r="S185" i="16" s="1"/>
  <c r="T186" i="16" s="1"/>
  <c r="E182" i="16"/>
  <c r="D182" i="16"/>
  <c r="F142" i="3"/>
  <c r="S138" i="3"/>
  <c r="T138" i="3" s="1"/>
  <c r="U138" i="3"/>
  <c r="F183" i="16" l="1"/>
  <c r="G183" i="16"/>
  <c r="H184" i="16" s="1"/>
  <c r="I185" i="16" s="1"/>
  <c r="J186" i="16" s="1"/>
  <c r="K187" i="16" s="1"/>
  <c r="L188" i="16" s="1"/>
  <c r="E183" i="16"/>
  <c r="D183" i="16"/>
  <c r="K139" i="3"/>
  <c r="L139" i="3" s="1"/>
  <c r="E141" i="3"/>
  <c r="J140" i="3"/>
  <c r="R140" i="3"/>
  <c r="D140" i="3"/>
  <c r="H140" i="3" s="1"/>
  <c r="S139" i="3"/>
  <c r="T139" i="3" s="1"/>
  <c r="U139" i="3"/>
  <c r="F143" i="3"/>
  <c r="N41" i="3"/>
  <c r="O41" i="3"/>
  <c r="AI41" i="3"/>
  <c r="Q184" i="16"/>
  <c r="R185" i="16" s="1"/>
  <c r="S186" i="16" s="1"/>
  <c r="T187" i="16" s="1"/>
  <c r="P184" i="16"/>
  <c r="I139" i="3"/>
  <c r="D139" i="4" s="1"/>
  <c r="E139" i="4"/>
  <c r="F139" i="4" s="1"/>
  <c r="G40" i="4"/>
  <c r="I40" i="4" s="1"/>
  <c r="J40" i="4" s="1"/>
  <c r="H40" i="4"/>
  <c r="F184" i="16" l="1"/>
  <c r="G184" i="16"/>
  <c r="H185" i="16" s="1"/>
  <c r="I186" i="16" s="1"/>
  <c r="J187" i="16" s="1"/>
  <c r="K188" i="16" s="1"/>
  <c r="L189" i="16" s="1"/>
  <c r="E140" i="4"/>
  <c r="F140" i="4" s="1"/>
  <c r="I140" i="3"/>
  <c r="D140" i="4" s="1"/>
  <c r="P185" i="16"/>
  <c r="Q185" i="16"/>
  <c r="R186" i="16" s="1"/>
  <c r="S187" i="16" s="1"/>
  <c r="T188" i="16" s="1"/>
  <c r="F144" i="3"/>
  <c r="K140" i="3"/>
  <c r="L140" i="3" s="1"/>
  <c r="M40" i="4"/>
  <c r="K40" i="4"/>
  <c r="S140" i="3"/>
  <c r="T140" i="3" s="1"/>
  <c r="U140" i="3"/>
  <c r="E142" i="3"/>
  <c r="J141" i="3"/>
  <c r="D141" i="3"/>
  <c r="H141" i="3" s="1"/>
  <c r="R141" i="3"/>
  <c r="E184" i="16"/>
  <c r="D184" i="16"/>
  <c r="P41" i="3"/>
  <c r="Q41" i="3" s="1"/>
  <c r="F185" i="16" l="1"/>
  <c r="G185" i="16"/>
  <c r="H186" i="16" s="1"/>
  <c r="I187" i="16" s="1"/>
  <c r="J188" i="16" s="1"/>
  <c r="K189" i="16" s="1"/>
  <c r="L190" i="16" s="1"/>
  <c r="P186" i="16"/>
  <c r="Q186" i="16"/>
  <c r="R187" i="16" s="1"/>
  <c r="S188" i="16" s="1"/>
  <c r="T189" i="16" s="1"/>
  <c r="E185" i="16"/>
  <c r="D185" i="16"/>
  <c r="F145" i="3"/>
  <c r="I141" i="3"/>
  <c r="D141" i="4" s="1"/>
  <c r="E141" i="4"/>
  <c r="F141" i="4" s="1"/>
  <c r="L41" i="4"/>
  <c r="V41" i="3"/>
  <c r="S141" i="3"/>
  <c r="T141" i="3" s="1"/>
  <c r="U141" i="3"/>
  <c r="K141" i="3"/>
  <c r="L141" i="3" s="1"/>
  <c r="E143" i="3"/>
  <c r="D142" i="3"/>
  <c r="H142" i="3" s="1"/>
  <c r="R142" i="3"/>
  <c r="J142" i="3"/>
  <c r="F186" i="16" l="1"/>
  <c r="G186" i="16"/>
  <c r="H187" i="16" s="1"/>
  <c r="I188" i="16" s="1"/>
  <c r="J189" i="16" s="1"/>
  <c r="K190" i="16" s="1"/>
  <c r="L191" i="16" s="1"/>
  <c r="K142" i="3"/>
  <c r="L142" i="3" s="1"/>
  <c r="P187" i="16"/>
  <c r="Q187" i="16"/>
  <c r="R188" i="16" s="1"/>
  <c r="S189" i="16" s="1"/>
  <c r="T190" i="16" s="1"/>
  <c r="F146" i="3"/>
  <c r="D186" i="16"/>
  <c r="E186" i="16"/>
  <c r="F187" i="16" s="1"/>
  <c r="S142" i="3"/>
  <c r="T142" i="3" s="1"/>
  <c r="U142" i="3"/>
  <c r="W41" i="3"/>
  <c r="X41" i="3" s="1"/>
  <c r="Y41" i="3" s="1"/>
  <c r="Z41" i="3" s="1"/>
  <c r="AA41" i="3" s="1"/>
  <c r="AB41" i="3" s="1"/>
  <c r="E142" i="4"/>
  <c r="F142" i="4" s="1"/>
  <c r="I142" i="3"/>
  <c r="D142" i="4" s="1"/>
  <c r="E144" i="3"/>
  <c r="D143" i="3"/>
  <c r="H143" i="3" s="1"/>
  <c r="J143" i="3"/>
  <c r="R143" i="3"/>
  <c r="G187" i="16" l="1"/>
  <c r="H188" i="16" s="1"/>
  <c r="I189" i="16" s="1"/>
  <c r="J190" i="16" s="1"/>
  <c r="K191" i="16" s="1"/>
  <c r="L192" i="16" s="1"/>
  <c r="K143" i="3"/>
  <c r="L143" i="3" s="1"/>
  <c r="AC41" i="3"/>
  <c r="AD41" i="3" s="1"/>
  <c r="C41" i="4"/>
  <c r="M42" i="3"/>
  <c r="E187" i="16"/>
  <c r="D187" i="16"/>
  <c r="S143" i="3"/>
  <c r="T143" i="3" s="1"/>
  <c r="U143" i="3"/>
  <c r="E145" i="3"/>
  <c r="R144" i="3"/>
  <c r="J144" i="3"/>
  <c r="D144" i="3"/>
  <c r="H144" i="3" s="1"/>
  <c r="F147" i="3"/>
  <c r="E143" i="4"/>
  <c r="F143" i="4" s="1"/>
  <c r="I143" i="3"/>
  <c r="D143" i="4" s="1"/>
  <c r="P188" i="16"/>
  <c r="Q188" i="16"/>
  <c r="R189" i="16" s="1"/>
  <c r="S190" i="16" s="1"/>
  <c r="T191" i="16" s="1"/>
  <c r="F188" i="16" l="1"/>
  <c r="G188" i="16"/>
  <c r="H189" i="16" s="1"/>
  <c r="I190" i="16" s="1"/>
  <c r="J191" i="16" s="1"/>
  <c r="K192" i="16" s="1"/>
  <c r="L193" i="16" s="1"/>
  <c r="E144" i="4"/>
  <c r="F144" i="4" s="1"/>
  <c r="I144" i="3"/>
  <c r="D144" i="4" s="1"/>
  <c r="S144" i="3"/>
  <c r="T144" i="3" s="1"/>
  <c r="U144" i="3"/>
  <c r="Q189" i="16"/>
  <c r="R190" i="16" s="1"/>
  <c r="S191" i="16" s="1"/>
  <c r="T192" i="16" s="1"/>
  <c r="P189" i="16"/>
  <c r="AI42" i="3"/>
  <c r="O42" i="3"/>
  <c r="N42" i="3"/>
  <c r="G41" i="4"/>
  <c r="I41" i="4" s="1"/>
  <c r="J41" i="4" s="1"/>
  <c r="H41" i="4"/>
  <c r="K144" i="3"/>
  <c r="L144" i="3" s="1"/>
  <c r="E146" i="3"/>
  <c r="J145" i="3"/>
  <c r="D145" i="3"/>
  <c r="H145" i="3" s="1"/>
  <c r="R145" i="3"/>
  <c r="D188" i="16"/>
  <c r="E188" i="16"/>
  <c r="F148" i="3"/>
  <c r="F189" i="16" l="1"/>
  <c r="G189" i="16"/>
  <c r="H190" i="16" s="1"/>
  <c r="I191" i="16" s="1"/>
  <c r="J192" i="16" s="1"/>
  <c r="K193" i="16" s="1"/>
  <c r="L194" i="16" s="1"/>
  <c r="P42" i="3"/>
  <c r="Q42" i="3" s="1"/>
  <c r="L42" i="4" s="1"/>
  <c r="Q190" i="16"/>
  <c r="R191" i="16" s="1"/>
  <c r="S192" i="16" s="1"/>
  <c r="T193" i="16" s="1"/>
  <c r="P190" i="16"/>
  <c r="K41" i="4"/>
  <c r="M41" i="4"/>
  <c r="D189" i="16"/>
  <c r="E189" i="16"/>
  <c r="F190" i="16" s="1"/>
  <c r="S145" i="3"/>
  <c r="T145" i="3" s="1"/>
  <c r="U145" i="3"/>
  <c r="I145" i="3"/>
  <c r="D145" i="4" s="1"/>
  <c r="E145" i="4"/>
  <c r="F145" i="4" s="1"/>
  <c r="E147" i="3"/>
  <c r="R146" i="3"/>
  <c r="J146" i="3"/>
  <c r="D146" i="3"/>
  <c r="H146" i="3" s="1"/>
  <c r="F149" i="3"/>
  <c r="K145" i="3"/>
  <c r="L145" i="3" s="1"/>
  <c r="G190" i="16" l="1"/>
  <c r="H191" i="16" s="1"/>
  <c r="I192" i="16" s="1"/>
  <c r="J193" i="16" s="1"/>
  <c r="K194" i="16" s="1"/>
  <c r="L195" i="16" s="1"/>
  <c r="V42" i="3"/>
  <c r="W42" i="3" s="1"/>
  <c r="X42" i="3" s="1"/>
  <c r="Y42" i="3" s="1"/>
  <c r="Z42" i="3" s="1"/>
  <c r="AA42" i="3" s="1"/>
  <c r="AB42" i="3" s="1"/>
  <c r="K146" i="3"/>
  <c r="L146" i="3" s="1"/>
  <c r="E190" i="16"/>
  <c r="D190" i="16"/>
  <c r="F150" i="3"/>
  <c r="E146" i="4"/>
  <c r="F146" i="4" s="1"/>
  <c r="I146" i="3"/>
  <c r="D146" i="4" s="1"/>
  <c r="E148" i="3"/>
  <c r="D147" i="3"/>
  <c r="H147" i="3" s="1"/>
  <c r="J147" i="3"/>
  <c r="R147" i="3"/>
  <c r="P191" i="16"/>
  <c r="Q191" i="16"/>
  <c r="R192" i="16" s="1"/>
  <c r="S193" i="16" s="1"/>
  <c r="T194" i="16" s="1"/>
  <c r="S146" i="3"/>
  <c r="T146" i="3" s="1"/>
  <c r="U146" i="3"/>
  <c r="F191" i="16" l="1"/>
  <c r="G191" i="16"/>
  <c r="H192" i="16" s="1"/>
  <c r="I193" i="16" s="1"/>
  <c r="J194" i="16" s="1"/>
  <c r="K195" i="16" s="1"/>
  <c r="L196" i="16" s="1"/>
  <c r="C42" i="4"/>
  <c r="M43" i="3"/>
  <c r="AC42" i="3"/>
  <c r="AD42" i="3" s="1"/>
  <c r="F151" i="3"/>
  <c r="E149" i="3"/>
  <c r="D148" i="3"/>
  <c r="H148" i="3" s="1"/>
  <c r="R148" i="3"/>
  <c r="J148" i="3"/>
  <c r="I147" i="3"/>
  <c r="D147" i="4" s="1"/>
  <c r="E147" i="4"/>
  <c r="F147" i="4" s="1"/>
  <c r="P192" i="16"/>
  <c r="Q192" i="16"/>
  <c r="R193" i="16" s="1"/>
  <c r="S194" i="16" s="1"/>
  <c r="T195" i="16" s="1"/>
  <c r="U147" i="3"/>
  <c r="S147" i="3"/>
  <c r="T147" i="3" s="1"/>
  <c r="E191" i="16"/>
  <c r="F192" i="16" s="1"/>
  <c r="D191" i="16"/>
  <c r="K147" i="3"/>
  <c r="L147" i="3" s="1"/>
  <c r="G192" i="16" l="1"/>
  <c r="H193" i="16" s="1"/>
  <c r="I194" i="16" s="1"/>
  <c r="J195" i="16" s="1"/>
  <c r="K196" i="16" s="1"/>
  <c r="L197" i="16" s="1"/>
  <c r="U148" i="3"/>
  <c r="S148" i="3"/>
  <c r="T148" i="3" s="1"/>
  <c r="D192" i="16"/>
  <c r="E192" i="16"/>
  <c r="E148" i="4"/>
  <c r="F148" i="4" s="1"/>
  <c r="I148" i="3"/>
  <c r="D148" i="4" s="1"/>
  <c r="P193" i="16"/>
  <c r="Q193" i="16"/>
  <c r="R194" i="16" s="1"/>
  <c r="S195" i="16" s="1"/>
  <c r="T196" i="16" s="1"/>
  <c r="K148" i="3"/>
  <c r="L148" i="3" s="1"/>
  <c r="E150" i="3"/>
  <c r="D149" i="3"/>
  <c r="H149" i="3" s="1"/>
  <c r="J149" i="3"/>
  <c r="R149" i="3"/>
  <c r="F152" i="3"/>
  <c r="N43" i="3"/>
  <c r="AI43" i="3"/>
  <c r="O43" i="3"/>
  <c r="G42" i="4"/>
  <c r="I42" i="4" s="1"/>
  <c r="J42" i="4" s="1"/>
  <c r="H42" i="4"/>
  <c r="F193" i="16" l="1"/>
  <c r="G193" i="16"/>
  <c r="H194" i="16" s="1"/>
  <c r="I195" i="16" s="1"/>
  <c r="J196" i="16" s="1"/>
  <c r="K197" i="16" s="1"/>
  <c r="L198" i="16" s="1"/>
  <c r="P43" i="3"/>
  <c r="Q43" i="3" s="1"/>
  <c r="L43" i="4" s="1"/>
  <c r="K149" i="3"/>
  <c r="L149" i="3" s="1"/>
  <c r="E151" i="3"/>
  <c r="R150" i="3"/>
  <c r="J150" i="3"/>
  <c r="D150" i="3"/>
  <c r="H150" i="3" s="1"/>
  <c r="M42" i="4"/>
  <c r="K42" i="4"/>
  <c r="E149" i="4"/>
  <c r="F149" i="4" s="1"/>
  <c r="I149" i="3"/>
  <c r="D149" i="4" s="1"/>
  <c r="P194" i="16"/>
  <c r="Q194" i="16"/>
  <c r="R195" i="16" s="1"/>
  <c r="S196" i="16" s="1"/>
  <c r="T197" i="16" s="1"/>
  <c r="D193" i="16"/>
  <c r="E193" i="16"/>
  <c r="F194" i="16" s="1"/>
  <c r="F153" i="3"/>
  <c r="U149" i="3"/>
  <c r="S149" i="3"/>
  <c r="T149" i="3" s="1"/>
  <c r="G194" i="16" l="1"/>
  <c r="H195" i="16" s="1"/>
  <c r="I196" i="16" s="1"/>
  <c r="J197" i="16" s="1"/>
  <c r="K198" i="16" s="1"/>
  <c r="L199" i="16" s="1"/>
  <c r="V43" i="3"/>
  <c r="W43" i="3" s="1"/>
  <c r="X43" i="3" s="1"/>
  <c r="Y43" i="3" s="1"/>
  <c r="Z43" i="3" s="1"/>
  <c r="AA43" i="3" s="1"/>
  <c r="AB43" i="3" s="1"/>
  <c r="Q195" i="16"/>
  <c r="R196" i="16" s="1"/>
  <c r="S197" i="16" s="1"/>
  <c r="T198" i="16" s="1"/>
  <c r="P195" i="16"/>
  <c r="E152" i="3"/>
  <c r="R151" i="3"/>
  <c r="J151" i="3"/>
  <c r="D151" i="3"/>
  <c r="H151" i="3" s="1"/>
  <c r="K150" i="3"/>
  <c r="L150" i="3" s="1"/>
  <c r="F154" i="3"/>
  <c r="E194" i="16"/>
  <c r="F195" i="16" s="1"/>
  <c r="D194" i="16"/>
  <c r="E150" i="4"/>
  <c r="F150" i="4" s="1"/>
  <c r="I150" i="3"/>
  <c r="D150" i="4" s="1"/>
  <c r="S150" i="3"/>
  <c r="T150" i="3" s="1"/>
  <c r="U150" i="3"/>
  <c r="G195" i="16" l="1"/>
  <c r="H196" i="16" s="1"/>
  <c r="I197" i="16" s="1"/>
  <c r="J198" i="16" s="1"/>
  <c r="K199" i="16" s="1"/>
  <c r="L200" i="16" s="1"/>
  <c r="M44" i="3"/>
  <c r="AC43" i="3"/>
  <c r="AD43" i="3" s="1"/>
  <c r="C43" i="4"/>
  <c r="F155" i="3"/>
  <c r="P196" i="16"/>
  <c r="Q196" i="16"/>
  <c r="R197" i="16" s="1"/>
  <c r="S198" i="16" s="1"/>
  <c r="T199" i="16" s="1"/>
  <c r="K151" i="3"/>
  <c r="L151" i="3" s="1"/>
  <c r="S151" i="3"/>
  <c r="T151" i="3" s="1"/>
  <c r="U151" i="3"/>
  <c r="E195" i="16"/>
  <c r="D195" i="16"/>
  <c r="I151" i="3"/>
  <c r="D151" i="4" s="1"/>
  <c r="E151" i="4"/>
  <c r="F151" i="4" s="1"/>
  <c r="E153" i="3"/>
  <c r="J152" i="3"/>
  <c r="R152" i="3"/>
  <c r="D152" i="3"/>
  <c r="H152" i="3" s="1"/>
  <c r="F196" i="16" l="1"/>
  <c r="G196" i="16"/>
  <c r="H197" i="16" s="1"/>
  <c r="I198" i="16" s="1"/>
  <c r="J199" i="16" s="1"/>
  <c r="K200" i="16" s="1"/>
  <c r="L201" i="16" s="1"/>
  <c r="U152" i="3"/>
  <c r="S152" i="3"/>
  <c r="T152" i="3" s="1"/>
  <c r="Q197" i="16"/>
  <c r="R198" i="16" s="1"/>
  <c r="S199" i="16" s="1"/>
  <c r="T200" i="16" s="1"/>
  <c r="P197" i="16"/>
  <c r="E154" i="3"/>
  <c r="D153" i="3"/>
  <c r="H153" i="3" s="1"/>
  <c r="J153" i="3"/>
  <c r="R153" i="3"/>
  <c r="F156" i="3"/>
  <c r="E152" i="4"/>
  <c r="F152" i="4" s="1"/>
  <c r="I152" i="3"/>
  <c r="D152" i="4" s="1"/>
  <c r="H43" i="4"/>
  <c r="G43" i="4"/>
  <c r="I43" i="4" s="1"/>
  <c r="J43" i="4" s="1"/>
  <c r="E196" i="16"/>
  <c r="F197" i="16" s="1"/>
  <c r="D196" i="16"/>
  <c r="K152" i="3"/>
  <c r="L152" i="3" s="1"/>
  <c r="AI44" i="3"/>
  <c r="N44" i="3"/>
  <c r="O44" i="3"/>
  <c r="G197" i="16" l="1"/>
  <c r="H198" i="16" s="1"/>
  <c r="I199" i="16" s="1"/>
  <c r="J200" i="16" s="1"/>
  <c r="K201" i="16" s="1"/>
  <c r="L202" i="16" s="1"/>
  <c r="P44" i="3"/>
  <c r="Q44" i="3" s="1"/>
  <c r="L44" i="4" s="1"/>
  <c r="K153" i="3"/>
  <c r="L153" i="3" s="1"/>
  <c r="E155" i="3"/>
  <c r="J154" i="3"/>
  <c r="R154" i="3"/>
  <c r="D154" i="3"/>
  <c r="H154" i="3" s="1"/>
  <c r="M43" i="4"/>
  <c r="K43" i="4"/>
  <c r="F157" i="3"/>
  <c r="S153" i="3"/>
  <c r="T153" i="3" s="1"/>
  <c r="U153" i="3"/>
  <c r="I153" i="3"/>
  <c r="D153" i="4" s="1"/>
  <c r="E153" i="4"/>
  <c r="F153" i="4" s="1"/>
  <c r="Q198" i="16"/>
  <c r="R199" i="16" s="1"/>
  <c r="S200" i="16" s="1"/>
  <c r="T201" i="16" s="1"/>
  <c r="P198" i="16"/>
  <c r="E197" i="16"/>
  <c r="F198" i="16" s="1"/>
  <c r="D197" i="16"/>
  <c r="G198" i="16" l="1"/>
  <c r="H199" i="16" s="1"/>
  <c r="I200" i="16" s="1"/>
  <c r="J201" i="16" s="1"/>
  <c r="K202" i="16" s="1"/>
  <c r="L203" i="16" s="1"/>
  <c r="V44" i="3"/>
  <c r="F158" i="3"/>
  <c r="E198" i="16"/>
  <c r="D198" i="16"/>
  <c r="E154" i="4"/>
  <c r="F154" i="4" s="1"/>
  <c r="I154" i="3"/>
  <c r="D154" i="4" s="1"/>
  <c r="U154" i="3"/>
  <c r="S154" i="3"/>
  <c r="T154" i="3" s="1"/>
  <c r="E156" i="3"/>
  <c r="J155" i="3"/>
  <c r="D155" i="3"/>
  <c r="H155" i="3" s="1"/>
  <c r="R155" i="3"/>
  <c r="W44" i="3"/>
  <c r="X44" i="3" s="1"/>
  <c r="Y44" i="3" s="1"/>
  <c r="Z44" i="3" s="1"/>
  <c r="AA44" i="3" s="1"/>
  <c r="AB44" i="3" s="1"/>
  <c r="K154" i="3"/>
  <c r="L154" i="3" s="1"/>
  <c r="P199" i="16"/>
  <c r="Q199" i="16"/>
  <c r="R200" i="16" s="1"/>
  <c r="S201" i="16" s="1"/>
  <c r="T202" i="16" s="1"/>
  <c r="F199" i="16" l="1"/>
  <c r="G199" i="16"/>
  <c r="H200" i="16" s="1"/>
  <c r="I201" i="16" s="1"/>
  <c r="J202" i="16" s="1"/>
  <c r="K203" i="16" s="1"/>
  <c r="L204" i="16" s="1"/>
  <c r="C44" i="4"/>
  <c r="M45" i="3"/>
  <c r="AC44" i="3"/>
  <c r="AD44" i="3" s="1"/>
  <c r="U155" i="3"/>
  <c r="S155" i="3"/>
  <c r="T155" i="3" s="1"/>
  <c r="E157" i="3"/>
  <c r="D156" i="3"/>
  <c r="H156" i="3" s="1"/>
  <c r="R156" i="3"/>
  <c r="J156" i="3"/>
  <c r="I155" i="3"/>
  <c r="D155" i="4" s="1"/>
  <c r="E155" i="4"/>
  <c r="F155" i="4" s="1"/>
  <c r="P200" i="16"/>
  <c r="Q200" i="16"/>
  <c r="R201" i="16" s="1"/>
  <c r="S202" i="16" s="1"/>
  <c r="T203" i="16" s="1"/>
  <c r="K155" i="3"/>
  <c r="L155" i="3" s="1"/>
  <c r="F159" i="3"/>
  <c r="E199" i="16"/>
  <c r="D199" i="16"/>
  <c r="F200" i="16" l="1"/>
  <c r="G200" i="16"/>
  <c r="H201" i="16" s="1"/>
  <c r="I202" i="16" s="1"/>
  <c r="J203" i="16" s="1"/>
  <c r="K204" i="16" s="1"/>
  <c r="L205" i="16" s="1"/>
  <c r="K156" i="3"/>
  <c r="L156" i="3" s="1"/>
  <c r="I156" i="3"/>
  <c r="D156" i="4" s="1"/>
  <c r="E156" i="4"/>
  <c r="F156" i="4" s="1"/>
  <c r="Q201" i="16"/>
  <c r="R202" i="16" s="1"/>
  <c r="S203" i="16" s="1"/>
  <c r="T204" i="16" s="1"/>
  <c r="P201" i="16"/>
  <c r="U156" i="3"/>
  <c r="S156" i="3"/>
  <c r="T156" i="3" s="1"/>
  <c r="D200" i="16"/>
  <c r="E200" i="16"/>
  <c r="E158" i="3"/>
  <c r="D157" i="3"/>
  <c r="H157" i="3" s="1"/>
  <c r="R157" i="3"/>
  <c r="J157" i="3"/>
  <c r="F160" i="3"/>
  <c r="O45" i="3"/>
  <c r="N45" i="3"/>
  <c r="AI45" i="3"/>
  <c r="H44" i="4"/>
  <c r="G44" i="4"/>
  <c r="I44" i="4" s="1"/>
  <c r="J44" i="4" s="1"/>
  <c r="F201" i="16" l="1"/>
  <c r="G201" i="16"/>
  <c r="H202" i="16" s="1"/>
  <c r="I203" i="16" s="1"/>
  <c r="J204" i="16" s="1"/>
  <c r="K205" i="16" s="1"/>
  <c r="L206" i="16" s="1"/>
  <c r="P45" i="3"/>
  <c r="Q45" i="3" s="1"/>
  <c r="L45" i="4" s="1"/>
  <c r="K157" i="3"/>
  <c r="L157" i="3" s="1"/>
  <c r="S157" i="3"/>
  <c r="T157" i="3" s="1"/>
  <c r="U157" i="3"/>
  <c r="E159" i="3"/>
  <c r="R158" i="3"/>
  <c r="D158" i="3"/>
  <c r="H158" i="3" s="1"/>
  <c r="J158" i="3"/>
  <c r="K44" i="4"/>
  <c r="M44" i="4"/>
  <c r="I157" i="3"/>
  <c r="D157" i="4" s="1"/>
  <c r="E157" i="4"/>
  <c r="F157" i="4" s="1"/>
  <c r="D201" i="16"/>
  <c r="E201" i="16"/>
  <c r="P202" i="16"/>
  <c r="Q202" i="16"/>
  <c r="R203" i="16" s="1"/>
  <c r="S204" i="16" s="1"/>
  <c r="T205" i="16" s="1"/>
  <c r="F161" i="3"/>
  <c r="F202" i="16" l="1"/>
  <c r="G202" i="16"/>
  <c r="H203" i="16" s="1"/>
  <c r="I204" i="16" s="1"/>
  <c r="P203" i="16"/>
  <c r="Q203" i="16"/>
  <c r="R204" i="16" s="1"/>
  <c r="S205" i="16" s="1"/>
  <c r="T206" i="16" s="1"/>
  <c r="V45" i="3"/>
  <c r="W45" i="3" s="1"/>
  <c r="X45" i="3" s="1"/>
  <c r="Y45" i="3" s="1"/>
  <c r="Z45" i="3" s="1"/>
  <c r="AA45" i="3" s="1"/>
  <c r="AB45" i="3" s="1"/>
  <c r="K158" i="3"/>
  <c r="L158" i="3" s="1"/>
  <c r="F162" i="3"/>
  <c r="E202" i="16"/>
  <c r="F203" i="16" s="1"/>
  <c r="D202" i="16"/>
  <c r="I158" i="3"/>
  <c r="D158" i="4" s="1"/>
  <c r="E158" i="4"/>
  <c r="F158" i="4" s="1"/>
  <c r="E160" i="3"/>
  <c r="R159" i="3"/>
  <c r="J159" i="3"/>
  <c r="D159" i="3"/>
  <c r="H159" i="3" s="1"/>
  <c r="S158" i="3"/>
  <c r="T158" i="3" s="1"/>
  <c r="U158" i="3"/>
  <c r="P204" i="16" l="1"/>
  <c r="Q204" i="16"/>
  <c r="R205" i="16" s="1"/>
  <c r="S206" i="16" s="1"/>
  <c r="T207" i="16" s="1"/>
  <c r="G203" i="16"/>
  <c r="H204" i="16" s="1"/>
  <c r="I205" i="16" s="1"/>
  <c r="J205" i="16"/>
  <c r="K206" i="16" s="1"/>
  <c r="L207" i="16" s="1"/>
  <c r="E203" i="16"/>
  <c r="D203" i="16"/>
  <c r="D204" i="16" s="1"/>
  <c r="K159" i="3"/>
  <c r="L159" i="3" s="1"/>
  <c r="I159" i="3"/>
  <c r="D159" i="4" s="1"/>
  <c r="E159" i="4"/>
  <c r="F159" i="4" s="1"/>
  <c r="E161" i="3"/>
  <c r="R160" i="3"/>
  <c r="J160" i="3"/>
  <c r="D160" i="3"/>
  <c r="H160" i="3" s="1"/>
  <c r="U159" i="3"/>
  <c r="S159" i="3"/>
  <c r="T159" i="3" s="1"/>
  <c r="F163" i="3"/>
  <c r="C45" i="4"/>
  <c r="AC45" i="3"/>
  <c r="AD45" i="3" s="1"/>
  <c r="M46" i="3"/>
  <c r="J206" i="16" l="1"/>
  <c r="K207" i="16" s="1"/>
  <c r="L208" i="16" s="1"/>
  <c r="E204" i="16"/>
  <c r="F204" i="16"/>
  <c r="Q205" i="16"/>
  <c r="R206" i="16" s="1"/>
  <c r="S207" i="16" s="1"/>
  <c r="T208" i="16" s="1"/>
  <c r="P205" i="16"/>
  <c r="G204" i="16"/>
  <c r="H205" i="16" s="1"/>
  <c r="I206" i="16" s="1"/>
  <c r="J207" i="16" s="1"/>
  <c r="K208" i="16" s="1"/>
  <c r="G45" i="4"/>
  <c r="I45" i="4" s="1"/>
  <c r="J45" i="4" s="1"/>
  <c r="H45" i="4"/>
  <c r="F164" i="3"/>
  <c r="I160" i="3"/>
  <c r="D160" i="4" s="1"/>
  <c r="E160" i="4"/>
  <c r="F160" i="4" s="1"/>
  <c r="U160" i="3"/>
  <c r="S160" i="3"/>
  <c r="T160" i="3" s="1"/>
  <c r="N46" i="3"/>
  <c r="AI46" i="3"/>
  <c r="O46" i="3"/>
  <c r="K160" i="3"/>
  <c r="L160" i="3" s="1"/>
  <c r="E162" i="3"/>
  <c r="D161" i="3"/>
  <c r="H161" i="3" s="1"/>
  <c r="J161" i="3"/>
  <c r="R161" i="3"/>
  <c r="L209" i="16" l="1"/>
  <c r="G205" i="16"/>
  <c r="H206" i="16" s="1"/>
  <c r="I207" i="16" s="1"/>
  <c r="J208" i="16" s="1"/>
  <c r="K209" i="16" s="1"/>
  <c r="L210" i="16" s="1"/>
  <c r="P206" i="16"/>
  <c r="Q206" i="16"/>
  <c r="R207" i="16" s="1"/>
  <c r="S208" i="16" s="1"/>
  <c r="T209" i="16" s="1"/>
  <c r="F205" i="16"/>
  <c r="D205" i="16"/>
  <c r="E205" i="16"/>
  <c r="P46" i="3"/>
  <c r="Q46" i="3" s="1"/>
  <c r="L46" i="4" s="1"/>
  <c r="E163" i="3"/>
  <c r="D162" i="3"/>
  <c r="H162" i="3" s="1"/>
  <c r="J162" i="3"/>
  <c r="R162" i="3"/>
  <c r="F165" i="3"/>
  <c r="S161" i="3"/>
  <c r="T161" i="3" s="1"/>
  <c r="U161" i="3"/>
  <c r="K161" i="3"/>
  <c r="L161" i="3" s="1"/>
  <c r="I161" i="3"/>
  <c r="D161" i="4" s="1"/>
  <c r="E161" i="4"/>
  <c r="F161" i="4" s="1"/>
  <c r="K45" i="4"/>
  <c r="M45" i="4"/>
  <c r="F206" i="16" l="1"/>
  <c r="G207" i="16" s="1"/>
  <c r="H208" i="16" s="1"/>
  <c r="I209" i="16" s="1"/>
  <c r="J210" i="16" s="1"/>
  <c r="K211" i="16" s="1"/>
  <c r="G206" i="16"/>
  <c r="H207" i="16" s="1"/>
  <c r="I208" i="16" s="1"/>
  <c r="J209" i="16" s="1"/>
  <c r="K210" i="16" s="1"/>
  <c r="L211" i="16" s="1"/>
  <c r="D206" i="16"/>
  <c r="E206" i="16"/>
  <c r="F207" i="16" s="1"/>
  <c r="G208" i="16" s="1"/>
  <c r="H209" i="16" s="1"/>
  <c r="I210" i="16" s="1"/>
  <c r="J211" i="16" s="1"/>
  <c r="Q207" i="16"/>
  <c r="R208" i="16" s="1"/>
  <c r="S209" i="16" s="1"/>
  <c r="T210" i="16" s="1"/>
  <c r="P207" i="16"/>
  <c r="V46" i="3"/>
  <c r="W46" i="3" s="1"/>
  <c r="X46" i="3" s="1"/>
  <c r="Y46" i="3" s="1"/>
  <c r="Z46" i="3" s="1"/>
  <c r="AA46" i="3" s="1"/>
  <c r="AB46" i="3" s="1"/>
  <c r="K162" i="3"/>
  <c r="L162" i="3" s="1"/>
  <c r="F166" i="3"/>
  <c r="U162" i="3"/>
  <c r="S162" i="3"/>
  <c r="T162" i="3" s="1"/>
  <c r="I162" i="3"/>
  <c r="D162" i="4" s="1"/>
  <c r="E162" i="4"/>
  <c r="F162" i="4" s="1"/>
  <c r="E164" i="3"/>
  <c r="D163" i="3"/>
  <c r="H163" i="3" s="1"/>
  <c r="R163" i="3"/>
  <c r="J163" i="3"/>
  <c r="L212" i="16" l="1"/>
  <c r="L213" i="16" s="1"/>
  <c r="K212" i="16"/>
  <c r="D207" i="16"/>
  <c r="E207" i="16"/>
  <c r="F208" i="16" s="1"/>
  <c r="G209" i="16" s="1"/>
  <c r="H210" i="16" s="1"/>
  <c r="I211" i="16" s="1"/>
  <c r="J212" i="16" s="1"/>
  <c r="K213" i="16" s="1"/>
  <c r="Q208" i="16"/>
  <c r="R209" i="16" s="1"/>
  <c r="S210" i="16" s="1"/>
  <c r="T211" i="16" s="1"/>
  <c r="P208" i="16"/>
  <c r="K163" i="3"/>
  <c r="L163" i="3" s="1"/>
  <c r="C46" i="4"/>
  <c r="M47" i="3"/>
  <c r="AC46" i="3"/>
  <c r="AD46" i="3" s="1"/>
  <c r="S163" i="3"/>
  <c r="T163" i="3" s="1"/>
  <c r="U163" i="3"/>
  <c r="E165" i="3"/>
  <c r="D164" i="3"/>
  <c r="H164" i="3" s="1"/>
  <c r="R164" i="3"/>
  <c r="J164" i="3"/>
  <c r="F167" i="3"/>
  <c r="E163" i="4"/>
  <c r="F163" i="4" s="1"/>
  <c r="I163" i="3"/>
  <c r="D163" i="4" s="1"/>
  <c r="L214" i="16" l="1"/>
  <c r="P209" i="16"/>
  <c r="Q209" i="16"/>
  <c r="R210" i="16" s="1"/>
  <c r="S211" i="16" s="1"/>
  <c r="T212" i="16" s="1"/>
  <c r="D208" i="16"/>
  <c r="E208" i="16"/>
  <c r="F209" i="16" s="1"/>
  <c r="G210" i="16" s="1"/>
  <c r="H211" i="16" s="1"/>
  <c r="I212" i="16" s="1"/>
  <c r="J213" i="16" s="1"/>
  <c r="K214" i="16" s="1"/>
  <c r="L215" i="16" s="1"/>
  <c r="K164" i="3"/>
  <c r="L164" i="3" s="1"/>
  <c r="F168" i="3"/>
  <c r="S164" i="3"/>
  <c r="T164" i="3" s="1"/>
  <c r="U164" i="3"/>
  <c r="E166" i="3"/>
  <c r="D165" i="3"/>
  <c r="H165" i="3" s="1"/>
  <c r="J165" i="3"/>
  <c r="R165" i="3"/>
  <c r="I164" i="3"/>
  <c r="D164" i="4" s="1"/>
  <c r="E164" i="4"/>
  <c r="F164" i="4" s="1"/>
  <c r="N47" i="3"/>
  <c r="AI47" i="3"/>
  <c r="O47" i="3"/>
  <c r="H46" i="4"/>
  <c r="G46" i="4"/>
  <c r="I46" i="4" s="1"/>
  <c r="J46" i="4" s="1"/>
  <c r="D209" i="16" l="1"/>
  <c r="E209" i="16"/>
  <c r="F210" i="16" s="1"/>
  <c r="G211" i="16" s="1"/>
  <c r="H212" i="16" s="1"/>
  <c r="I213" i="16" s="1"/>
  <c r="J214" i="16" s="1"/>
  <c r="K215" i="16" s="1"/>
  <c r="L216" i="16" s="1"/>
  <c r="P210" i="16"/>
  <c r="Q210" i="16"/>
  <c r="R211" i="16" s="1"/>
  <c r="S212" i="16" s="1"/>
  <c r="T213" i="16" s="1"/>
  <c r="P47" i="3"/>
  <c r="Q47" i="3" s="1"/>
  <c r="L47" i="4" s="1"/>
  <c r="E165" i="4"/>
  <c r="F165" i="4" s="1"/>
  <c r="I165" i="3"/>
  <c r="D165" i="4" s="1"/>
  <c r="K165" i="3"/>
  <c r="L165" i="3" s="1"/>
  <c r="K46" i="4"/>
  <c r="M46" i="4"/>
  <c r="U165" i="3"/>
  <c r="S165" i="3"/>
  <c r="T165" i="3" s="1"/>
  <c r="E167" i="3"/>
  <c r="D166" i="3"/>
  <c r="H166" i="3" s="1"/>
  <c r="J166" i="3"/>
  <c r="R166" i="3"/>
  <c r="F169" i="3"/>
  <c r="V47" i="3" l="1"/>
  <c r="W47" i="3" s="1"/>
  <c r="X47" i="3" s="1"/>
  <c r="Y47" i="3" s="1"/>
  <c r="Z47" i="3" s="1"/>
  <c r="AA47" i="3" s="1"/>
  <c r="AB47" i="3" s="1"/>
  <c r="P211" i="16"/>
  <c r="Q211" i="16"/>
  <c r="R212" i="16" s="1"/>
  <c r="S213" i="16" s="1"/>
  <c r="T214" i="16" s="1"/>
  <c r="D210" i="16"/>
  <c r="E210" i="16"/>
  <c r="F211" i="16" s="1"/>
  <c r="G212" i="16" s="1"/>
  <c r="H213" i="16" s="1"/>
  <c r="I214" i="16" s="1"/>
  <c r="J215" i="16" s="1"/>
  <c r="K216" i="16" s="1"/>
  <c r="L217" i="16" s="1"/>
  <c r="F170" i="3"/>
  <c r="K166" i="3"/>
  <c r="L166" i="3" s="1"/>
  <c r="E168" i="3"/>
  <c r="D167" i="3"/>
  <c r="H167" i="3" s="1"/>
  <c r="R167" i="3"/>
  <c r="J167" i="3"/>
  <c r="E166" i="4"/>
  <c r="F166" i="4" s="1"/>
  <c r="I166" i="3"/>
  <c r="D166" i="4" s="1"/>
  <c r="S166" i="3"/>
  <c r="T166" i="3" s="1"/>
  <c r="U166" i="3"/>
  <c r="D211" i="16" l="1"/>
  <c r="E211" i="16"/>
  <c r="F212" i="16" s="1"/>
  <c r="G213" i="16" s="1"/>
  <c r="H214" i="16" s="1"/>
  <c r="I215" i="16" s="1"/>
  <c r="J216" i="16" s="1"/>
  <c r="K217" i="16" s="1"/>
  <c r="L218" i="16" s="1"/>
  <c r="P212" i="16"/>
  <c r="Q212" i="16"/>
  <c r="R213" i="16" s="1"/>
  <c r="S214" i="16" s="1"/>
  <c r="T215" i="16" s="1"/>
  <c r="AC47" i="3"/>
  <c r="AD47" i="3" s="1"/>
  <c r="C47" i="4"/>
  <c r="M48" i="3"/>
  <c r="K167" i="3"/>
  <c r="L167" i="3" s="1"/>
  <c r="E169" i="3"/>
  <c r="D168" i="3"/>
  <c r="H168" i="3" s="1"/>
  <c r="R168" i="3"/>
  <c r="J168" i="3"/>
  <c r="I167" i="3"/>
  <c r="D167" i="4" s="1"/>
  <c r="E167" i="4"/>
  <c r="F167" i="4" s="1"/>
  <c r="F171" i="3"/>
  <c r="U167" i="3"/>
  <c r="S167" i="3"/>
  <c r="T167" i="3" s="1"/>
  <c r="P213" i="16" l="1"/>
  <c r="Q213" i="16"/>
  <c r="R214" i="16" s="1"/>
  <c r="S215" i="16" s="1"/>
  <c r="T216" i="16" s="1"/>
  <c r="D212" i="16"/>
  <c r="E212" i="16"/>
  <c r="F213" i="16" s="1"/>
  <c r="G214" i="16" s="1"/>
  <c r="H215" i="16" s="1"/>
  <c r="I216" i="16" s="1"/>
  <c r="J217" i="16" s="1"/>
  <c r="K218" i="16" s="1"/>
  <c r="L219" i="16" s="1"/>
  <c r="K168" i="3"/>
  <c r="L168" i="3" s="1"/>
  <c r="F172" i="3"/>
  <c r="E168" i="4"/>
  <c r="F168" i="4" s="1"/>
  <c r="I168" i="3"/>
  <c r="D168" i="4" s="1"/>
  <c r="AI48" i="3"/>
  <c r="N48" i="3"/>
  <c r="O48" i="3"/>
  <c r="G47" i="4"/>
  <c r="I47" i="4" s="1"/>
  <c r="J47" i="4" s="1"/>
  <c r="H47" i="4"/>
  <c r="S168" i="3"/>
  <c r="T168" i="3" s="1"/>
  <c r="U168" i="3"/>
  <c r="E170" i="3"/>
  <c r="J169" i="3"/>
  <c r="R169" i="3"/>
  <c r="D169" i="3"/>
  <c r="H169" i="3" s="1"/>
  <c r="D213" i="16" l="1"/>
  <c r="E213" i="16"/>
  <c r="F214" i="16" s="1"/>
  <c r="G215" i="16" s="1"/>
  <c r="H216" i="16" s="1"/>
  <c r="I217" i="16" s="1"/>
  <c r="J218" i="16" s="1"/>
  <c r="K219" i="16" s="1"/>
  <c r="L220" i="16" s="1"/>
  <c r="P214" i="16"/>
  <c r="Q214" i="16"/>
  <c r="R215" i="16" s="1"/>
  <c r="S216" i="16" s="1"/>
  <c r="T217" i="16" s="1"/>
  <c r="K169" i="3"/>
  <c r="L169" i="3" s="1"/>
  <c r="P48" i="3"/>
  <c r="Q48" i="3" s="1"/>
  <c r="L48" i="4" s="1"/>
  <c r="K47" i="4"/>
  <c r="M47" i="4"/>
  <c r="E171" i="3"/>
  <c r="J170" i="3"/>
  <c r="D170" i="3"/>
  <c r="H170" i="3" s="1"/>
  <c r="R170" i="3"/>
  <c r="F173" i="3"/>
  <c r="I169" i="3"/>
  <c r="D169" i="4" s="1"/>
  <c r="E169" i="4"/>
  <c r="F169" i="4" s="1"/>
  <c r="U169" i="3"/>
  <c r="S169" i="3"/>
  <c r="T169" i="3" s="1"/>
  <c r="P215" i="16" l="1"/>
  <c r="Q215" i="16"/>
  <c r="R216" i="16" s="1"/>
  <c r="S217" i="16" s="1"/>
  <c r="T218" i="16" s="1"/>
  <c r="E214" i="16"/>
  <c r="F215" i="16" s="1"/>
  <c r="G216" i="16" s="1"/>
  <c r="H217" i="16" s="1"/>
  <c r="I218" i="16" s="1"/>
  <c r="J219" i="16" s="1"/>
  <c r="K220" i="16" s="1"/>
  <c r="L221" i="16" s="1"/>
  <c r="D214" i="16"/>
  <c r="V48" i="3"/>
  <c r="W48" i="3" s="1"/>
  <c r="X48" i="3" s="1"/>
  <c r="Y48" i="3" s="1"/>
  <c r="Z48" i="3" s="1"/>
  <c r="AA48" i="3" s="1"/>
  <c r="AB48" i="3" s="1"/>
  <c r="F174" i="3"/>
  <c r="U170" i="3"/>
  <c r="S170" i="3"/>
  <c r="T170" i="3" s="1"/>
  <c r="E172" i="3"/>
  <c r="J171" i="3"/>
  <c r="D171" i="3"/>
  <c r="H171" i="3" s="1"/>
  <c r="R171" i="3"/>
  <c r="I170" i="3"/>
  <c r="D170" i="4" s="1"/>
  <c r="E170" i="4"/>
  <c r="F170" i="4" s="1"/>
  <c r="K170" i="3"/>
  <c r="L170" i="3" s="1"/>
  <c r="D215" i="16" l="1"/>
  <c r="E215" i="16"/>
  <c r="F216" i="16" s="1"/>
  <c r="G217" i="16" s="1"/>
  <c r="H218" i="16" s="1"/>
  <c r="I219" i="16" s="1"/>
  <c r="J220" i="16" s="1"/>
  <c r="K221" i="16" s="1"/>
  <c r="L222" i="16" s="1"/>
  <c r="Q216" i="16"/>
  <c r="R217" i="16" s="1"/>
  <c r="S218" i="16" s="1"/>
  <c r="T219" i="16" s="1"/>
  <c r="P216" i="16"/>
  <c r="AC48" i="3"/>
  <c r="AD48" i="3" s="1"/>
  <c r="C48" i="4"/>
  <c r="M49" i="3"/>
  <c r="S171" i="3"/>
  <c r="T171" i="3" s="1"/>
  <c r="U171" i="3"/>
  <c r="K171" i="3"/>
  <c r="L171" i="3" s="1"/>
  <c r="I171" i="3"/>
  <c r="D171" i="4" s="1"/>
  <c r="E171" i="4"/>
  <c r="F171" i="4" s="1"/>
  <c r="E173" i="3"/>
  <c r="D172" i="3"/>
  <c r="H172" i="3" s="1"/>
  <c r="R172" i="3"/>
  <c r="J172" i="3"/>
  <c r="F175" i="3"/>
  <c r="P217" i="16" l="1"/>
  <c r="Q217" i="16"/>
  <c r="R218" i="16" s="1"/>
  <c r="S219" i="16" s="1"/>
  <c r="T220" i="16" s="1"/>
  <c r="D216" i="16"/>
  <c r="E216" i="16"/>
  <c r="F217" i="16" s="1"/>
  <c r="G218" i="16" s="1"/>
  <c r="H219" i="16" s="1"/>
  <c r="I220" i="16" s="1"/>
  <c r="J221" i="16" s="1"/>
  <c r="K222" i="16" s="1"/>
  <c r="L223" i="16" s="1"/>
  <c r="K172" i="3"/>
  <c r="L172" i="3" s="1"/>
  <c r="F176" i="3"/>
  <c r="E174" i="3"/>
  <c r="R173" i="3"/>
  <c r="D173" i="3"/>
  <c r="H173" i="3" s="1"/>
  <c r="J173" i="3"/>
  <c r="E172" i="4"/>
  <c r="F172" i="4" s="1"/>
  <c r="I172" i="3"/>
  <c r="D172" i="4" s="1"/>
  <c r="G48" i="4"/>
  <c r="I48" i="4" s="1"/>
  <c r="J48" i="4" s="1"/>
  <c r="H48" i="4"/>
  <c r="S172" i="3"/>
  <c r="T172" i="3" s="1"/>
  <c r="U172" i="3"/>
  <c r="N49" i="3"/>
  <c r="O49" i="3"/>
  <c r="AI49" i="3"/>
  <c r="D217" i="16" l="1"/>
  <c r="E217" i="16"/>
  <c r="F218" i="16" s="1"/>
  <c r="G219" i="16" s="1"/>
  <c r="H220" i="16" s="1"/>
  <c r="I221" i="16" s="1"/>
  <c r="J222" i="16" s="1"/>
  <c r="K223" i="16" s="1"/>
  <c r="L224" i="16" s="1"/>
  <c r="P218" i="16"/>
  <c r="Q218" i="16"/>
  <c r="R219" i="16" s="1"/>
  <c r="S220" i="16" s="1"/>
  <c r="T221" i="16" s="1"/>
  <c r="E175" i="3"/>
  <c r="J174" i="3"/>
  <c r="D174" i="3"/>
  <c r="H174" i="3" s="1"/>
  <c r="R174" i="3"/>
  <c r="M48" i="4"/>
  <c r="K48" i="4"/>
  <c r="K173" i="3"/>
  <c r="L173" i="3" s="1"/>
  <c r="U173" i="3"/>
  <c r="S173" i="3"/>
  <c r="T173" i="3" s="1"/>
  <c r="P49" i="3"/>
  <c r="Q49" i="3" s="1"/>
  <c r="I173" i="3"/>
  <c r="D173" i="4" s="1"/>
  <c r="E173" i="4"/>
  <c r="F173" i="4" s="1"/>
  <c r="F177" i="3"/>
  <c r="P219" i="16" l="1"/>
  <c r="Q219" i="16"/>
  <c r="R220" i="16" s="1"/>
  <c r="S221" i="16" s="1"/>
  <c r="T222" i="16" s="1"/>
  <c r="D218" i="16"/>
  <c r="E218" i="16"/>
  <c r="F219" i="16" s="1"/>
  <c r="G220" i="16" s="1"/>
  <c r="H221" i="16" s="1"/>
  <c r="I222" i="16" s="1"/>
  <c r="J223" i="16" s="1"/>
  <c r="K224" i="16" s="1"/>
  <c r="L225" i="16" s="1"/>
  <c r="F178" i="3"/>
  <c r="L49" i="4"/>
  <c r="V49" i="3"/>
  <c r="S174" i="3"/>
  <c r="T174" i="3" s="1"/>
  <c r="U174" i="3"/>
  <c r="E174" i="4"/>
  <c r="F174" i="4" s="1"/>
  <c r="I174" i="3"/>
  <c r="D174" i="4" s="1"/>
  <c r="K174" i="3"/>
  <c r="L174" i="3" s="1"/>
  <c r="E176" i="3"/>
  <c r="J175" i="3"/>
  <c r="D175" i="3"/>
  <c r="H175" i="3" s="1"/>
  <c r="R175" i="3"/>
  <c r="D219" i="16" l="1"/>
  <c r="E219" i="16"/>
  <c r="F220" i="16" s="1"/>
  <c r="G221" i="16" s="1"/>
  <c r="H222" i="16" s="1"/>
  <c r="I223" i="16" s="1"/>
  <c r="J224" i="16" s="1"/>
  <c r="K225" i="16" s="1"/>
  <c r="L226" i="16" s="1"/>
  <c r="P220" i="16"/>
  <c r="Q220" i="16"/>
  <c r="R221" i="16" s="1"/>
  <c r="S222" i="16" s="1"/>
  <c r="T223" i="16" s="1"/>
  <c r="K175" i="3"/>
  <c r="L175" i="3" s="1"/>
  <c r="W49" i="3"/>
  <c r="X49" i="3" s="1"/>
  <c r="Y49" i="3" s="1"/>
  <c r="Z49" i="3" s="1"/>
  <c r="AA49" i="3" s="1"/>
  <c r="AB49" i="3" s="1"/>
  <c r="E177" i="3"/>
  <c r="R176" i="3"/>
  <c r="D176" i="3"/>
  <c r="H176" i="3" s="1"/>
  <c r="J176" i="3"/>
  <c r="F179" i="3"/>
  <c r="U175" i="3"/>
  <c r="S175" i="3"/>
  <c r="T175" i="3" s="1"/>
  <c r="I175" i="3"/>
  <c r="D175" i="4" s="1"/>
  <c r="E175" i="4"/>
  <c r="F175" i="4" s="1"/>
  <c r="P221" i="16" l="1"/>
  <c r="Q221" i="16"/>
  <c r="R222" i="16" s="1"/>
  <c r="S223" i="16" s="1"/>
  <c r="T224" i="16" s="1"/>
  <c r="D220" i="16"/>
  <c r="E220" i="16"/>
  <c r="F221" i="16" s="1"/>
  <c r="G222" i="16" s="1"/>
  <c r="H223" i="16" s="1"/>
  <c r="I224" i="16" s="1"/>
  <c r="J225" i="16" s="1"/>
  <c r="K226" i="16" s="1"/>
  <c r="L227" i="16" s="1"/>
  <c r="K176" i="3"/>
  <c r="L176" i="3" s="1"/>
  <c r="C49" i="4"/>
  <c r="M50" i="3"/>
  <c r="AC49" i="3"/>
  <c r="AD49" i="3" s="1"/>
  <c r="F180" i="3"/>
  <c r="S176" i="3"/>
  <c r="T176" i="3" s="1"/>
  <c r="U176" i="3"/>
  <c r="I176" i="3"/>
  <c r="D176" i="4" s="1"/>
  <c r="E176" i="4"/>
  <c r="F176" i="4" s="1"/>
  <c r="E178" i="3"/>
  <c r="R177" i="3"/>
  <c r="D177" i="3"/>
  <c r="H177" i="3" s="1"/>
  <c r="J177" i="3"/>
  <c r="E221" i="16" l="1"/>
  <c r="F222" i="16" s="1"/>
  <c r="G223" i="16" s="1"/>
  <c r="H224" i="16" s="1"/>
  <c r="I225" i="16" s="1"/>
  <c r="J226" i="16" s="1"/>
  <c r="K227" i="16" s="1"/>
  <c r="L228" i="16" s="1"/>
  <c r="D221" i="16"/>
  <c r="P222" i="16"/>
  <c r="Q222" i="16"/>
  <c r="R223" i="16" s="1"/>
  <c r="S224" i="16" s="1"/>
  <c r="T225" i="16" s="1"/>
  <c r="S177" i="3"/>
  <c r="T177" i="3" s="1"/>
  <c r="U177" i="3"/>
  <c r="E177" i="4"/>
  <c r="F177" i="4" s="1"/>
  <c r="I177" i="3"/>
  <c r="D177" i="4" s="1"/>
  <c r="E179" i="3"/>
  <c r="J178" i="3"/>
  <c r="R178" i="3"/>
  <c r="D178" i="3"/>
  <c r="H178" i="3" s="1"/>
  <c r="O50" i="3"/>
  <c r="AI50" i="3"/>
  <c r="N50" i="3"/>
  <c r="F181" i="3"/>
  <c r="K177" i="3"/>
  <c r="L177" i="3" s="1"/>
  <c r="G49" i="4"/>
  <c r="I49" i="4" s="1"/>
  <c r="J49" i="4" s="1"/>
  <c r="H49" i="4"/>
  <c r="Q223" i="16" l="1"/>
  <c r="R224" i="16" s="1"/>
  <c r="S225" i="16" s="1"/>
  <c r="T226" i="16" s="1"/>
  <c r="P223" i="16"/>
  <c r="E222" i="16"/>
  <c r="F223" i="16" s="1"/>
  <c r="G224" i="16" s="1"/>
  <c r="H225" i="16" s="1"/>
  <c r="I226" i="16" s="1"/>
  <c r="J227" i="16" s="1"/>
  <c r="K228" i="16" s="1"/>
  <c r="L229" i="16" s="1"/>
  <c r="D222" i="16"/>
  <c r="P50" i="3"/>
  <c r="Q50" i="3" s="1"/>
  <c r="L50" i="4" s="1"/>
  <c r="S178" i="3"/>
  <c r="T178" i="3" s="1"/>
  <c r="U178" i="3"/>
  <c r="I178" i="3"/>
  <c r="D178" i="4" s="1"/>
  <c r="E178" i="4"/>
  <c r="F178" i="4" s="1"/>
  <c r="K178" i="3"/>
  <c r="L178" i="3" s="1"/>
  <c r="E180" i="3"/>
  <c r="J179" i="3"/>
  <c r="D179" i="3"/>
  <c r="H179" i="3" s="1"/>
  <c r="R179" i="3"/>
  <c r="F182" i="3"/>
  <c r="M49" i="4"/>
  <c r="K49" i="4"/>
  <c r="V50" i="3" l="1"/>
  <c r="W50" i="3" s="1"/>
  <c r="X50" i="3" s="1"/>
  <c r="Y50" i="3" s="1"/>
  <c r="Z50" i="3" s="1"/>
  <c r="AA50" i="3" s="1"/>
  <c r="AB50" i="3" s="1"/>
  <c r="D223" i="16"/>
  <c r="E223" i="16"/>
  <c r="F224" i="16" s="1"/>
  <c r="G225" i="16" s="1"/>
  <c r="H226" i="16" s="1"/>
  <c r="I227" i="16" s="1"/>
  <c r="J228" i="16" s="1"/>
  <c r="K229" i="16" s="1"/>
  <c r="L230" i="16" s="1"/>
  <c r="Q224" i="16"/>
  <c r="R225" i="16" s="1"/>
  <c r="S226" i="16" s="1"/>
  <c r="T227" i="16" s="1"/>
  <c r="P224" i="16"/>
  <c r="E179" i="4"/>
  <c r="F179" i="4" s="1"/>
  <c r="I179" i="3"/>
  <c r="D179" i="4" s="1"/>
  <c r="F183" i="3"/>
  <c r="S179" i="3"/>
  <c r="T179" i="3" s="1"/>
  <c r="U179" i="3"/>
  <c r="E181" i="3"/>
  <c r="J180" i="3"/>
  <c r="D180" i="3"/>
  <c r="H180" i="3" s="1"/>
  <c r="R180" i="3"/>
  <c r="K179" i="3"/>
  <c r="L179" i="3" s="1"/>
  <c r="P225" i="16" l="1"/>
  <c r="Q225" i="16"/>
  <c r="R226" i="16" s="1"/>
  <c r="S227" i="16" s="1"/>
  <c r="T228" i="16" s="1"/>
  <c r="D224" i="16"/>
  <c r="E224" i="16"/>
  <c r="F225" i="16" s="1"/>
  <c r="G226" i="16" s="1"/>
  <c r="H227" i="16" s="1"/>
  <c r="I228" i="16" s="1"/>
  <c r="J229" i="16" s="1"/>
  <c r="K230" i="16" s="1"/>
  <c r="L231" i="16" s="1"/>
  <c r="C50" i="4"/>
  <c r="M51" i="3"/>
  <c r="AC50" i="3"/>
  <c r="AD50" i="3" s="1"/>
  <c r="I180" i="3"/>
  <c r="D180" i="4" s="1"/>
  <c r="E180" i="4"/>
  <c r="F180" i="4" s="1"/>
  <c r="E182" i="3"/>
  <c r="R181" i="3"/>
  <c r="D181" i="3"/>
  <c r="H181" i="3" s="1"/>
  <c r="J181" i="3"/>
  <c r="K180" i="3"/>
  <c r="L180" i="3" s="1"/>
  <c r="F184" i="3"/>
  <c r="U180" i="3"/>
  <c r="S180" i="3"/>
  <c r="T180" i="3" s="1"/>
  <c r="D225" i="16" l="1"/>
  <c r="E225" i="16"/>
  <c r="F226" i="16" s="1"/>
  <c r="G227" i="16" s="1"/>
  <c r="H228" i="16" s="1"/>
  <c r="I229" i="16" s="1"/>
  <c r="J230" i="16" s="1"/>
  <c r="K231" i="16" s="1"/>
  <c r="L232" i="16" s="1"/>
  <c r="P226" i="16"/>
  <c r="Q226" i="16"/>
  <c r="R227" i="16" s="1"/>
  <c r="S228" i="16" s="1"/>
  <c r="T229" i="16" s="1"/>
  <c r="I181" i="3"/>
  <c r="D181" i="4" s="1"/>
  <c r="E181" i="4"/>
  <c r="F181" i="4" s="1"/>
  <c r="K181" i="3"/>
  <c r="L181" i="3" s="1"/>
  <c r="E183" i="3"/>
  <c r="J182" i="3"/>
  <c r="D182" i="3"/>
  <c r="H182" i="3" s="1"/>
  <c r="R182" i="3"/>
  <c r="AI51" i="3"/>
  <c r="O51" i="3"/>
  <c r="N51" i="3"/>
  <c r="F185" i="3"/>
  <c r="U181" i="3"/>
  <c r="S181" i="3"/>
  <c r="T181" i="3" s="1"/>
  <c r="H50" i="4"/>
  <c r="G50" i="4"/>
  <c r="I50" i="4" s="1"/>
  <c r="J50" i="4" s="1"/>
  <c r="Q227" i="16" l="1"/>
  <c r="R228" i="16" s="1"/>
  <c r="S229" i="16" s="1"/>
  <c r="T230" i="16" s="1"/>
  <c r="P227" i="16"/>
  <c r="E226" i="16"/>
  <c r="F227" i="16" s="1"/>
  <c r="G228" i="16" s="1"/>
  <c r="H229" i="16" s="1"/>
  <c r="I230" i="16" s="1"/>
  <c r="J231" i="16" s="1"/>
  <c r="K232" i="16" s="1"/>
  <c r="L233" i="16" s="1"/>
  <c r="D226" i="16"/>
  <c r="P51" i="3"/>
  <c r="Q51" i="3" s="1"/>
  <c r="F186" i="3"/>
  <c r="I182" i="3"/>
  <c r="D182" i="4" s="1"/>
  <c r="E182" i="4"/>
  <c r="F182" i="4" s="1"/>
  <c r="U182" i="3"/>
  <c r="S182" i="3"/>
  <c r="T182" i="3" s="1"/>
  <c r="K182" i="3"/>
  <c r="L182" i="3" s="1"/>
  <c r="M50" i="4"/>
  <c r="K50" i="4"/>
  <c r="E184" i="3"/>
  <c r="R183" i="3"/>
  <c r="J183" i="3"/>
  <c r="D183" i="3"/>
  <c r="H183" i="3" s="1"/>
  <c r="P228" i="16" l="1"/>
  <c r="Q228" i="16"/>
  <c r="R229" i="16" s="1"/>
  <c r="S230" i="16" s="1"/>
  <c r="T231" i="16" s="1"/>
  <c r="E227" i="16"/>
  <c r="F228" i="16" s="1"/>
  <c r="G229" i="16" s="1"/>
  <c r="H230" i="16" s="1"/>
  <c r="I231" i="16" s="1"/>
  <c r="J232" i="16" s="1"/>
  <c r="K233" i="16" s="1"/>
  <c r="L234" i="16" s="1"/>
  <c r="D227" i="16"/>
  <c r="E185" i="3"/>
  <c r="R184" i="3"/>
  <c r="J184" i="3"/>
  <c r="D184" i="3"/>
  <c r="H184" i="3" s="1"/>
  <c r="S183" i="3"/>
  <c r="T183" i="3" s="1"/>
  <c r="U183" i="3"/>
  <c r="E183" i="4"/>
  <c r="F183" i="4" s="1"/>
  <c r="I183" i="3"/>
  <c r="D183" i="4" s="1"/>
  <c r="F187" i="3"/>
  <c r="K183" i="3"/>
  <c r="L183" i="3" s="1"/>
  <c r="L51" i="4"/>
  <c r="V51" i="3"/>
  <c r="E228" i="16" l="1"/>
  <c r="F229" i="16" s="1"/>
  <c r="G230" i="16" s="1"/>
  <c r="H231" i="16" s="1"/>
  <c r="I232" i="16" s="1"/>
  <c r="J233" i="16" s="1"/>
  <c r="K234" i="16" s="1"/>
  <c r="L235" i="16" s="1"/>
  <c r="D228" i="16"/>
  <c r="P229" i="16"/>
  <c r="Q229" i="16"/>
  <c r="R230" i="16" s="1"/>
  <c r="S231" i="16" s="1"/>
  <c r="T232" i="16" s="1"/>
  <c r="F188" i="3"/>
  <c r="I184" i="3"/>
  <c r="D184" i="4" s="1"/>
  <c r="E184" i="4"/>
  <c r="F184" i="4" s="1"/>
  <c r="E186" i="3"/>
  <c r="R185" i="3"/>
  <c r="D185" i="3"/>
  <c r="H185" i="3" s="1"/>
  <c r="J185" i="3"/>
  <c r="K184" i="3"/>
  <c r="L184" i="3" s="1"/>
  <c r="U184" i="3"/>
  <c r="S184" i="3"/>
  <c r="T184" i="3" s="1"/>
  <c r="W51" i="3"/>
  <c r="X51" i="3" s="1"/>
  <c r="Y51" i="3" s="1"/>
  <c r="Z51" i="3" s="1"/>
  <c r="AA51" i="3" s="1"/>
  <c r="AB51" i="3" s="1"/>
  <c r="P230" i="16" l="1"/>
  <c r="Q230" i="16"/>
  <c r="R231" i="16" s="1"/>
  <c r="S232" i="16" s="1"/>
  <c r="T233" i="16" s="1"/>
  <c r="E229" i="16"/>
  <c r="F230" i="16" s="1"/>
  <c r="G231" i="16" s="1"/>
  <c r="H232" i="16" s="1"/>
  <c r="I233" i="16" s="1"/>
  <c r="J234" i="16" s="1"/>
  <c r="K235" i="16" s="1"/>
  <c r="L236" i="16" s="1"/>
  <c r="D229" i="16"/>
  <c r="K185" i="3"/>
  <c r="L185" i="3" s="1"/>
  <c r="AC51" i="3"/>
  <c r="AD51" i="3" s="1"/>
  <c r="M52" i="3"/>
  <c r="C51" i="4"/>
  <c r="S185" i="3"/>
  <c r="T185" i="3" s="1"/>
  <c r="U185" i="3"/>
  <c r="E187" i="3"/>
  <c r="D186" i="3"/>
  <c r="H186" i="3" s="1"/>
  <c r="J186" i="3"/>
  <c r="R186" i="3"/>
  <c r="F189" i="3"/>
  <c r="I185" i="3"/>
  <c r="D185" i="4" s="1"/>
  <c r="E185" i="4"/>
  <c r="F185" i="4" s="1"/>
  <c r="E230" i="16" l="1"/>
  <c r="F231" i="16" s="1"/>
  <c r="G232" i="16" s="1"/>
  <c r="H233" i="16" s="1"/>
  <c r="I234" i="16" s="1"/>
  <c r="J235" i="16" s="1"/>
  <c r="K236" i="16" s="1"/>
  <c r="L237" i="16" s="1"/>
  <c r="D230" i="16"/>
  <c r="P231" i="16"/>
  <c r="Q231" i="16"/>
  <c r="R232" i="16" s="1"/>
  <c r="S233" i="16" s="1"/>
  <c r="T234" i="16" s="1"/>
  <c r="K186" i="3"/>
  <c r="L186" i="3" s="1"/>
  <c r="E188" i="3"/>
  <c r="R187" i="3"/>
  <c r="J187" i="3"/>
  <c r="D187" i="3"/>
  <c r="H187" i="3" s="1"/>
  <c r="F190" i="3"/>
  <c r="S186" i="3"/>
  <c r="T186" i="3" s="1"/>
  <c r="U186" i="3"/>
  <c r="N52" i="3"/>
  <c r="O52" i="3"/>
  <c r="AI52" i="3"/>
  <c r="E186" i="4"/>
  <c r="F186" i="4" s="1"/>
  <c r="I186" i="3"/>
  <c r="D186" i="4" s="1"/>
  <c r="H51" i="4"/>
  <c r="G51" i="4"/>
  <c r="I51" i="4" s="1"/>
  <c r="J51" i="4" s="1"/>
  <c r="Q232" i="16" l="1"/>
  <c r="R233" i="16" s="1"/>
  <c r="S234" i="16" s="1"/>
  <c r="T235" i="16" s="1"/>
  <c r="P232" i="16"/>
  <c r="D231" i="16"/>
  <c r="E231" i="16"/>
  <c r="F232" i="16" s="1"/>
  <c r="G233" i="16" s="1"/>
  <c r="H234" i="16" s="1"/>
  <c r="I235" i="16" s="1"/>
  <c r="J236" i="16" s="1"/>
  <c r="K237" i="16" s="1"/>
  <c r="L238" i="16" s="1"/>
  <c r="P52" i="3"/>
  <c r="Q52" i="3" s="1"/>
  <c r="L52" i="4" s="1"/>
  <c r="F191" i="3"/>
  <c r="K187" i="3"/>
  <c r="L187" i="3" s="1"/>
  <c r="M51" i="4"/>
  <c r="K51" i="4"/>
  <c r="S187" i="3"/>
  <c r="T187" i="3" s="1"/>
  <c r="U187" i="3"/>
  <c r="E189" i="3"/>
  <c r="R188" i="3"/>
  <c r="J188" i="3"/>
  <c r="D188" i="3"/>
  <c r="H188" i="3" s="1"/>
  <c r="I187" i="3"/>
  <c r="D187" i="4" s="1"/>
  <c r="E187" i="4"/>
  <c r="F187" i="4" s="1"/>
  <c r="V52" i="3" l="1"/>
  <c r="E232" i="16"/>
  <c r="F233" i="16" s="1"/>
  <c r="G234" i="16" s="1"/>
  <c r="H235" i="16" s="1"/>
  <c r="I236" i="16" s="1"/>
  <c r="J237" i="16" s="1"/>
  <c r="K238" i="16" s="1"/>
  <c r="L239" i="16" s="1"/>
  <c r="D232" i="16"/>
  <c r="P233" i="16"/>
  <c r="Q233" i="16"/>
  <c r="R234" i="16" s="1"/>
  <c r="S235" i="16" s="1"/>
  <c r="T236" i="16" s="1"/>
  <c r="U188" i="3"/>
  <c r="S188" i="3"/>
  <c r="T188" i="3" s="1"/>
  <c r="W52" i="3"/>
  <c r="X52" i="3" s="1"/>
  <c r="Y52" i="3" s="1"/>
  <c r="Z52" i="3" s="1"/>
  <c r="AA52" i="3" s="1"/>
  <c r="AB52" i="3" s="1"/>
  <c r="E188" i="4"/>
  <c r="F188" i="4" s="1"/>
  <c r="I188" i="3"/>
  <c r="D188" i="4" s="1"/>
  <c r="E190" i="3"/>
  <c r="D189" i="3"/>
  <c r="H189" i="3" s="1"/>
  <c r="J189" i="3"/>
  <c r="R189" i="3"/>
  <c r="F192" i="3"/>
  <c r="K188" i="3"/>
  <c r="L188" i="3" s="1"/>
  <c r="Q234" i="16" l="1"/>
  <c r="R235" i="16" s="1"/>
  <c r="S236" i="16" s="1"/>
  <c r="T237" i="16" s="1"/>
  <c r="P234" i="16"/>
  <c r="E233" i="16"/>
  <c r="F234" i="16" s="1"/>
  <c r="G235" i="16" s="1"/>
  <c r="H236" i="16" s="1"/>
  <c r="I237" i="16" s="1"/>
  <c r="J238" i="16" s="1"/>
  <c r="K239" i="16" s="1"/>
  <c r="L240" i="16" s="1"/>
  <c r="D233" i="16"/>
  <c r="AC52" i="3"/>
  <c r="AD52" i="3" s="1"/>
  <c r="M53" i="3"/>
  <c r="C52" i="4"/>
  <c r="F193" i="3"/>
  <c r="K189" i="3"/>
  <c r="L189" i="3" s="1"/>
  <c r="E191" i="3"/>
  <c r="J190" i="3"/>
  <c r="D190" i="3"/>
  <c r="H190" i="3" s="1"/>
  <c r="R190" i="3"/>
  <c r="E189" i="4"/>
  <c r="F189" i="4" s="1"/>
  <c r="I189" i="3"/>
  <c r="D189" i="4" s="1"/>
  <c r="U189" i="3"/>
  <c r="S189" i="3"/>
  <c r="T189" i="3" s="1"/>
  <c r="E234" i="16" l="1"/>
  <c r="F235" i="16" s="1"/>
  <c r="G236" i="16" s="1"/>
  <c r="H237" i="16" s="1"/>
  <c r="I238" i="16" s="1"/>
  <c r="J239" i="16" s="1"/>
  <c r="K240" i="16" s="1"/>
  <c r="L241" i="16" s="1"/>
  <c r="D234" i="16"/>
  <c r="P235" i="16"/>
  <c r="Q235" i="16"/>
  <c r="R236" i="16" s="1"/>
  <c r="S237" i="16" s="1"/>
  <c r="T238" i="16" s="1"/>
  <c r="K190" i="3"/>
  <c r="L190" i="3" s="1"/>
  <c r="S190" i="3"/>
  <c r="T190" i="3" s="1"/>
  <c r="U190" i="3"/>
  <c r="E192" i="3"/>
  <c r="R191" i="3"/>
  <c r="D191" i="3"/>
  <c r="H191" i="3" s="1"/>
  <c r="J191" i="3"/>
  <c r="H52" i="4"/>
  <c r="G52" i="4"/>
  <c r="I52" i="4" s="1"/>
  <c r="J52" i="4" s="1"/>
  <c r="AI53" i="3"/>
  <c r="O53" i="3"/>
  <c r="N53" i="3"/>
  <c r="E190" i="4"/>
  <c r="F190" i="4" s="1"/>
  <c r="I190" i="3"/>
  <c r="D190" i="4" s="1"/>
  <c r="F194" i="3"/>
  <c r="P236" i="16" l="1"/>
  <c r="Q236" i="16"/>
  <c r="R237" i="16" s="1"/>
  <c r="S238" i="16" s="1"/>
  <c r="T239" i="16" s="1"/>
  <c r="E235" i="16"/>
  <c r="F236" i="16" s="1"/>
  <c r="G237" i="16" s="1"/>
  <c r="H238" i="16" s="1"/>
  <c r="I239" i="16" s="1"/>
  <c r="J240" i="16" s="1"/>
  <c r="K241" i="16" s="1"/>
  <c r="L242" i="16" s="1"/>
  <c r="D235" i="16"/>
  <c r="P53" i="3"/>
  <c r="Q53" i="3" s="1"/>
  <c r="L53" i="4" s="1"/>
  <c r="K191" i="3"/>
  <c r="L191" i="3" s="1"/>
  <c r="K52" i="4"/>
  <c r="M52" i="4"/>
  <c r="I191" i="3"/>
  <c r="D191" i="4" s="1"/>
  <c r="E191" i="4"/>
  <c r="F191" i="4" s="1"/>
  <c r="U191" i="3"/>
  <c r="S191" i="3"/>
  <c r="T191" i="3" s="1"/>
  <c r="F195" i="3"/>
  <c r="E193" i="3"/>
  <c r="R192" i="3"/>
  <c r="D192" i="3"/>
  <c r="H192" i="3" s="1"/>
  <c r="J192" i="3"/>
  <c r="E236" i="16" l="1"/>
  <c r="F237" i="16" s="1"/>
  <c r="G238" i="16" s="1"/>
  <c r="H239" i="16" s="1"/>
  <c r="I240" i="16" s="1"/>
  <c r="J241" i="16" s="1"/>
  <c r="K242" i="16" s="1"/>
  <c r="L243" i="16" s="1"/>
  <c r="D236" i="16"/>
  <c r="P237" i="16"/>
  <c r="Q237" i="16"/>
  <c r="R238" i="16" s="1"/>
  <c r="S239" i="16" s="1"/>
  <c r="T240" i="16" s="1"/>
  <c r="V53" i="3"/>
  <c r="W53" i="3" s="1"/>
  <c r="X53" i="3" s="1"/>
  <c r="Y53" i="3" s="1"/>
  <c r="Z53" i="3" s="1"/>
  <c r="AA53" i="3" s="1"/>
  <c r="AB53" i="3" s="1"/>
  <c r="K192" i="3"/>
  <c r="L192" i="3" s="1"/>
  <c r="F196" i="3"/>
  <c r="E194" i="3"/>
  <c r="D193" i="3"/>
  <c r="H193" i="3" s="1"/>
  <c r="J193" i="3"/>
  <c r="R193" i="3"/>
  <c r="S192" i="3"/>
  <c r="T192" i="3" s="1"/>
  <c r="U192" i="3"/>
  <c r="I192" i="3"/>
  <c r="D192" i="4" s="1"/>
  <c r="E192" i="4"/>
  <c r="F192" i="4" s="1"/>
  <c r="P238" i="16" l="1"/>
  <c r="Q238" i="16"/>
  <c r="R239" i="16" s="1"/>
  <c r="S240" i="16" s="1"/>
  <c r="T241" i="16" s="1"/>
  <c r="D237" i="16"/>
  <c r="E237" i="16"/>
  <c r="F238" i="16" s="1"/>
  <c r="G239" i="16" s="1"/>
  <c r="H240" i="16" s="1"/>
  <c r="I241" i="16" s="1"/>
  <c r="J242" i="16" s="1"/>
  <c r="K243" i="16" s="1"/>
  <c r="L244" i="16" s="1"/>
  <c r="K193" i="3"/>
  <c r="L193" i="3" s="1"/>
  <c r="M54" i="3"/>
  <c r="C53" i="4"/>
  <c r="AC53" i="3"/>
  <c r="AD53" i="3" s="1"/>
  <c r="S193" i="3"/>
  <c r="T193" i="3" s="1"/>
  <c r="U193" i="3"/>
  <c r="E193" i="4"/>
  <c r="F193" i="4" s="1"/>
  <c r="I193" i="3"/>
  <c r="D193" i="4" s="1"/>
  <c r="F197" i="3"/>
  <c r="E195" i="3"/>
  <c r="J194" i="3"/>
  <c r="D194" i="3"/>
  <c r="H194" i="3" s="1"/>
  <c r="R194" i="3"/>
  <c r="D238" i="16" l="1"/>
  <c r="E238" i="16"/>
  <c r="F239" i="16" s="1"/>
  <c r="G240" i="16" s="1"/>
  <c r="H241" i="16" s="1"/>
  <c r="I242" i="16" s="1"/>
  <c r="J243" i="16" s="1"/>
  <c r="K244" i="16" s="1"/>
  <c r="L245" i="16" s="1"/>
  <c r="P239" i="16"/>
  <c r="Q239" i="16"/>
  <c r="R240" i="16" s="1"/>
  <c r="S241" i="16" s="1"/>
  <c r="T242" i="16" s="1"/>
  <c r="K194" i="3"/>
  <c r="L194" i="3" s="1"/>
  <c r="E196" i="3"/>
  <c r="R195" i="3"/>
  <c r="J195" i="3"/>
  <c r="D195" i="3"/>
  <c r="H195" i="3" s="1"/>
  <c r="H53" i="4"/>
  <c r="G53" i="4"/>
  <c r="I53" i="4" s="1"/>
  <c r="J53" i="4" s="1"/>
  <c r="I194" i="3"/>
  <c r="D194" i="4" s="1"/>
  <c r="E194" i="4"/>
  <c r="F194" i="4" s="1"/>
  <c r="F198" i="3"/>
  <c r="S194" i="3"/>
  <c r="T194" i="3" s="1"/>
  <c r="U194" i="3"/>
  <c r="AI54" i="3"/>
  <c r="N54" i="3"/>
  <c r="O54" i="3"/>
  <c r="Q240" i="16" l="1"/>
  <c r="R241" i="16" s="1"/>
  <c r="S242" i="16" s="1"/>
  <c r="T243" i="16" s="1"/>
  <c r="P240" i="16"/>
  <c r="D239" i="16"/>
  <c r="E239" i="16"/>
  <c r="F240" i="16" s="1"/>
  <c r="G241" i="16" s="1"/>
  <c r="H242" i="16" s="1"/>
  <c r="I243" i="16" s="1"/>
  <c r="J244" i="16" s="1"/>
  <c r="K245" i="16" s="1"/>
  <c r="L246" i="16" s="1"/>
  <c r="F199" i="3"/>
  <c r="P54" i="3"/>
  <c r="Q54" i="3" s="1"/>
  <c r="K195" i="3"/>
  <c r="L195" i="3" s="1"/>
  <c r="S195" i="3"/>
  <c r="T195" i="3" s="1"/>
  <c r="U195" i="3"/>
  <c r="E197" i="3"/>
  <c r="R196" i="3"/>
  <c r="J196" i="3"/>
  <c r="D196" i="3"/>
  <c r="H196" i="3" s="1"/>
  <c r="K53" i="4"/>
  <c r="M53" i="4"/>
  <c r="E195" i="4"/>
  <c r="F195" i="4" s="1"/>
  <c r="I195" i="3"/>
  <c r="D195" i="4" s="1"/>
  <c r="E240" i="16" l="1"/>
  <c r="F241" i="16" s="1"/>
  <c r="G242" i="16" s="1"/>
  <c r="H243" i="16" s="1"/>
  <c r="I244" i="16" s="1"/>
  <c r="J245" i="16" s="1"/>
  <c r="K246" i="16" s="1"/>
  <c r="L247" i="16" s="1"/>
  <c r="D240" i="16"/>
  <c r="P241" i="16"/>
  <c r="Q241" i="16"/>
  <c r="R242" i="16" s="1"/>
  <c r="S243" i="16" s="1"/>
  <c r="T244" i="16" s="1"/>
  <c r="K196" i="3"/>
  <c r="L196" i="3" s="1"/>
  <c r="E198" i="3"/>
  <c r="J197" i="3"/>
  <c r="R197" i="3"/>
  <c r="D197" i="3"/>
  <c r="H197" i="3" s="1"/>
  <c r="E196" i="4"/>
  <c r="F196" i="4" s="1"/>
  <c r="I196" i="3"/>
  <c r="D196" i="4" s="1"/>
  <c r="S196" i="3"/>
  <c r="T196" i="3" s="1"/>
  <c r="U196" i="3"/>
  <c r="L54" i="4"/>
  <c r="V54" i="3"/>
  <c r="F200" i="3"/>
  <c r="Q242" i="16" l="1"/>
  <c r="R243" i="16" s="1"/>
  <c r="S244" i="16" s="1"/>
  <c r="T245" i="16" s="1"/>
  <c r="P242" i="16"/>
  <c r="D241" i="16"/>
  <c r="E241" i="16"/>
  <c r="F242" i="16" s="1"/>
  <c r="G243" i="16" s="1"/>
  <c r="H244" i="16" s="1"/>
  <c r="I245" i="16" s="1"/>
  <c r="J246" i="16" s="1"/>
  <c r="K247" i="16" s="1"/>
  <c r="L248" i="16" s="1"/>
  <c r="W54" i="3"/>
  <c r="X54" i="3" s="1"/>
  <c r="Y54" i="3" s="1"/>
  <c r="Z54" i="3" s="1"/>
  <c r="AA54" i="3" s="1"/>
  <c r="AB54" i="3" s="1"/>
  <c r="K197" i="3"/>
  <c r="L197" i="3" s="1"/>
  <c r="E197" i="4"/>
  <c r="F197" i="4" s="1"/>
  <c r="I197" i="3"/>
  <c r="D197" i="4" s="1"/>
  <c r="S197" i="3"/>
  <c r="T197" i="3" s="1"/>
  <c r="U197" i="3"/>
  <c r="E199" i="3"/>
  <c r="R198" i="3"/>
  <c r="D198" i="3"/>
  <c r="H198" i="3" s="1"/>
  <c r="J198" i="3"/>
  <c r="F201" i="3"/>
  <c r="E242" i="16" l="1"/>
  <c r="F243" i="16" s="1"/>
  <c r="G244" i="16" s="1"/>
  <c r="H245" i="16" s="1"/>
  <c r="I246" i="16" s="1"/>
  <c r="J247" i="16" s="1"/>
  <c r="K248" i="16" s="1"/>
  <c r="L249" i="16" s="1"/>
  <c r="D242" i="16"/>
  <c r="P243" i="16"/>
  <c r="Q243" i="16"/>
  <c r="R244" i="16" s="1"/>
  <c r="S245" i="16" s="1"/>
  <c r="T246" i="16" s="1"/>
  <c r="I198" i="3"/>
  <c r="D198" i="4" s="1"/>
  <c r="E198" i="4"/>
  <c r="F198" i="4" s="1"/>
  <c r="K198" i="3"/>
  <c r="L198" i="3" s="1"/>
  <c r="E200" i="3"/>
  <c r="J199" i="3"/>
  <c r="R199" i="3"/>
  <c r="D199" i="3"/>
  <c r="H199" i="3" s="1"/>
  <c r="F202" i="3"/>
  <c r="U198" i="3"/>
  <c r="S198" i="3"/>
  <c r="T198" i="3" s="1"/>
  <c r="C54" i="4"/>
  <c r="M55" i="3"/>
  <c r="AC54" i="3"/>
  <c r="AD54" i="3" s="1"/>
  <c r="P244" i="16" l="1"/>
  <c r="Q244" i="16"/>
  <c r="R245" i="16" s="1"/>
  <c r="S246" i="16" s="1"/>
  <c r="T247" i="16" s="1"/>
  <c r="D243" i="16"/>
  <c r="E243" i="16"/>
  <c r="F244" i="16" s="1"/>
  <c r="G245" i="16" s="1"/>
  <c r="H246" i="16" s="1"/>
  <c r="I247" i="16" s="1"/>
  <c r="J248" i="16" s="1"/>
  <c r="K249" i="16" s="1"/>
  <c r="L250" i="16" s="1"/>
  <c r="K199" i="3"/>
  <c r="L199" i="3" s="1"/>
  <c r="F203" i="3"/>
  <c r="S199" i="3"/>
  <c r="T199" i="3" s="1"/>
  <c r="U199" i="3"/>
  <c r="G54" i="4"/>
  <c r="I54" i="4" s="1"/>
  <c r="J54" i="4" s="1"/>
  <c r="H54" i="4"/>
  <c r="I199" i="3"/>
  <c r="D199" i="4" s="1"/>
  <c r="E199" i="4"/>
  <c r="F199" i="4" s="1"/>
  <c r="E201" i="3"/>
  <c r="J200" i="3"/>
  <c r="D200" i="3"/>
  <c r="H200" i="3" s="1"/>
  <c r="R200" i="3"/>
  <c r="AI55" i="3"/>
  <c r="O55" i="3"/>
  <c r="N55" i="3"/>
  <c r="D244" i="16" l="1"/>
  <c r="E244" i="16"/>
  <c r="F245" i="16" s="1"/>
  <c r="G246" i="16" s="1"/>
  <c r="H247" i="16" s="1"/>
  <c r="I248" i="16" s="1"/>
  <c r="J249" i="16" s="1"/>
  <c r="K250" i="16" s="1"/>
  <c r="L251" i="16" s="1"/>
  <c r="P245" i="16"/>
  <c r="Q245" i="16"/>
  <c r="R246" i="16" s="1"/>
  <c r="S247" i="16" s="1"/>
  <c r="T248" i="16" s="1"/>
  <c r="K200" i="3"/>
  <c r="L200" i="3" s="1"/>
  <c r="P55" i="3"/>
  <c r="Q55" i="3" s="1"/>
  <c r="L55" i="4" s="1"/>
  <c r="E202" i="3"/>
  <c r="D201" i="3"/>
  <c r="H201" i="3" s="1"/>
  <c r="R201" i="3"/>
  <c r="J201" i="3"/>
  <c r="M54" i="4"/>
  <c r="K54" i="4"/>
  <c r="F204" i="3"/>
  <c r="S200" i="3"/>
  <c r="T200" i="3" s="1"/>
  <c r="U200" i="3"/>
  <c r="I200" i="3"/>
  <c r="D200" i="4" s="1"/>
  <c r="E200" i="4"/>
  <c r="F200" i="4" s="1"/>
  <c r="P246" i="16" l="1"/>
  <c r="Q246" i="16"/>
  <c r="R247" i="16" s="1"/>
  <c r="S248" i="16" s="1"/>
  <c r="T249" i="16" s="1"/>
  <c r="D245" i="16"/>
  <c r="E245" i="16"/>
  <c r="F246" i="16" s="1"/>
  <c r="G247" i="16" s="1"/>
  <c r="H248" i="16" s="1"/>
  <c r="I249" i="16" s="1"/>
  <c r="J250" i="16" s="1"/>
  <c r="K251" i="16" s="1"/>
  <c r="L252" i="16" s="1"/>
  <c r="V55" i="3"/>
  <c r="W55" i="3" s="1"/>
  <c r="X55" i="3" s="1"/>
  <c r="Y55" i="3" s="1"/>
  <c r="Z55" i="3" s="1"/>
  <c r="AA55" i="3" s="1"/>
  <c r="AB55" i="3" s="1"/>
  <c r="K201" i="3"/>
  <c r="L201" i="3" s="1"/>
  <c r="E201" i="4"/>
  <c r="F201" i="4" s="1"/>
  <c r="I201" i="3"/>
  <c r="D201" i="4" s="1"/>
  <c r="S201" i="3"/>
  <c r="T201" i="3" s="1"/>
  <c r="U201" i="3"/>
  <c r="E203" i="3"/>
  <c r="J202" i="3"/>
  <c r="D202" i="3"/>
  <c r="H202" i="3" s="1"/>
  <c r="R202" i="3"/>
  <c r="F205" i="3"/>
  <c r="D246" i="16" l="1"/>
  <c r="E246" i="16"/>
  <c r="F247" i="16" s="1"/>
  <c r="G248" i="16" s="1"/>
  <c r="H249" i="16" s="1"/>
  <c r="I250" i="16" s="1"/>
  <c r="J251" i="16" s="1"/>
  <c r="K252" i="16" s="1"/>
  <c r="L253" i="16" s="1"/>
  <c r="Q247" i="16"/>
  <c r="R248" i="16" s="1"/>
  <c r="S249" i="16" s="1"/>
  <c r="T250" i="16" s="1"/>
  <c r="P247" i="16"/>
  <c r="S202" i="3"/>
  <c r="T202" i="3" s="1"/>
  <c r="U202" i="3"/>
  <c r="E204" i="3"/>
  <c r="D203" i="3"/>
  <c r="H203" i="3" s="1"/>
  <c r="R203" i="3"/>
  <c r="J203" i="3"/>
  <c r="F206" i="3"/>
  <c r="K202" i="3"/>
  <c r="L202" i="3" s="1"/>
  <c r="I202" i="3"/>
  <c r="D202" i="4" s="1"/>
  <c r="E202" i="4"/>
  <c r="F202" i="4" s="1"/>
  <c r="C55" i="4"/>
  <c r="AC55" i="3"/>
  <c r="AD55" i="3" s="1"/>
  <c r="M56" i="3"/>
  <c r="Q248" i="16" l="1"/>
  <c r="R249" i="16" s="1"/>
  <c r="S250" i="16" s="1"/>
  <c r="T251" i="16" s="1"/>
  <c r="P248" i="16"/>
  <c r="E247" i="16"/>
  <c r="F248" i="16" s="1"/>
  <c r="G249" i="16" s="1"/>
  <c r="H250" i="16" s="1"/>
  <c r="I251" i="16" s="1"/>
  <c r="J252" i="16" s="1"/>
  <c r="K253" i="16" s="1"/>
  <c r="L254" i="16" s="1"/>
  <c r="D247" i="16"/>
  <c r="K203" i="3"/>
  <c r="L203" i="3" s="1"/>
  <c r="H55" i="4"/>
  <c r="G55" i="4"/>
  <c r="I55" i="4" s="1"/>
  <c r="J55" i="4" s="1"/>
  <c r="S203" i="3"/>
  <c r="T203" i="3" s="1"/>
  <c r="U203" i="3"/>
  <c r="F207" i="3"/>
  <c r="I203" i="3"/>
  <c r="D203" i="4" s="1"/>
  <c r="E203" i="4"/>
  <c r="F203" i="4" s="1"/>
  <c r="E205" i="3"/>
  <c r="J204" i="3"/>
  <c r="D204" i="3"/>
  <c r="H204" i="3" s="1"/>
  <c r="R204" i="3"/>
  <c r="O56" i="3"/>
  <c r="AI56" i="3"/>
  <c r="N56" i="3"/>
  <c r="E248" i="16" l="1"/>
  <c r="F249" i="16" s="1"/>
  <c r="G250" i="16" s="1"/>
  <c r="H251" i="16" s="1"/>
  <c r="I252" i="16" s="1"/>
  <c r="J253" i="16" s="1"/>
  <c r="K254" i="16" s="1"/>
  <c r="L255" i="16" s="1"/>
  <c r="D248" i="16"/>
  <c r="P249" i="16"/>
  <c r="Q249" i="16"/>
  <c r="R250" i="16" s="1"/>
  <c r="S251" i="16" s="1"/>
  <c r="T252" i="16" s="1"/>
  <c r="P56" i="3"/>
  <c r="Q56" i="3" s="1"/>
  <c r="L56" i="4" s="1"/>
  <c r="I204" i="3"/>
  <c r="D204" i="4" s="1"/>
  <c r="E204" i="4"/>
  <c r="F204" i="4" s="1"/>
  <c r="E206" i="3"/>
  <c r="R205" i="3"/>
  <c r="D205" i="3"/>
  <c r="H205" i="3" s="1"/>
  <c r="J205" i="3"/>
  <c r="K204" i="3"/>
  <c r="L204" i="3" s="1"/>
  <c r="F208" i="3"/>
  <c r="K55" i="4"/>
  <c r="M55" i="4"/>
  <c r="U204" i="3"/>
  <c r="S204" i="3"/>
  <c r="T204" i="3" s="1"/>
  <c r="P250" i="16" l="1"/>
  <c r="Q250" i="16"/>
  <c r="R251" i="16" s="1"/>
  <c r="S252" i="16" s="1"/>
  <c r="T253" i="16" s="1"/>
  <c r="D249" i="16"/>
  <c r="E249" i="16"/>
  <c r="F250" i="16" s="1"/>
  <c r="G251" i="16" s="1"/>
  <c r="H252" i="16" s="1"/>
  <c r="I253" i="16" s="1"/>
  <c r="J254" i="16" s="1"/>
  <c r="K255" i="16" s="1"/>
  <c r="L256" i="16" s="1"/>
  <c r="V56" i="3"/>
  <c r="W56" i="3" s="1"/>
  <c r="X56" i="3" s="1"/>
  <c r="Y56" i="3" s="1"/>
  <c r="Z56" i="3" s="1"/>
  <c r="AA56" i="3" s="1"/>
  <c r="AB56" i="3" s="1"/>
  <c r="I205" i="3"/>
  <c r="D205" i="4" s="1"/>
  <c r="E205" i="4"/>
  <c r="F205" i="4" s="1"/>
  <c r="U205" i="3"/>
  <c r="S205" i="3"/>
  <c r="T205" i="3" s="1"/>
  <c r="F209" i="3"/>
  <c r="K205" i="3"/>
  <c r="L205" i="3" s="1"/>
  <c r="E207" i="3"/>
  <c r="R206" i="3"/>
  <c r="J206" i="3"/>
  <c r="D206" i="3"/>
  <c r="H206" i="3" s="1"/>
  <c r="D250" i="16" l="1"/>
  <c r="E250" i="16"/>
  <c r="F251" i="16" s="1"/>
  <c r="G252" i="16" s="1"/>
  <c r="H253" i="16" s="1"/>
  <c r="I254" i="16" s="1"/>
  <c r="J255" i="16" s="1"/>
  <c r="K256" i="16" s="1"/>
  <c r="L257" i="16" s="1"/>
  <c r="P251" i="16"/>
  <c r="Q251" i="16"/>
  <c r="R252" i="16" s="1"/>
  <c r="S253" i="16" s="1"/>
  <c r="T254" i="16" s="1"/>
  <c r="AC56" i="3"/>
  <c r="AD56" i="3" s="1"/>
  <c r="M57" i="3"/>
  <c r="C56" i="4"/>
  <c r="S206" i="3"/>
  <c r="T206" i="3" s="1"/>
  <c r="U206" i="3"/>
  <c r="E206" i="4"/>
  <c r="F206" i="4" s="1"/>
  <c r="I206" i="3"/>
  <c r="D206" i="4" s="1"/>
  <c r="K206" i="3"/>
  <c r="L206" i="3" s="1"/>
  <c r="E208" i="3"/>
  <c r="J207" i="3"/>
  <c r="D207" i="3"/>
  <c r="H207" i="3" s="1"/>
  <c r="R207" i="3"/>
  <c r="F210" i="3"/>
  <c r="P252" i="16" l="1"/>
  <c r="Q252" i="16"/>
  <c r="R253" i="16" s="1"/>
  <c r="S254" i="16" s="1"/>
  <c r="T255" i="16" s="1"/>
  <c r="D251" i="16"/>
  <c r="E251" i="16"/>
  <c r="F252" i="16" s="1"/>
  <c r="G253" i="16" s="1"/>
  <c r="H254" i="16" s="1"/>
  <c r="I255" i="16" s="1"/>
  <c r="J256" i="16" s="1"/>
  <c r="K257" i="16" s="1"/>
  <c r="L258" i="16" s="1"/>
  <c r="K207" i="3"/>
  <c r="L207" i="3" s="1"/>
  <c r="E207" i="4"/>
  <c r="F207" i="4" s="1"/>
  <c r="I207" i="3"/>
  <c r="D207" i="4" s="1"/>
  <c r="F211" i="3"/>
  <c r="S207" i="3"/>
  <c r="T207" i="3" s="1"/>
  <c r="U207" i="3"/>
  <c r="E209" i="3"/>
  <c r="J208" i="3"/>
  <c r="D208" i="3"/>
  <c r="H208" i="3" s="1"/>
  <c r="R208" i="3"/>
  <c r="G56" i="4"/>
  <c r="I56" i="4" s="1"/>
  <c r="J56" i="4" s="1"/>
  <c r="H56" i="4"/>
  <c r="O57" i="3"/>
  <c r="AI57" i="3"/>
  <c r="N57" i="3"/>
  <c r="E252" i="16" l="1"/>
  <c r="F253" i="16" s="1"/>
  <c r="G254" i="16" s="1"/>
  <c r="H255" i="16" s="1"/>
  <c r="I256" i="16" s="1"/>
  <c r="J257" i="16" s="1"/>
  <c r="K258" i="16" s="1"/>
  <c r="L259" i="16" s="1"/>
  <c r="D252" i="16"/>
  <c r="P253" i="16"/>
  <c r="Q253" i="16"/>
  <c r="R254" i="16" s="1"/>
  <c r="S255" i="16" s="1"/>
  <c r="T256" i="16" s="1"/>
  <c r="P57" i="3"/>
  <c r="Q57" i="3" s="1"/>
  <c r="V57" i="3" s="1"/>
  <c r="K208" i="3"/>
  <c r="L208" i="3" s="1"/>
  <c r="F212" i="3"/>
  <c r="I208" i="3"/>
  <c r="D208" i="4" s="1"/>
  <c r="E208" i="4"/>
  <c r="F208" i="4" s="1"/>
  <c r="E210" i="3"/>
  <c r="R209" i="3"/>
  <c r="J209" i="3"/>
  <c r="D209" i="3"/>
  <c r="H209" i="3" s="1"/>
  <c r="K56" i="4"/>
  <c r="M56" i="4"/>
  <c r="U208" i="3"/>
  <c r="S208" i="3"/>
  <c r="T208" i="3" s="1"/>
  <c r="L57" i="4" l="1"/>
  <c r="P254" i="16"/>
  <c r="Q254" i="16"/>
  <c r="R255" i="16" s="1"/>
  <c r="S256" i="16" s="1"/>
  <c r="T257" i="16" s="1"/>
  <c r="E253" i="16"/>
  <c r="F254" i="16" s="1"/>
  <c r="G255" i="16" s="1"/>
  <c r="H256" i="16" s="1"/>
  <c r="I257" i="16" s="1"/>
  <c r="J258" i="16" s="1"/>
  <c r="K259" i="16" s="1"/>
  <c r="L260" i="16" s="1"/>
  <c r="D253" i="16"/>
  <c r="W57" i="3"/>
  <c r="X57" i="3" s="1"/>
  <c r="Y57" i="3" s="1"/>
  <c r="Z57" i="3" s="1"/>
  <c r="AA57" i="3" s="1"/>
  <c r="AB57" i="3" s="1"/>
  <c r="I209" i="3"/>
  <c r="D209" i="4" s="1"/>
  <c r="E209" i="4"/>
  <c r="F209" i="4" s="1"/>
  <c r="E211" i="3"/>
  <c r="J210" i="3"/>
  <c r="R210" i="3"/>
  <c r="D210" i="3"/>
  <c r="H210" i="3" s="1"/>
  <c r="K209" i="3"/>
  <c r="L209" i="3" s="1"/>
  <c r="U209" i="3"/>
  <c r="S209" i="3"/>
  <c r="T209" i="3" s="1"/>
  <c r="F213" i="3"/>
  <c r="E254" i="16" l="1"/>
  <c r="F255" i="16" s="1"/>
  <c r="G256" i="16" s="1"/>
  <c r="H257" i="16" s="1"/>
  <c r="I258" i="16" s="1"/>
  <c r="J259" i="16" s="1"/>
  <c r="K260" i="16" s="1"/>
  <c r="L261" i="16" s="1"/>
  <c r="D254" i="16"/>
  <c r="P255" i="16"/>
  <c r="Q255" i="16"/>
  <c r="R256" i="16" s="1"/>
  <c r="S257" i="16" s="1"/>
  <c r="T258" i="16" s="1"/>
  <c r="K210" i="3"/>
  <c r="L210" i="3" s="1"/>
  <c r="S210" i="3"/>
  <c r="T210" i="3" s="1"/>
  <c r="U210" i="3"/>
  <c r="F214" i="3"/>
  <c r="E210" i="4"/>
  <c r="F210" i="4" s="1"/>
  <c r="I210" i="3"/>
  <c r="D210" i="4" s="1"/>
  <c r="E212" i="3"/>
  <c r="J211" i="3"/>
  <c r="D211" i="3"/>
  <c r="H211" i="3" s="1"/>
  <c r="R211" i="3"/>
  <c r="M58" i="3"/>
  <c r="AC57" i="3"/>
  <c r="AD57" i="3" s="1"/>
  <c r="C57" i="4"/>
  <c r="Q256" i="16" l="1"/>
  <c r="R257" i="16" s="1"/>
  <c r="S258" i="16" s="1"/>
  <c r="T259" i="16" s="1"/>
  <c r="P256" i="16"/>
  <c r="D255" i="16"/>
  <c r="E255" i="16"/>
  <c r="F256" i="16" s="1"/>
  <c r="G257" i="16" s="1"/>
  <c r="H258" i="16" s="1"/>
  <c r="I259" i="16" s="1"/>
  <c r="J260" i="16" s="1"/>
  <c r="K261" i="16" s="1"/>
  <c r="L262" i="16" s="1"/>
  <c r="S211" i="3"/>
  <c r="T211" i="3" s="1"/>
  <c r="U211" i="3"/>
  <c r="E213" i="3"/>
  <c r="D212" i="3"/>
  <c r="H212" i="3" s="1"/>
  <c r="R212" i="3"/>
  <c r="J212" i="3"/>
  <c r="E211" i="4"/>
  <c r="F211" i="4" s="1"/>
  <c r="I211" i="3"/>
  <c r="D211" i="4" s="1"/>
  <c r="K211" i="3"/>
  <c r="L211" i="3" s="1"/>
  <c r="F215" i="3"/>
  <c r="G57" i="4"/>
  <c r="I57" i="4" s="1"/>
  <c r="J57" i="4" s="1"/>
  <c r="H57" i="4"/>
  <c r="N58" i="3"/>
  <c r="O58" i="3"/>
  <c r="AI58" i="3"/>
  <c r="D256" i="16" l="1"/>
  <c r="E256" i="16"/>
  <c r="F257" i="16" s="1"/>
  <c r="G258" i="16" s="1"/>
  <c r="H259" i="16" s="1"/>
  <c r="I260" i="16" s="1"/>
  <c r="J261" i="16" s="1"/>
  <c r="K262" i="16" s="1"/>
  <c r="L263" i="16" s="1"/>
  <c r="P257" i="16"/>
  <c r="Q257" i="16"/>
  <c r="R258" i="16" s="1"/>
  <c r="S259" i="16" s="1"/>
  <c r="T260" i="16" s="1"/>
  <c r="K212" i="3"/>
  <c r="L212" i="3" s="1"/>
  <c r="I212" i="3"/>
  <c r="D212" i="4" s="1"/>
  <c r="E212" i="4"/>
  <c r="F212" i="4" s="1"/>
  <c r="K57" i="4"/>
  <c r="M57" i="4"/>
  <c r="E214" i="3"/>
  <c r="J213" i="3"/>
  <c r="D213" i="3"/>
  <c r="H213" i="3" s="1"/>
  <c r="R213" i="3"/>
  <c r="F216" i="3"/>
  <c r="U212" i="3"/>
  <c r="S212" i="3"/>
  <c r="T212" i="3" s="1"/>
  <c r="P58" i="3"/>
  <c r="Q58" i="3" s="1"/>
  <c r="P258" i="16" l="1"/>
  <c r="Q258" i="16"/>
  <c r="R259" i="16" s="1"/>
  <c r="S260" i="16" s="1"/>
  <c r="T261" i="16" s="1"/>
  <c r="D257" i="16"/>
  <c r="E257" i="16"/>
  <c r="F258" i="16" s="1"/>
  <c r="G259" i="16" s="1"/>
  <c r="H260" i="16" s="1"/>
  <c r="I261" i="16" s="1"/>
  <c r="J262" i="16" s="1"/>
  <c r="K263" i="16" s="1"/>
  <c r="L264" i="16" s="1"/>
  <c r="S213" i="3"/>
  <c r="T213" i="3" s="1"/>
  <c r="U213" i="3"/>
  <c r="F217" i="3"/>
  <c r="K213" i="3"/>
  <c r="L213" i="3" s="1"/>
  <c r="E213" i="4"/>
  <c r="F213" i="4" s="1"/>
  <c r="I213" i="3"/>
  <c r="D213" i="4" s="1"/>
  <c r="E215" i="3"/>
  <c r="R214" i="3"/>
  <c r="D214" i="3"/>
  <c r="H214" i="3" s="1"/>
  <c r="J214" i="3"/>
  <c r="L58" i="4"/>
  <c r="V58" i="3"/>
  <c r="D258" i="16" l="1"/>
  <c r="E258" i="16"/>
  <c r="F259" i="16" s="1"/>
  <c r="G260" i="16" s="1"/>
  <c r="H261" i="16" s="1"/>
  <c r="I262" i="16" s="1"/>
  <c r="J263" i="16" s="1"/>
  <c r="K264" i="16" s="1"/>
  <c r="L265" i="16" s="1"/>
  <c r="P259" i="16"/>
  <c r="Q259" i="16"/>
  <c r="R260" i="16" s="1"/>
  <c r="S261" i="16" s="1"/>
  <c r="T262" i="16" s="1"/>
  <c r="I214" i="3"/>
  <c r="D214" i="4" s="1"/>
  <c r="E214" i="4"/>
  <c r="F214" i="4" s="1"/>
  <c r="U214" i="3"/>
  <c r="S214" i="3"/>
  <c r="T214" i="3" s="1"/>
  <c r="K214" i="3"/>
  <c r="L214" i="3" s="1"/>
  <c r="E216" i="3"/>
  <c r="D215" i="3"/>
  <c r="H215" i="3" s="1"/>
  <c r="J215" i="3"/>
  <c r="R215" i="3"/>
  <c r="F218" i="3"/>
  <c r="W58" i="3"/>
  <c r="X58" i="3" s="1"/>
  <c r="Y58" i="3" s="1"/>
  <c r="Z58" i="3" s="1"/>
  <c r="AA58" i="3" s="1"/>
  <c r="AB58" i="3" s="1"/>
  <c r="P260" i="16" l="1"/>
  <c r="Q260" i="16"/>
  <c r="R261" i="16" s="1"/>
  <c r="S262" i="16" s="1"/>
  <c r="T263" i="16" s="1"/>
  <c r="E259" i="16"/>
  <c r="F260" i="16" s="1"/>
  <c r="G261" i="16" s="1"/>
  <c r="H262" i="16" s="1"/>
  <c r="I263" i="16" s="1"/>
  <c r="J264" i="16" s="1"/>
  <c r="K265" i="16" s="1"/>
  <c r="L266" i="16" s="1"/>
  <c r="D259" i="16"/>
  <c r="C58" i="4"/>
  <c r="M59" i="3"/>
  <c r="AC58" i="3"/>
  <c r="AD58" i="3" s="1"/>
  <c r="F219" i="3"/>
  <c r="S215" i="3"/>
  <c r="T215" i="3" s="1"/>
  <c r="U215" i="3"/>
  <c r="K215" i="3"/>
  <c r="L215" i="3" s="1"/>
  <c r="E217" i="3"/>
  <c r="D216" i="3"/>
  <c r="H216" i="3" s="1"/>
  <c r="J216" i="3"/>
  <c r="R216" i="3"/>
  <c r="E215" i="4"/>
  <c r="F215" i="4" s="1"/>
  <c r="I215" i="3"/>
  <c r="D215" i="4" s="1"/>
  <c r="D260" i="16" l="1"/>
  <c r="E260" i="16"/>
  <c r="F261" i="16" s="1"/>
  <c r="G262" i="16" s="1"/>
  <c r="H263" i="16" s="1"/>
  <c r="I264" i="16" s="1"/>
  <c r="J265" i="16" s="1"/>
  <c r="K266" i="16" s="1"/>
  <c r="L267" i="16" s="1"/>
  <c r="P261" i="16"/>
  <c r="Q261" i="16"/>
  <c r="R262" i="16" s="1"/>
  <c r="S263" i="16" s="1"/>
  <c r="T264" i="16" s="1"/>
  <c r="K216" i="3"/>
  <c r="L216" i="3" s="1"/>
  <c r="U216" i="3"/>
  <c r="S216" i="3"/>
  <c r="T216" i="3" s="1"/>
  <c r="E216" i="4"/>
  <c r="F216" i="4" s="1"/>
  <c r="I216" i="3"/>
  <c r="D216" i="4" s="1"/>
  <c r="E218" i="3"/>
  <c r="D217" i="3"/>
  <c r="H217" i="3" s="1"/>
  <c r="J217" i="3"/>
  <c r="R217" i="3"/>
  <c r="N59" i="3"/>
  <c r="O59" i="3"/>
  <c r="AI59" i="3"/>
  <c r="F220" i="3"/>
  <c r="H58" i="4"/>
  <c r="G58" i="4"/>
  <c r="I58" i="4" s="1"/>
  <c r="J58" i="4" s="1"/>
  <c r="P262" i="16" l="1"/>
  <c r="Q262" i="16"/>
  <c r="R263" i="16" s="1"/>
  <c r="S264" i="16" s="1"/>
  <c r="T265" i="16" s="1"/>
  <c r="D261" i="16"/>
  <c r="E261" i="16"/>
  <c r="F262" i="16" s="1"/>
  <c r="G263" i="16" s="1"/>
  <c r="H264" i="16" s="1"/>
  <c r="I265" i="16" s="1"/>
  <c r="J266" i="16" s="1"/>
  <c r="K267" i="16" s="1"/>
  <c r="L268" i="16" s="1"/>
  <c r="K217" i="3"/>
  <c r="L217" i="3" s="1"/>
  <c r="P59" i="3"/>
  <c r="Q59" i="3" s="1"/>
  <c r="S217" i="3"/>
  <c r="T217" i="3" s="1"/>
  <c r="U217" i="3"/>
  <c r="I217" i="3"/>
  <c r="D217" i="4" s="1"/>
  <c r="E217" i="4"/>
  <c r="F217" i="4" s="1"/>
  <c r="E219" i="3"/>
  <c r="J218" i="3"/>
  <c r="D218" i="3"/>
  <c r="H218" i="3" s="1"/>
  <c r="R218" i="3"/>
  <c r="M58" i="4"/>
  <c r="K58" i="4"/>
  <c r="F221" i="3"/>
  <c r="E262" i="16" l="1"/>
  <c r="F263" i="16" s="1"/>
  <c r="G264" i="16" s="1"/>
  <c r="H265" i="16" s="1"/>
  <c r="I266" i="16" s="1"/>
  <c r="J267" i="16" s="1"/>
  <c r="K268" i="16" s="1"/>
  <c r="L269" i="16" s="1"/>
  <c r="D262" i="16"/>
  <c r="P263" i="16"/>
  <c r="Q263" i="16"/>
  <c r="R264" i="16" s="1"/>
  <c r="S265" i="16" s="1"/>
  <c r="T266" i="16" s="1"/>
  <c r="F222" i="3"/>
  <c r="U218" i="3"/>
  <c r="S218" i="3"/>
  <c r="T218" i="3" s="1"/>
  <c r="E220" i="3"/>
  <c r="J219" i="3"/>
  <c r="D219" i="3"/>
  <c r="H219" i="3" s="1"/>
  <c r="R219" i="3"/>
  <c r="K218" i="3"/>
  <c r="L218" i="3" s="1"/>
  <c r="I218" i="3"/>
  <c r="D218" i="4" s="1"/>
  <c r="E218" i="4"/>
  <c r="F218" i="4" s="1"/>
  <c r="L59" i="4"/>
  <c r="V59" i="3"/>
  <c r="Q264" i="16" l="1"/>
  <c r="R265" i="16" s="1"/>
  <c r="S266" i="16" s="1"/>
  <c r="T267" i="16" s="1"/>
  <c r="P264" i="16"/>
  <c r="D263" i="16"/>
  <c r="E263" i="16"/>
  <c r="F264" i="16" s="1"/>
  <c r="G265" i="16" s="1"/>
  <c r="H266" i="16" s="1"/>
  <c r="I267" i="16" s="1"/>
  <c r="J268" i="16" s="1"/>
  <c r="K269" i="16" s="1"/>
  <c r="L270" i="16" s="1"/>
  <c r="W59" i="3"/>
  <c r="X59" i="3" s="1"/>
  <c r="Y59" i="3" s="1"/>
  <c r="Z59" i="3" s="1"/>
  <c r="AA59" i="3" s="1"/>
  <c r="AB59" i="3" s="1"/>
  <c r="U219" i="3"/>
  <c r="S219" i="3"/>
  <c r="T219" i="3" s="1"/>
  <c r="E221" i="3"/>
  <c r="R220" i="3"/>
  <c r="J220" i="3"/>
  <c r="D220" i="3"/>
  <c r="H220" i="3" s="1"/>
  <c r="K219" i="3"/>
  <c r="L219" i="3" s="1"/>
  <c r="I219" i="3"/>
  <c r="D219" i="4" s="1"/>
  <c r="E219" i="4"/>
  <c r="F219" i="4" s="1"/>
  <c r="F223" i="3"/>
  <c r="E264" i="16" l="1"/>
  <c r="F265" i="16" s="1"/>
  <c r="G266" i="16" s="1"/>
  <c r="H267" i="16" s="1"/>
  <c r="I268" i="16" s="1"/>
  <c r="J269" i="16" s="1"/>
  <c r="K270" i="16" s="1"/>
  <c r="L271" i="16" s="1"/>
  <c r="D264" i="16"/>
  <c r="P265" i="16"/>
  <c r="Q265" i="16"/>
  <c r="R266" i="16" s="1"/>
  <c r="S267" i="16" s="1"/>
  <c r="T268" i="16" s="1"/>
  <c r="F224" i="3"/>
  <c r="U220" i="3"/>
  <c r="S220" i="3"/>
  <c r="T220" i="3" s="1"/>
  <c r="K220" i="3"/>
  <c r="L220" i="3" s="1"/>
  <c r="C59" i="4"/>
  <c r="M60" i="3"/>
  <c r="AC59" i="3"/>
  <c r="AD59" i="3" s="1"/>
  <c r="E220" i="4"/>
  <c r="F220" i="4" s="1"/>
  <c r="I220" i="3"/>
  <c r="D220" i="4" s="1"/>
  <c r="E222" i="3"/>
  <c r="D221" i="3"/>
  <c r="H221" i="3" s="1"/>
  <c r="J221" i="3"/>
  <c r="R221" i="3"/>
  <c r="P266" i="16" l="1"/>
  <c r="Q266" i="16"/>
  <c r="R267" i="16" s="1"/>
  <c r="S268" i="16" s="1"/>
  <c r="T269" i="16" s="1"/>
  <c r="E265" i="16"/>
  <c r="F266" i="16" s="1"/>
  <c r="G267" i="16" s="1"/>
  <c r="H268" i="16" s="1"/>
  <c r="I269" i="16" s="1"/>
  <c r="J270" i="16" s="1"/>
  <c r="K271" i="16" s="1"/>
  <c r="L272" i="16" s="1"/>
  <c r="D265" i="16"/>
  <c r="K221" i="3"/>
  <c r="L221" i="3" s="1"/>
  <c r="E223" i="3"/>
  <c r="J222" i="3"/>
  <c r="R222" i="3"/>
  <c r="D222" i="3"/>
  <c r="H222" i="3" s="1"/>
  <c r="AI60" i="3"/>
  <c r="O60" i="3"/>
  <c r="N60" i="3"/>
  <c r="G59" i="4"/>
  <c r="I59" i="4" s="1"/>
  <c r="J59" i="4" s="1"/>
  <c r="H59" i="4"/>
  <c r="F225" i="3"/>
  <c r="I221" i="3"/>
  <c r="D221" i="4" s="1"/>
  <c r="E221" i="4"/>
  <c r="F221" i="4" s="1"/>
  <c r="S221" i="3"/>
  <c r="T221" i="3" s="1"/>
  <c r="U221" i="3"/>
  <c r="E266" i="16" l="1"/>
  <c r="F267" i="16" s="1"/>
  <c r="G268" i="16" s="1"/>
  <c r="H269" i="16" s="1"/>
  <c r="I270" i="16" s="1"/>
  <c r="J271" i="16" s="1"/>
  <c r="K272" i="16" s="1"/>
  <c r="L273" i="16" s="1"/>
  <c r="D266" i="16"/>
  <c r="P267" i="16"/>
  <c r="Q267" i="16"/>
  <c r="R268" i="16" s="1"/>
  <c r="S269" i="16" s="1"/>
  <c r="T270" i="16" s="1"/>
  <c r="P60" i="3"/>
  <c r="Q60" i="3" s="1"/>
  <c r="L60" i="4" s="1"/>
  <c r="M59" i="4"/>
  <c r="K59" i="4"/>
  <c r="K222" i="3"/>
  <c r="L222" i="3" s="1"/>
  <c r="F226" i="3"/>
  <c r="E222" i="4"/>
  <c r="F222" i="4" s="1"/>
  <c r="I222" i="3"/>
  <c r="D222" i="4" s="1"/>
  <c r="U222" i="3"/>
  <c r="S222" i="3"/>
  <c r="T222" i="3" s="1"/>
  <c r="E224" i="3"/>
  <c r="R223" i="3"/>
  <c r="D223" i="3"/>
  <c r="H223" i="3" s="1"/>
  <c r="J223" i="3"/>
  <c r="V60" i="3" l="1"/>
  <c r="P268" i="16"/>
  <c r="Q268" i="16"/>
  <c r="R269" i="16" s="1"/>
  <c r="S270" i="16" s="1"/>
  <c r="T271" i="16" s="1"/>
  <c r="D267" i="16"/>
  <c r="E267" i="16"/>
  <c r="F268" i="16" s="1"/>
  <c r="G269" i="16" s="1"/>
  <c r="H270" i="16" s="1"/>
  <c r="I271" i="16" s="1"/>
  <c r="J272" i="16" s="1"/>
  <c r="K273" i="16" s="1"/>
  <c r="L274" i="16" s="1"/>
  <c r="U223" i="3"/>
  <c r="S223" i="3"/>
  <c r="T223" i="3" s="1"/>
  <c r="F227" i="3"/>
  <c r="W60" i="3"/>
  <c r="X60" i="3" s="1"/>
  <c r="Y60" i="3" s="1"/>
  <c r="Z60" i="3" s="1"/>
  <c r="AA60" i="3" s="1"/>
  <c r="AB60" i="3" s="1"/>
  <c r="K223" i="3"/>
  <c r="L223" i="3" s="1"/>
  <c r="E225" i="3"/>
  <c r="R224" i="3"/>
  <c r="D224" i="3"/>
  <c r="H224" i="3" s="1"/>
  <c r="J224" i="3"/>
  <c r="I223" i="3"/>
  <c r="D223" i="4" s="1"/>
  <c r="E223" i="4"/>
  <c r="F223" i="4" s="1"/>
  <c r="D268" i="16" l="1"/>
  <c r="E268" i="16"/>
  <c r="F269" i="16" s="1"/>
  <c r="G270" i="16" s="1"/>
  <c r="H271" i="16" s="1"/>
  <c r="I272" i="16" s="1"/>
  <c r="J273" i="16" s="1"/>
  <c r="K274" i="16" s="1"/>
  <c r="L275" i="16" s="1"/>
  <c r="Q269" i="16"/>
  <c r="R270" i="16" s="1"/>
  <c r="S271" i="16" s="1"/>
  <c r="T272" i="16" s="1"/>
  <c r="P269" i="16"/>
  <c r="K224" i="3"/>
  <c r="L224" i="3" s="1"/>
  <c r="AC60" i="3"/>
  <c r="AD60" i="3" s="1"/>
  <c r="C60" i="4"/>
  <c r="M61" i="3"/>
  <c r="E224" i="4"/>
  <c r="F224" i="4" s="1"/>
  <c r="I224" i="3"/>
  <c r="D224" i="4" s="1"/>
  <c r="E226" i="3"/>
  <c r="R225" i="3"/>
  <c r="J225" i="3"/>
  <c r="D225" i="3"/>
  <c r="H225" i="3" s="1"/>
  <c r="U224" i="3"/>
  <c r="S224" i="3"/>
  <c r="T224" i="3" s="1"/>
  <c r="F228" i="3"/>
  <c r="P270" i="16" l="1"/>
  <c r="Q270" i="16"/>
  <c r="R271" i="16" s="1"/>
  <c r="S272" i="16" s="1"/>
  <c r="T273" i="16" s="1"/>
  <c r="E269" i="16"/>
  <c r="F270" i="16" s="1"/>
  <c r="G271" i="16" s="1"/>
  <c r="H272" i="16" s="1"/>
  <c r="I273" i="16" s="1"/>
  <c r="J274" i="16" s="1"/>
  <c r="K275" i="16" s="1"/>
  <c r="L276" i="16" s="1"/>
  <c r="D269" i="16"/>
  <c r="F229" i="3"/>
  <c r="S225" i="3"/>
  <c r="T225" i="3" s="1"/>
  <c r="U225" i="3"/>
  <c r="K225" i="3"/>
  <c r="L225" i="3" s="1"/>
  <c r="I225" i="3"/>
  <c r="D225" i="4" s="1"/>
  <c r="E225" i="4"/>
  <c r="F225" i="4" s="1"/>
  <c r="E227" i="3"/>
  <c r="J226" i="3"/>
  <c r="R226" i="3"/>
  <c r="D226" i="3"/>
  <c r="H226" i="3" s="1"/>
  <c r="O61" i="3"/>
  <c r="N61" i="3"/>
  <c r="AI61" i="3"/>
  <c r="H60" i="4"/>
  <c r="G60" i="4"/>
  <c r="I60" i="4" s="1"/>
  <c r="J60" i="4" s="1"/>
  <c r="E270" i="16" l="1"/>
  <c r="F271" i="16" s="1"/>
  <c r="G272" i="16" s="1"/>
  <c r="H273" i="16" s="1"/>
  <c r="I274" i="16" s="1"/>
  <c r="J275" i="16" s="1"/>
  <c r="K276" i="16" s="1"/>
  <c r="L277" i="16" s="1"/>
  <c r="D270" i="16"/>
  <c r="P271" i="16"/>
  <c r="Q271" i="16"/>
  <c r="R272" i="16" s="1"/>
  <c r="S273" i="16" s="1"/>
  <c r="T274" i="16" s="1"/>
  <c r="K226" i="3"/>
  <c r="L226" i="3" s="1"/>
  <c r="S226" i="3"/>
  <c r="T226" i="3" s="1"/>
  <c r="U226" i="3"/>
  <c r="M60" i="4"/>
  <c r="K60" i="4"/>
  <c r="F230" i="3"/>
  <c r="I226" i="3"/>
  <c r="D226" i="4" s="1"/>
  <c r="E226" i="4"/>
  <c r="F226" i="4" s="1"/>
  <c r="E228" i="3"/>
  <c r="J227" i="3"/>
  <c r="R227" i="3"/>
  <c r="D227" i="3"/>
  <c r="H227" i="3" s="1"/>
  <c r="P61" i="3"/>
  <c r="Q61" i="3" s="1"/>
  <c r="Q272" i="16" l="1"/>
  <c r="R273" i="16" s="1"/>
  <c r="S274" i="16" s="1"/>
  <c r="T275" i="16" s="1"/>
  <c r="P272" i="16"/>
  <c r="E271" i="16"/>
  <c r="F272" i="16" s="1"/>
  <c r="G273" i="16" s="1"/>
  <c r="H274" i="16" s="1"/>
  <c r="I275" i="16" s="1"/>
  <c r="J276" i="16" s="1"/>
  <c r="K277" i="16" s="1"/>
  <c r="L278" i="16" s="1"/>
  <c r="D271" i="16"/>
  <c r="K227" i="3"/>
  <c r="L227" i="3" s="1"/>
  <c r="F231" i="3"/>
  <c r="L61" i="4"/>
  <c r="V61" i="3"/>
  <c r="I227" i="3"/>
  <c r="D227" i="4" s="1"/>
  <c r="E227" i="4"/>
  <c r="F227" i="4" s="1"/>
  <c r="E229" i="3"/>
  <c r="R228" i="3"/>
  <c r="J228" i="3"/>
  <c r="D228" i="3"/>
  <c r="H228" i="3" s="1"/>
  <c r="S227" i="3"/>
  <c r="T227" i="3" s="1"/>
  <c r="U227" i="3"/>
  <c r="D272" i="16" l="1"/>
  <c r="E272" i="16"/>
  <c r="F273" i="16" s="1"/>
  <c r="G274" i="16" s="1"/>
  <c r="H275" i="16" s="1"/>
  <c r="I276" i="16" s="1"/>
  <c r="J277" i="16" s="1"/>
  <c r="K278" i="16" s="1"/>
  <c r="L279" i="16" s="1"/>
  <c r="P273" i="16"/>
  <c r="Q273" i="16"/>
  <c r="R274" i="16" s="1"/>
  <c r="S275" i="16" s="1"/>
  <c r="T276" i="16" s="1"/>
  <c r="I228" i="3"/>
  <c r="D228" i="4" s="1"/>
  <c r="E228" i="4"/>
  <c r="F228" i="4" s="1"/>
  <c r="K228" i="3"/>
  <c r="L228" i="3" s="1"/>
  <c r="W61" i="3"/>
  <c r="X61" i="3" s="1"/>
  <c r="Y61" i="3" s="1"/>
  <c r="Z61" i="3" s="1"/>
  <c r="AA61" i="3" s="1"/>
  <c r="AB61" i="3" s="1"/>
  <c r="F232" i="3"/>
  <c r="S228" i="3"/>
  <c r="T228" i="3" s="1"/>
  <c r="U228" i="3"/>
  <c r="E230" i="3"/>
  <c r="J229" i="3"/>
  <c r="R229" i="3"/>
  <c r="D229" i="3"/>
  <c r="H229" i="3" s="1"/>
  <c r="P274" i="16" l="1"/>
  <c r="Q274" i="16"/>
  <c r="R275" i="16" s="1"/>
  <c r="S276" i="16" s="1"/>
  <c r="T277" i="16" s="1"/>
  <c r="E273" i="16"/>
  <c r="F274" i="16" s="1"/>
  <c r="G275" i="16" s="1"/>
  <c r="H276" i="16" s="1"/>
  <c r="I277" i="16" s="1"/>
  <c r="J278" i="16" s="1"/>
  <c r="K279" i="16" s="1"/>
  <c r="L280" i="16" s="1"/>
  <c r="D273" i="16"/>
  <c r="K229" i="3"/>
  <c r="L229" i="3" s="1"/>
  <c r="C61" i="4"/>
  <c r="AC61" i="3"/>
  <c r="AD61" i="3" s="1"/>
  <c r="M62" i="3"/>
  <c r="U229" i="3"/>
  <c r="S229" i="3"/>
  <c r="T229" i="3" s="1"/>
  <c r="E231" i="3"/>
  <c r="R230" i="3"/>
  <c r="J230" i="3"/>
  <c r="D230" i="3"/>
  <c r="H230" i="3" s="1"/>
  <c r="F233" i="3"/>
  <c r="I229" i="3"/>
  <c r="D229" i="4" s="1"/>
  <c r="E229" i="4"/>
  <c r="F229" i="4" s="1"/>
  <c r="E274" i="16" l="1"/>
  <c r="F275" i="16" s="1"/>
  <c r="G276" i="16" s="1"/>
  <c r="H277" i="16" s="1"/>
  <c r="I278" i="16" s="1"/>
  <c r="J279" i="16" s="1"/>
  <c r="K280" i="16" s="1"/>
  <c r="L281" i="16" s="1"/>
  <c r="D274" i="16"/>
  <c r="P275" i="16"/>
  <c r="Q275" i="16"/>
  <c r="R276" i="16" s="1"/>
  <c r="S277" i="16" s="1"/>
  <c r="T278" i="16" s="1"/>
  <c r="F234" i="3"/>
  <c r="E232" i="3"/>
  <c r="R231" i="3"/>
  <c r="D231" i="3"/>
  <c r="H231" i="3" s="1"/>
  <c r="J231" i="3"/>
  <c r="K230" i="3"/>
  <c r="L230" i="3" s="1"/>
  <c r="U230" i="3"/>
  <c r="S230" i="3"/>
  <c r="T230" i="3" s="1"/>
  <c r="E230" i="4"/>
  <c r="F230" i="4" s="1"/>
  <c r="I230" i="3"/>
  <c r="D230" i="4" s="1"/>
  <c r="O62" i="3"/>
  <c r="N62" i="3"/>
  <c r="AI62" i="3"/>
  <c r="G61" i="4"/>
  <c r="I61" i="4" s="1"/>
  <c r="J61" i="4" s="1"/>
  <c r="H61" i="4"/>
  <c r="P276" i="16" l="1"/>
  <c r="Q276" i="16"/>
  <c r="R277" i="16" s="1"/>
  <c r="S278" i="16" s="1"/>
  <c r="T279" i="16" s="1"/>
  <c r="D275" i="16"/>
  <c r="E275" i="16"/>
  <c r="F276" i="16" s="1"/>
  <c r="G277" i="16" s="1"/>
  <c r="H278" i="16" s="1"/>
  <c r="I279" i="16" s="1"/>
  <c r="J280" i="16" s="1"/>
  <c r="K281" i="16" s="1"/>
  <c r="L282" i="16" s="1"/>
  <c r="P62" i="3"/>
  <c r="Q62" i="3" s="1"/>
  <c r="L62" i="4" s="1"/>
  <c r="I231" i="3"/>
  <c r="D231" i="4" s="1"/>
  <c r="E231" i="4"/>
  <c r="F231" i="4" s="1"/>
  <c r="K231" i="3"/>
  <c r="L231" i="3" s="1"/>
  <c r="S231" i="3"/>
  <c r="T231" i="3" s="1"/>
  <c r="U231" i="3"/>
  <c r="E233" i="3"/>
  <c r="D232" i="3"/>
  <c r="H232" i="3" s="1"/>
  <c r="J232" i="3"/>
  <c r="R232" i="3"/>
  <c r="K61" i="4"/>
  <c r="M61" i="4"/>
  <c r="F235" i="3"/>
  <c r="E276" i="16" l="1"/>
  <c r="F277" i="16" s="1"/>
  <c r="G278" i="16" s="1"/>
  <c r="H279" i="16" s="1"/>
  <c r="I280" i="16" s="1"/>
  <c r="J281" i="16" s="1"/>
  <c r="K282" i="16" s="1"/>
  <c r="L283" i="16" s="1"/>
  <c r="D276" i="16"/>
  <c r="P277" i="16"/>
  <c r="Q277" i="16"/>
  <c r="R278" i="16" s="1"/>
  <c r="S279" i="16" s="1"/>
  <c r="T280" i="16" s="1"/>
  <c r="V62" i="3"/>
  <c r="W62" i="3" s="1"/>
  <c r="X62" i="3" s="1"/>
  <c r="Y62" i="3" s="1"/>
  <c r="Z62" i="3" s="1"/>
  <c r="AA62" i="3" s="1"/>
  <c r="AB62" i="3" s="1"/>
  <c r="E232" i="4"/>
  <c r="F232" i="4" s="1"/>
  <c r="I232" i="3"/>
  <c r="D232" i="4" s="1"/>
  <c r="F236" i="3"/>
  <c r="S232" i="3"/>
  <c r="T232" i="3" s="1"/>
  <c r="U232" i="3"/>
  <c r="K232" i="3"/>
  <c r="L232" i="3" s="1"/>
  <c r="E234" i="3"/>
  <c r="J233" i="3"/>
  <c r="R233" i="3"/>
  <c r="D233" i="3"/>
  <c r="H233" i="3" s="1"/>
  <c r="P278" i="16" l="1"/>
  <c r="Q278" i="16"/>
  <c r="R279" i="16" s="1"/>
  <c r="S280" i="16" s="1"/>
  <c r="T281" i="16" s="1"/>
  <c r="D277" i="16"/>
  <c r="E277" i="16"/>
  <c r="F278" i="16" s="1"/>
  <c r="G279" i="16" s="1"/>
  <c r="H280" i="16" s="1"/>
  <c r="I281" i="16" s="1"/>
  <c r="J282" i="16" s="1"/>
  <c r="K283" i="16" s="1"/>
  <c r="L284" i="16" s="1"/>
  <c r="K233" i="3"/>
  <c r="L233" i="3" s="1"/>
  <c r="U233" i="3"/>
  <c r="S233" i="3"/>
  <c r="T233" i="3" s="1"/>
  <c r="E235" i="3"/>
  <c r="J234" i="3"/>
  <c r="R234" i="3"/>
  <c r="D234" i="3"/>
  <c r="H234" i="3" s="1"/>
  <c r="F237" i="3"/>
  <c r="C62" i="4"/>
  <c r="AC62" i="3"/>
  <c r="AD62" i="3" s="1"/>
  <c r="M63" i="3"/>
  <c r="E233" i="4"/>
  <c r="F233" i="4" s="1"/>
  <c r="I233" i="3"/>
  <c r="D233" i="4" s="1"/>
  <c r="E278" i="16" l="1"/>
  <c r="F279" i="16" s="1"/>
  <c r="G280" i="16" s="1"/>
  <c r="H281" i="16" s="1"/>
  <c r="I282" i="16" s="1"/>
  <c r="J283" i="16" s="1"/>
  <c r="K284" i="16" s="1"/>
  <c r="L285" i="16" s="1"/>
  <c r="D278" i="16"/>
  <c r="P279" i="16"/>
  <c r="Q279" i="16"/>
  <c r="R280" i="16" s="1"/>
  <c r="S281" i="16" s="1"/>
  <c r="T282" i="16" s="1"/>
  <c r="N63" i="3"/>
  <c r="O63" i="3"/>
  <c r="AI63" i="3"/>
  <c r="I234" i="3"/>
  <c r="D234" i="4" s="1"/>
  <c r="E234" i="4"/>
  <c r="F234" i="4" s="1"/>
  <c r="F238" i="3"/>
  <c r="K234" i="3"/>
  <c r="L234" i="3" s="1"/>
  <c r="G62" i="4"/>
  <c r="I62" i="4" s="1"/>
  <c r="J62" i="4" s="1"/>
  <c r="H62" i="4"/>
  <c r="U234" i="3"/>
  <c r="S234" i="3"/>
  <c r="T234" i="3" s="1"/>
  <c r="E236" i="3"/>
  <c r="J235" i="3"/>
  <c r="D235" i="3"/>
  <c r="H235" i="3" s="1"/>
  <c r="R235" i="3"/>
  <c r="Q280" i="16" l="1"/>
  <c r="R281" i="16" s="1"/>
  <c r="S282" i="16" s="1"/>
  <c r="T283" i="16" s="1"/>
  <c r="P280" i="16"/>
  <c r="D279" i="16"/>
  <c r="E279" i="16"/>
  <c r="F280" i="16" s="1"/>
  <c r="G281" i="16" s="1"/>
  <c r="H282" i="16" s="1"/>
  <c r="I283" i="16" s="1"/>
  <c r="J284" i="16" s="1"/>
  <c r="K285" i="16" s="1"/>
  <c r="L286" i="16" s="1"/>
  <c r="K235" i="3"/>
  <c r="L235" i="3" s="1"/>
  <c r="E237" i="3"/>
  <c r="R236" i="3"/>
  <c r="D236" i="3"/>
  <c r="H236" i="3" s="1"/>
  <c r="J236" i="3"/>
  <c r="K62" i="4"/>
  <c r="M62" i="4"/>
  <c r="U235" i="3"/>
  <c r="S235" i="3"/>
  <c r="T235" i="3" s="1"/>
  <c r="F239" i="3"/>
  <c r="I235" i="3"/>
  <c r="D235" i="4" s="1"/>
  <c r="E235" i="4"/>
  <c r="F235" i="4" s="1"/>
  <c r="P63" i="3"/>
  <c r="Q63" i="3" s="1"/>
  <c r="E280" i="16" l="1"/>
  <c r="F281" i="16" s="1"/>
  <c r="G282" i="16" s="1"/>
  <c r="H283" i="16" s="1"/>
  <c r="I284" i="16" s="1"/>
  <c r="J285" i="16" s="1"/>
  <c r="K286" i="16" s="1"/>
  <c r="L287" i="16" s="1"/>
  <c r="D280" i="16"/>
  <c r="P281" i="16"/>
  <c r="Q281" i="16"/>
  <c r="R282" i="16" s="1"/>
  <c r="S283" i="16" s="1"/>
  <c r="T284" i="16" s="1"/>
  <c r="K236" i="3"/>
  <c r="L236" i="3" s="1"/>
  <c r="F240" i="3"/>
  <c r="L63" i="4"/>
  <c r="V63" i="3"/>
  <c r="S236" i="3"/>
  <c r="T236" i="3" s="1"/>
  <c r="U236" i="3"/>
  <c r="I236" i="3"/>
  <c r="D236" i="4" s="1"/>
  <c r="E236" i="4"/>
  <c r="F236" i="4" s="1"/>
  <c r="E238" i="3"/>
  <c r="J237" i="3"/>
  <c r="D237" i="3"/>
  <c r="H237" i="3" s="1"/>
  <c r="R237" i="3"/>
  <c r="P282" i="16" l="1"/>
  <c r="Q282" i="16"/>
  <c r="R283" i="16" s="1"/>
  <c r="S284" i="16" s="1"/>
  <c r="T285" i="16" s="1"/>
  <c r="E281" i="16"/>
  <c r="F282" i="16" s="1"/>
  <c r="G283" i="16" s="1"/>
  <c r="H284" i="16" s="1"/>
  <c r="I285" i="16" s="1"/>
  <c r="J286" i="16" s="1"/>
  <c r="K287" i="16" s="1"/>
  <c r="L288" i="16" s="1"/>
  <c r="D281" i="16"/>
  <c r="K237" i="3"/>
  <c r="L237" i="3" s="1"/>
  <c r="E239" i="3"/>
  <c r="D238" i="3"/>
  <c r="H238" i="3" s="1"/>
  <c r="R238" i="3"/>
  <c r="J238" i="3"/>
  <c r="E237" i="4"/>
  <c r="F237" i="4" s="1"/>
  <c r="I237" i="3"/>
  <c r="D237" i="4" s="1"/>
  <c r="W63" i="3"/>
  <c r="X63" i="3" s="1"/>
  <c r="Y63" i="3" s="1"/>
  <c r="Z63" i="3" s="1"/>
  <c r="AA63" i="3" s="1"/>
  <c r="AB63" i="3" s="1"/>
  <c r="F241" i="3"/>
  <c r="U237" i="3"/>
  <c r="S237" i="3"/>
  <c r="T237" i="3" s="1"/>
  <c r="E282" i="16" l="1"/>
  <c r="F283" i="16" s="1"/>
  <c r="G284" i="16" s="1"/>
  <c r="H285" i="16" s="1"/>
  <c r="I286" i="16" s="1"/>
  <c r="J287" i="16" s="1"/>
  <c r="K288" i="16" s="1"/>
  <c r="L289" i="16" s="1"/>
  <c r="D282" i="16"/>
  <c r="P283" i="16"/>
  <c r="Q283" i="16"/>
  <c r="R284" i="16" s="1"/>
  <c r="S285" i="16" s="1"/>
  <c r="T286" i="16" s="1"/>
  <c r="K238" i="3"/>
  <c r="L238" i="3" s="1"/>
  <c r="M64" i="3"/>
  <c r="AC63" i="3"/>
  <c r="AD63" i="3" s="1"/>
  <c r="C63" i="4"/>
  <c r="S238" i="3"/>
  <c r="T238" i="3" s="1"/>
  <c r="U238" i="3"/>
  <c r="E240" i="3"/>
  <c r="R239" i="3"/>
  <c r="J239" i="3"/>
  <c r="D239" i="3"/>
  <c r="H239" i="3" s="1"/>
  <c r="F242" i="3"/>
  <c r="I238" i="3"/>
  <c r="D238" i="4" s="1"/>
  <c r="E238" i="4"/>
  <c r="F238" i="4" s="1"/>
  <c r="P284" i="16" l="1"/>
  <c r="Q284" i="16"/>
  <c r="R285" i="16" s="1"/>
  <c r="S286" i="16" s="1"/>
  <c r="T287" i="16" s="1"/>
  <c r="E283" i="16"/>
  <c r="F284" i="16" s="1"/>
  <c r="G285" i="16" s="1"/>
  <c r="H286" i="16" s="1"/>
  <c r="I287" i="16" s="1"/>
  <c r="J288" i="16" s="1"/>
  <c r="K289" i="16" s="1"/>
  <c r="L290" i="16" s="1"/>
  <c r="D283" i="16"/>
  <c r="U239" i="3"/>
  <c r="S239" i="3"/>
  <c r="T239" i="3" s="1"/>
  <c r="F243" i="3"/>
  <c r="E241" i="3"/>
  <c r="J240" i="3"/>
  <c r="D240" i="3"/>
  <c r="H240" i="3" s="1"/>
  <c r="R240" i="3"/>
  <c r="H63" i="4"/>
  <c r="G63" i="4"/>
  <c r="I63" i="4" s="1"/>
  <c r="J63" i="4" s="1"/>
  <c r="K239" i="3"/>
  <c r="L239" i="3" s="1"/>
  <c r="E239" i="4"/>
  <c r="F239" i="4" s="1"/>
  <c r="I239" i="3"/>
  <c r="D239" i="4" s="1"/>
  <c r="N64" i="3"/>
  <c r="O64" i="3"/>
  <c r="AI64" i="3"/>
  <c r="E284" i="16" l="1"/>
  <c r="F285" i="16" s="1"/>
  <c r="G286" i="16" s="1"/>
  <c r="H287" i="16" s="1"/>
  <c r="I288" i="16" s="1"/>
  <c r="J289" i="16" s="1"/>
  <c r="K290" i="16" s="1"/>
  <c r="L291" i="16" s="1"/>
  <c r="D284" i="16"/>
  <c r="P285" i="16"/>
  <c r="Q285" i="16"/>
  <c r="R286" i="16" s="1"/>
  <c r="S287" i="16" s="1"/>
  <c r="T288" i="16" s="1"/>
  <c r="K240" i="3"/>
  <c r="L240" i="3" s="1"/>
  <c r="K63" i="4"/>
  <c r="M63" i="4"/>
  <c r="U240" i="3"/>
  <c r="S240" i="3"/>
  <c r="T240" i="3" s="1"/>
  <c r="E242" i="3"/>
  <c r="D241" i="3"/>
  <c r="H241" i="3" s="1"/>
  <c r="R241" i="3"/>
  <c r="J241" i="3"/>
  <c r="I240" i="3"/>
  <c r="D240" i="4" s="1"/>
  <c r="E240" i="4"/>
  <c r="F240" i="4" s="1"/>
  <c r="F244" i="3"/>
  <c r="P64" i="3"/>
  <c r="Q64" i="3" s="1"/>
  <c r="P286" i="16" l="1"/>
  <c r="Q286" i="16"/>
  <c r="R287" i="16" s="1"/>
  <c r="S288" i="16" s="1"/>
  <c r="T289" i="16" s="1"/>
  <c r="E285" i="16"/>
  <c r="F286" i="16" s="1"/>
  <c r="G287" i="16" s="1"/>
  <c r="H288" i="16" s="1"/>
  <c r="I289" i="16" s="1"/>
  <c r="J290" i="16" s="1"/>
  <c r="K291" i="16" s="1"/>
  <c r="L292" i="16" s="1"/>
  <c r="D285" i="16"/>
  <c r="K241" i="3"/>
  <c r="L241" i="3" s="1"/>
  <c r="E243" i="3"/>
  <c r="R242" i="3"/>
  <c r="D242" i="3"/>
  <c r="H242" i="3" s="1"/>
  <c r="J242" i="3"/>
  <c r="U241" i="3"/>
  <c r="S241" i="3"/>
  <c r="T241" i="3" s="1"/>
  <c r="F245" i="3"/>
  <c r="E241" i="4"/>
  <c r="F241" i="4" s="1"/>
  <c r="I241" i="3"/>
  <c r="D241" i="4" s="1"/>
  <c r="L64" i="4"/>
  <c r="V64" i="3"/>
  <c r="E286" i="16" l="1"/>
  <c r="F287" i="16" s="1"/>
  <c r="G288" i="16" s="1"/>
  <c r="H289" i="16" s="1"/>
  <c r="I290" i="16" s="1"/>
  <c r="J291" i="16" s="1"/>
  <c r="K292" i="16" s="1"/>
  <c r="L293" i="16" s="1"/>
  <c r="D286" i="16"/>
  <c r="P287" i="16"/>
  <c r="Q287" i="16"/>
  <c r="R288" i="16" s="1"/>
  <c r="S289" i="16" s="1"/>
  <c r="T290" i="16" s="1"/>
  <c r="K242" i="3"/>
  <c r="L242" i="3" s="1"/>
  <c r="F246" i="3"/>
  <c r="E242" i="4"/>
  <c r="F242" i="4" s="1"/>
  <c r="I242" i="3"/>
  <c r="D242" i="4" s="1"/>
  <c r="S242" i="3"/>
  <c r="T242" i="3" s="1"/>
  <c r="U242" i="3"/>
  <c r="W64" i="3"/>
  <c r="X64" i="3" s="1"/>
  <c r="Y64" i="3" s="1"/>
  <c r="Z64" i="3" s="1"/>
  <c r="AA64" i="3" s="1"/>
  <c r="AB64" i="3" s="1"/>
  <c r="E244" i="3"/>
  <c r="R243" i="3"/>
  <c r="D243" i="3"/>
  <c r="H243" i="3" s="1"/>
  <c r="J243" i="3"/>
  <c r="Q288" i="16" l="1"/>
  <c r="R289" i="16" s="1"/>
  <c r="S290" i="16" s="1"/>
  <c r="T291" i="16" s="1"/>
  <c r="P288" i="16"/>
  <c r="E287" i="16"/>
  <c r="F288" i="16" s="1"/>
  <c r="G289" i="16" s="1"/>
  <c r="H290" i="16" s="1"/>
  <c r="I291" i="16" s="1"/>
  <c r="J292" i="16" s="1"/>
  <c r="K293" i="16" s="1"/>
  <c r="L294" i="16" s="1"/>
  <c r="D287" i="16"/>
  <c r="K243" i="3"/>
  <c r="L243" i="3" s="1"/>
  <c r="M65" i="3"/>
  <c r="C64" i="4"/>
  <c r="AC64" i="3"/>
  <c r="AD64" i="3" s="1"/>
  <c r="I243" i="3"/>
  <c r="D243" i="4" s="1"/>
  <c r="E243" i="4"/>
  <c r="F243" i="4" s="1"/>
  <c r="E245" i="3"/>
  <c r="J244" i="3"/>
  <c r="D244" i="3"/>
  <c r="H244" i="3" s="1"/>
  <c r="R244" i="3"/>
  <c r="S243" i="3"/>
  <c r="T243" i="3" s="1"/>
  <c r="U243" i="3"/>
  <c r="F247" i="3"/>
  <c r="D288" i="16" l="1"/>
  <c r="E288" i="16"/>
  <c r="F289" i="16" s="1"/>
  <c r="G290" i="16" s="1"/>
  <c r="H291" i="16" s="1"/>
  <c r="I292" i="16" s="1"/>
  <c r="J293" i="16" s="1"/>
  <c r="K294" i="16" s="1"/>
  <c r="L295" i="16" s="1"/>
  <c r="P289" i="16"/>
  <c r="Q289" i="16"/>
  <c r="R290" i="16" s="1"/>
  <c r="S291" i="16" s="1"/>
  <c r="T292" i="16" s="1"/>
  <c r="E244" i="4"/>
  <c r="F244" i="4" s="1"/>
  <c r="I244" i="3"/>
  <c r="D244" i="4" s="1"/>
  <c r="F248" i="3"/>
  <c r="S244" i="3"/>
  <c r="T244" i="3" s="1"/>
  <c r="U244" i="3"/>
  <c r="E246" i="3"/>
  <c r="R245" i="3"/>
  <c r="D245" i="3"/>
  <c r="H245" i="3" s="1"/>
  <c r="J245" i="3"/>
  <c r="K244" i="3"/>
  <c r="L244" i="3" s="1"/>
  <c r="H64" i="4"/>
  <c r="G64" i="4"/>
  <c r="I64" i="4" s="1"/>
  <c r="J64" i="4" s="1"/>
  <c r="O65" i="3"/>
  <c r="N65" i="3"/>
  <c r="AI65" i="3"/>
  <c r="Q290" i="16" l="1"/>
  <c r="R291" i="16" s="1"/>
  <c r="S292" i="16" s="1"/>
  <c r="T293" i="16" s="1"/>
  <c r="P290" i="16"/>
  <c r="E289" i="16"/>
  <c r="F290" i="16" s="1"/>
  <c r="G291" i="16" s="1"/>
  <c r="H292" i="16" s="1"/>
  <c r="I293" i="16" s="1"/>
  <c r="J294" i="16" s="1"/>
  <c r="K295" i="16" s="1"/>
  <c r="L296" i="16" s="1"/>
  <c r="D289" i="16"/>
  <c r="P65" i="3"/>
  <c r="Q65" i="3" s="1"/>
  <c r="L65" i="4" s="1"/>
  <c r="E247" i="3"/>
  <c r="D246" i="3"/>
  <c r="H246" i="3" s="1"/>
  <c r="R246" i="3"/>
  <c r="J246" i="3"/>
  <c r="K245" i="3"/>
  <c r="L245" i="3" s="1"/>
  <c r="F249" i="3"/>
  <c r="I245" i="3"/>
  <c r="D245" i="4" s="1"/>
  <c r="E245" i="4"/>
  <c r="F245" i="4" s="1"/>
  <c r="S245" i="3"/>
  <c r="T245" i="3" s="1"/>
  <c r="U245" i="3"/>
  <c r="M64" i="4"/>
  <c r="K64" i="4"/>
  <c r="V65" i="3" l="1"/>
  <c r="W65" i="3" s="1"/>
  <c r="X65" i="3" s="1"/>
  <c r="Y65" i="3" s="1"/>
  <c r="Z65" i="3" s="1"/>
  <c r="AA65" i="3" s="1"/>
  <c r="AB65" i="3" s="1"/>
  <c r="E290" i="16"/>
  <c r="F291" i="16" s="1"/>
  <c r="G292" i="16" s="1"/>
  <c r="H293" i="16" s="1"/>
  <c r="I294" i="16" s="1"/>
  <c r="J295" i="16" s="1"/>
  <c r="K296" i="16" s="1"/>
  <c r="L297" i="16" s="1"/>
  <c r="D290" i="16"/>
  <c r="P291" i="16"/>
  <c r="Q291" i="16"/>
  <c r="R292" i="16" s="1"/>
  <c r="S293" i="16" s="1"/>
  <c r="T294" i="16" s="1"/>
  <c r="K246" i="3"/>
  <c r="L246" i="3" s="1"/>
  <c r="F250" i="3"/>
  <c r="E246" i="4"/>
  <c r="F246" i="4" s="1"/>
  <c r="I246" i="3"/>
  <c r="D246" i="4" s="1"/>
  <c r="U246" i="3"/>
  <c r="S246" i="3"/>
  <c r="T246" i="3" s="1"/>
  <c r="E248" i="3"/>
  <c r="D247" i="3"/>
  <c r="H247" i="3" s="1"/>
  <c r="J247" i="3"/>
  <c r="R247" i="3"/>
  <c r="P292" i="16" l="1"/>
  <c r="Q292" i="16"/>
  <c r="R293" i="16" s="1"/>
  <c r="S294" i="16" s="1"/>
  <c r="T295" i="16" s="1"/>
  <c r="D291" i="16"/>
  <c r="E291" i="16"/>
  <c r="F292" i="16" s="1"/>
  <c r="G293" i="16" s="1"/>
  <c r="H294" i="16" s="1"/>
  <c r="I295" i="16" s="1"/>
  <c r="J296" i="16" s="1"/>
  <c r="K297" i="16" s="1"/>
  <c r="L298" i="16" s="1"/>
  <c r="K247" i="3"/>
  <c r="L247" i="3" s="1"/>
  <c r="I247" i="3"/>
  <c r="D247" i="4" s="1"/>
  <c r="E247" i="4"/>
  <c r="F247" i="4" s="1"/>
  <c r="E249" i="3"/>
  <c r="J248" i="3"/>
  <c r="R248" i="3"/>
  <c r="D248" i="3"/>
  <c r="H248" i="3" s="1"/>
  <c r="F251" i="3"/>
  <c r="AC65" i="3"/>
  <c r="AD65" i="3" s="1"/>
  <c r="M66" i="3"/>
  <c r="C65" i="4"/>
  <c r="S247" i="3"/>
  <c r="T247" i="3" s="1"/>
  <c r="U247" i="3"/>
  <c r="D292" i="16" l="1"/>
  <c r="E292" i="16"/>
  <c r="F293" i="16" s="1"/>
  <c r="G294" i="16" s="1"/>
  <c r="H295" i="16" s="1"/>
  <c r="I296" i="16" s="1"/>
  <c r="J297" i="16" s="1"/>
  <c r="K298" i="16" s="1"/>
  <c r="L299" i="16" s="1"/>
  <c r="P293" i="16"/>
  <c r="Q293" i="16"/>
  <c r="R294" i="16" s="1"/>
  <c r="S295" i="16" s="1"/>
  <c r="T296" i="16" s="1"/>
  <c r="F252" i="3"/>
  <c r="H65" i="4"/>
  <c r="G65" i="4"/>
  <c r="I65" i="4" s="1"/>
  <c r="J65" i="4" s="1"/>
  <c r="O66" i="3"/>
  <c r="AI66" i="3"/>
  <c r="N66" i="3"/>
  <c r="S248" i="3"/>
  <c r="T248" i="3" s="1"/>
  <c r="U248" i="3"/>
  <c r="E250" i="3"/>
  <c r="D249" i="3"/>
  <c r="H249" i="3" s="1"/>
  <c r="J249" i="3"/>
  <c r="R249" i="3"/>
  <c r="K248" i="3"/>
  <c r="L248" i="3" s="1"/>
  <c r="I248" i="3"/>
  <c r="D248" i="4" s="1"/>
  <c r="E248" i="4"/>
  <c r="F248" i="4" s="1"/>
  <c r="P294" i="16" l="1"/>
  <c r="Q294" i="16"/>
  <c r="R295" i="16" s="1"/>
  <c r="S296" i="16" s="1"/>
  <c r="T297" i="16" s="1"/>
  <c r="E293" i="16"/>
  <c r="F294" i="16" s="1"/>
  <c r="G295" i="16" s="1"/>
  <c r="H296" i="16" s="1"/>
  <c r="I297" i="16" s="1"/>
  <c r="J298" i="16" s="1"/>
  <c r="K299" i="16" s="1"/>
  <c r="L300" i="16" s="1"/>
  <c r="D293" i="16"/>
  <c r="P66" i="3"/>
  <c r="Q66" i="3" s="1"/>
  <c r="L66" i="4" s="1"/>
  <c r="K249" i="3"/>
  <c r="L249" i="3" s="1"/>
  <c r="E251" i="3"/>
  <c r="R250" i="3"/>
  <c r="J250" i="3"/>
  <c r="D250" i="3"/>
  <c r="H250" i="3" s="1"/>
  <c r="E249" i="4"/>
  <c r="F249" i="4" s="1"/>
  <c r="I249" i="3"/>
  <c r="D249" i="4" s="1"/>
  <c r="S249" i="3"/>
  <c r="T249" i="3" s="1"/>
  <c r="U249" i="3"/>
  <c r="K65" i="4"/>
  <c r="M65" i="4"/>
  <c r="F253" i="3"/>
  <c r="E294" i="16" l="1"/>
  <c r="F295" i="16" s="1"/>
  <c r="G296" i="16" s="1"/>
  <c r="H297" i="16" s="1"/>
  <c r="I298" i="16" s="1"/>
  <c r="J299" i="16" s="1"/>
  <c r="K300" i="16" s="1"/>
  <c r="L301" i="16" s="1"/>
  <c r="D294" i="16"/>
  <c r="V66" i="3"/>
  <c r="W66" i="3" s="1"/>
  <c r="X66" i="3" s="1"/>
  <c r="Y66" i="3" s="1"/>
  <c r="Z66" i="3" s="1"/>
  <c r="AA66" i="3" s="1"/>
  <c r="AB66" i="3" s="1"/>
  <c r="Q295" i="16"/>
  <c r="R296" i="16" s="1"/>
  <c r="S297" i="16" s="1"/>
  <c r="T298" i="16" s="1"/>
  <c r="P295" i="16"/>
  <c r="U250" i="3"/>
  <c r="S250" i="3"/>
  <c r="T250" i="3" s="1"/>
  <c r="K250" i="3"/>
  <c r="L250" i="3" s="1"/>
  <c r="E252" i="3"/>
  <c r="J251" i="3"/>
  <c r="D251" i="3"/>
  <c r="H251" i="3" s="1"/>
  <c r="R251" i="3"/>
  <c r="F254" i="3"/>
  <c r="I250" i="3"/>
  <c r="D250" i="4" s="1"/>
  <c r="E250" i="4"/>
  <c r="F250" i="4" s="1"/>
  <c r="Q296" i="16" l="1"/>
  <c r="R297" i="16" s="1"/>
  <c r="S298" i="16" s="1"/>
  <c r="T299" i="16" s="1"/>
  <c r="P296" i="16"/>
  <c r="D295" i="16"/>
  <c r="E295" i="16"/>
  <c r="F296" i="16" s="1"/>
  <c r="G297" i="16" s="1"/>
  <c r="H298" i="16" s="1"/>
  <c r="I299" i="16" s="1"/>
  <c r="J300" i="16" s="1"/>
  <c r="K301" i="16" s="1"/>
  <c r="L302" i="16" s="1"/>
  <c r="K251" i="3"/>
  <c r="L251" i="3" s="1"/>
  <c r="AC66" i="3"/>
  <c r="AD66" i="3" s="1"/>
  <c r="C66" i="4"/>
  <c r="M67" i="3"/>
  <c r="F255" i="3"/>
  <c r="S251" i="3"/>
  <c r="T251" i="3" s="1"/>
  <c r="U251" i="3"/>
  <c r="E253" i="3"/>
  <c r="J252" i="3"/>
  <c r="R252" i="3"/>
  <c r="D252" i="3"/>
  <c r="H252" i="3" s="1"/>
  <c r="I251" i="3"/>
  <c r="D251" i="4" s="1"/>
  <c r="E251" i="4"/>
  <c r="F251" i="4" s="1"/>
  <c r="D296" i="16" l="1"/>
  <c r="E296" i="16"/>
  <c r="F297" i="16" s="1"/>
  <c r="G298" i="16" s="1"/>
  <c r="H299" i="16" s="1"/>
  <c r="I300" i="16" s="1"/>
  <c r="J301" i="16" s="1"/>
  <c r="K302" i="16" s="1"/>
  <c r="L303" i="16" s="1"/>
  <c r="P297" i="16"/>
  <c r="Q297" i="16"/>
  <c r="R298" i="16" s="1"/>
  <c r="S299" i="16" s="1"/>
  <c r="T300" i="16" s="1"/>
  <c r="I252" i="3"/>
  <c r="D252" i="4" s="1"/>
  <c r="E252" i="4"/>
  <c r="F252" i="4" s="1"/>
  <c r="S252" i="3"/>
  <c r="T252" i="3" s="1"/>
  <c r="U252" i="3"/>
  <c r="O67" i="3"/>
  <c r="N67" i="3"/>
  <c r="AI67" i="3"/>
  <c r="H66" i="4"/>
  <c r="G66" i="4"/>
  <c r="I66" i="4" s="1"/>
  <c r="J66" i="4" s="1"/>
  <c r="K252" i="3"/>
  <c r="L252" i="3" s="1"/>
  <c r="E254" i="3"/>
  <c r="R253" i="3"/>
  <c r="J253" i="3"/>
  <c r="D253" i="3"/>
  <c r="H253" i="3" s="1"/>
  <c r="F256" i="3"/>
  <c r="P298" i="16" l="1"/>
  <c r="Q298" i="16"/>
  <c r="R299" i="16" s="1"/>
  <c r="S300" i="16" s="1"/>
  <c r="T301" i="16" s="1"/>
  <c r="E297" i="16"/>
  <c r="F298" i="16" s="1"/>
  <c r="G299" i="16" s="1"/>
  <c r="H300" i="16" s="1"/>
  <c r="I301" i="16" s="1"/>
  <c r="J302" i="16" s="1"/>
  <c r="K303" i="16" s="1"/>
  <c r="L304" i="16" s="1"/>
  <c r="D297" i="16"/>
  <c r="P67" i="3"/>
  <c r="Q67" i="3" s="1"/>
  <c r="V67" i="3" s="1"/>
  <c r="I253" i="3"/>
  <c r="D253" i="4" s="1"/>
  <c r="E253" i="4"/>
  <c r="F253" i="4" s="1"/>
  <c r="U253" i="3"/>
  <c r="S253" i="3"/>
  <c r="T253" i="3" s="1"/>
  <c r="K66" i="4"/>
  <c r="M66" i="4"/>
  <c r="F257" i="3"/>
  <c r="K253" i="3"/>
  <c r="L253" i="3" s="1"/>
  <c r="E255" i="3"/>
  <c r="R254" i="3"/>
  <c r="J254" i="3"/>
  <c r="D254" i="3"/>
  <c r="H254" i="3" s="1"/>
  <c r="D298" i="16" l="1"/>
  <c r="E298" i="16"/>
  <c r="F299" i="16" s="1"/>
  <c r="G300" i="16" s="1"/>
  <c r="H301" i="16" s="1"/>
  <c r="I302" i="16" s="1"/>
  <c r="J303" i="16" s="1"/>
  <c r="K304" i="16" s="1"/>
  <c r="L305" i="16" s="1"/>
  <c r="P299" i="16"/>
  <c r="Q299" i="16"/>
  <c r="R300" i="16" s="1"/>
  <c r="S301" i="16" s="1"/>
  <c r="T302" i="16" s="1"/>
  <c r="L67" i="4"/>
  <c r="U254" i="3"/>
  <c r="S254" i="3"/>
  <c r="T254" i="3" s="1"/>
  <c r="I254" i="3"/>
  <c r="D254" i="4" s="1"/>
  <c r="E254" i="4"/>
  <c r="F254" i="4" s="1"/>
  <c r="E256" i="3"/>
  <c r="D255" i="3"/>
  <c r="H255" i="3" s="1"/>
  <c r="J255" i="3"/>
  <c r="R255" i="3"/>
  <c r="K254" i="3"/>
  <c r="L254" i="3" s="1"/>
  <c r="F258" i="3"/>
  <c r="W67" i="3"/>
  <c r="X67" i="3" s="1"/>
  <c r="Y67" i="3" s="1"/>
  <c r="Z67" i="3" s="1"/>
  <c r="AA67" i="3" s="1"/>
  <c r="AB67" i="3" s="1"/>
  <c r="P300" i="16" l="1"/>
  <c r="Q300" i="16"/>
  <c r="R301" i="16" s="1"/>
  <c r="S302" i="16" s="1"/>
  <c r="T303" i="16" s="1"/>
  <c r="E299" i="16"/>
  <c r="F300" i="16" s="1"/>
  <c r="G301" i="16" s="1"/>
  <c r="H302" i="16" s="1"/>
  <c r="I303" i="16" s="1"/>
  <c r="J304" i="16" s="1"/>
  <c r="K305" i="16" s="1"/>
  <c r="L306" i="16" s="1"/>
  <c r="D299" i="16"/>
  <c r="AC67" i="3"/>
  <c r="AD67" i="3" s="1"/>
  <c r="C67" i="4"/>
  <c r="M68" i="3"/>
  <c r="F259" i="3"/>
  <c r="S255" i="3"/>
  <c r="T255" i="3" s="1"/>
  <c r="U255" i="3"/>
  <c r="I255" i="3"/>
  <c r="D255" i="4" s="1"/>
  <c r="E255" i="4"/>
  <c r="F255" i="4" s="1"/>
  <c r="K255" i="3"/>
  <c r="L255" i="3" s="1"/>
  <c r="E257" i="3"/>
  <c r="D256" i="3"/>
  <c r="H256" i="3" s="1"/>
  <c r="J256" i="3"/>
  <c r="R256" i="3"/>
  <c r="E300" i="16" l="1"/>
  <c r="F301" i="16" s="1"/>
  <c r="G302" i="16" s="1"/>
  <c r="H303" i="16" s="1"/>
  <c r="I304" i="16" s="1"/>
  <c r="J305" i="16" s="1"/>
  <c r="K306" i="16" s="1"/>
  <c r="L307" i="16" s="1"/>
  <c r="D300" i="16"/>
  <c r="P301" i="16"/>
  <c r="Q301" i="16"/>
  <c r="R302" i="16" s="1"/>
  <c r="S303" i="16" s="1"/>
  <c r="T304" i="16" s="1"/>
  <c r="K256" i="3"/>
  <c r="L256" i="3" s="1"/>
  <c r="E258" i="3"/>
  <c r="D257" i="3"/>
  <c r="H257" i="3" s="1"/>
  <c r="J257" i="3"/>
  <c r="R257" i="3"/>
  <c r="F260" i="3"/>
  <c r="I256" i="3"/>
  <c r="D256" i="4" s="1"/>
  <c r="E256" i="4"/>
  <c r="F256" i="4" s="1"/>
  <c r="AI68" i="3"/>
  <c r="O68" i="3"/>
  <c r="N68" i="3"/>
  <c r="H67" i="4"/>
  <c r="G67" i="4"/>
  <c r="I67" i="4" s="1"/>
  <c r="J67" i="4" s="1"/>
  <c r="S256" i="3"/>
  <c r="T256" i="3" s="1"/>
  <c r="U256" i="3"/>
  <c r="P302" i="16" l="1"/>
  <c r="Q302" i="16"/>
  <c r="R303" i="16" s="1"/>
  <c r="S304" i="16" s="1"/>
  <c r="T305" i="16" s="1"/>
  <c r="E301" i="16"/>
  <c r="F302" i="16" s="1"/>
  <c r="G303" i="16" s="1"/>
  <c r="H304" i="16" s="1"/>
  <c r="I305" i="16" s="1"/>
  <c r="J306" i="16" s="1"/>
  <c r="K307" i="16" s="1"/>
  <c r="L308" i="16" s="1"/>
  <c r="D301" i="16"/>
  <c r="E257" i="4"/>
  <c r="F257" i="4" s="1"/>
  <c r="I257" i="3"/>
  <c r="D257" i="4" s="1"/>
  <c r="F261" i="3"/>
  <c r="U257" i="3"/>
  <c r="S257" i="3"/>
  <c r="T257" i="3" s="1"/>
  <c r="E259" i="3"/>
  <c r="R258" i="3"/>
  <c r="D258" i="3"/>
  <c r="H258" i="3" s="1"/>
  <c r="J258" i="3"/>
  <c r="K257" i="3"/>
  <c r="L257" i="3" s="1"/>
  <c r="K67" i="4"/>
  <c r="M67" i="4"/>
  <c r="P68" i="3"/>
  <c r="Q68" i="3" s="1"/>
  <c r="D302" i="16" l="1"/>
  <c r="E302" i="16"/>
  <c r="F303" i="16" s="1"/>
  <c r="G304" i="16" s="1"/>
  <c r="H305" i="16" s="1"/>
  <c r="I306" i="16" s="1"/>
  <c r="J307" i="16" s="1"/>
  <c r="K308" i="16" s="1"/>
  <c r="L309" i="16" s="1"/>
  <c r="P303" i="16"/>
  <c r="Q303" i="16"/>
  <c r="R304" i="16" s="1"/>
  <c r="S305" i="16" s="1"/>
  <c r="T306" i="16" s="1"/>
  <c r="U258" i="3"/>
  <c r="S258" i="3"/>
  <c r="T258" i="3" s="1"/>
  <c r="F262" i="3"/>
  <c r="K258" i="3"/>
  <c r="L258" i="3" s="1"/>
  <c r="E260" i="3"/>
  <c r="D259" i="3"/>
  <c r="H259" i="3" s="1"/>
  <c r="R259" i="3"/>
  <c r="J259" i="3"/>
  <c r="L68" i="4"/>
  <c r="V68" i="3"/>
  <c r="I258" i="3"/>
  <c r="D258" i="4" s="1"/>
  <c r="E258" i="4"/>
  <c r="F258" i="4" s="1"/>
  <c r="Q304" i="16" l="1"/>
  <c r="R305" i="16" s="1"/>
  <c r="S306" i="16" s="1"/>
  <c r="T307" i="16" s="1"/>
  <c r="P304" i="16"/>
  <c r="E303" i="16"/>
  <c r="F304" i="16" s="1"/>
  <c r="G305" i="16" s="1"/>
  <c r="H306" i="16" s="1"/>
  <c r="I307" i="16" s="1"/>
  <c r="J308" i="16" s="1"/>
  <c r="K309" i="16" s="1"/>
  <c r="L310" i="16" s="1"/>
  <c r="D303" i="16"/>
  <c r="K259" i="3"/>
  <c r="L259" i="3" s="1"/>
  <c r="W68" i="3"/>
  <c r="X68" i="3" s="1"/>
  <c r="Y68" i="3" s="1"/>
  <c r="Z68" i="3" s="1"/>
  <c r="AA68" i="3" s="1"/>
  <c r="AB68" i="3" s="1"/>
  <c r="I259" i="3"/>
  <c r="D259" i="4" s="1"/>
  <c r="E259" i="4"/>
  <c r="F259" i="4" s="1"/>
  <c r="F263" i="3"/>
  <c r="S259" i="3"/>
  <c r="T259" i="3" s="1"/>
  <c r="U259" i="3"/>
  <c r="E261" i="3"/>
  <c r="J260" i="3"/>
  <c r="R260" i="3"/>
  <c r="D260" i="3"/>
  <c r="H260" i="3" s="1"/>
  <c r="D304" i="16" l="1"/>
  <c r="E304" i="16"/>
  <c r="F305" i="16" s="1"/>
  <c r="G306" i="16" s="1"/>
  <c r="H307" i="16" s="1"/>
  <c r="I308" i="16" s="1"/>
  <c r="J309" i="16" s="1"/>
  <c r="K310" i="16" s="1"/>
  <c r="L311" i="16" s="1"/>
  <c r="P305" i="16"/>
  <c r="Q305" i="16"/>
  <c r="R306" i="16" s="1"/>
  <c r="S307" i="16" s="1"/>
  <c r="T308" i="16" s="1"/>
  <c r="S260" i="3"/>
  <c r="T260" i="3" s="1"/>
  <c r="U260" i="3"/>
  <c r="E260" i="4"/>
  <c r="F260" i="4" s="1"/>
  <c r="I260" i="3"/>
  <c r="D260" i="4" s="1"/>
  <c r="K260" i="3"/>
  <c r="L260" i="3" s="1"/>
  <c r="E262" i="3"/>
  <c r="D261" i="3"/>
  <c r="H261" i="3" s="1"/>
  <c r="J261" i="3"/>
  <c r="R261" i="3"/>
  <c r="F264" i="3"/>
  <c r="C68" i="4"/>
  <c r="AC68" i="3"/>
  <c r="AD68" i="3" s="1"/>
  <c r="M69" i="3"/>
  <c r="P306" i="16" l="1"/>
  <c r="Q306" i="16"/>
  <c r="R307" i="16" s="1"/>
  <c r="S308" i="16" s="1"/>
  <c r="T309" i="16" s="1"/>
  <c r="E305" i="16"/>
  <c r="F306" i="16" s="1"/>
  <c r="G307" i="16" s="1"/>
  <c r="H308" i="16" s="1"/>
  <c r="I309" i="16" s="1"/>
  <c r="J310" i="16" s="1"/>
  <c r="K311" i="16" s="1"/>
  <c r="L312" i="16" s="1"/>
  <c r="D305" i="16"/>
  <c r="I261" i="3"/>
  <c r="D261" i="4" s="1"/>
  <c r="E261" i="4"/>
  <c r="F261" i="4" s="1"/>
  <c r="H68" i="4"/>
  <c r="G68" i="4"/>
  <c r="I68" i="4" s="1"/>
  <c r="J68" i="4" s="1"/>
  <c r="F265" i="3"/>
  <c r="U261" i="3"/>
  <c r="S261" i="3"/>
  <c r="T261" i="3" s="1"/>
  <c r="E263" i="3"/>
  <c r="R262" i="3"/>
  <c r="J262" i="3"/>
  <c r="D262" i="3"/>
  <c r="H262" i="3" s="1"/>
  <c r="K261" i="3"/>
  <c r="L261" i="3" s="1"/>
  <c r="O69" i="3"/>
  <c r="AI69" i="3"/>
  <c r="N69" i="3"/>
  <c r="E306" i="16" l="1"/>
  <c r="F307" i="16" s="1"/>
  <c r="G308" i="16" s="1"/>
  <c r="H309" i="16" s="1"/>
  <c r="I310" i="16" s="1"/>
  <c r="J311" i="16" s="1"/>
  <c r="K312" i="16" s="1"/>
  <c r="L313" i="16" s="1"/>
  <c r="D306" i="16"/>
  <c r="P307" i="16"/>
  <c r="Q307" i="16"/>
  <c r="R308" i="16" s="1"/>
  <c r="S309" i="16" s="1"/>
  <c r="T310" i="16" s="1"/>
  <c r="P69" i="3"/>
  <c r="Q69" i="3" s="1"/>
  <c r="L69" i="4" s="1"/>
  <c r="E262" i="4"/>
  <c r="F262" i="4" s="1"/>
  <c r="I262" i="3"/>
  <c r="D262" i="4" s="1"/>
  <c r="S262" i="3"/>
  <c r="T262" i="3" s="1"/>
  <c r="U262" i="3"/>
  <c r="E264" i="3"/>
  <c r="D263" i="3"/>
  <c r="H263" i="3" s="1"/>
  <c r="R263" i="3"/>
  <c r="J263" i="3"/>
  <c r="K68" i="4"/>
  <c r="M68" i="4"/>
  <c r="K262" i="3"/>
  <c r="L262" i="3" s="1"/>
  <c r="F266" i="3"/>
  <c r="P308" i="16" l="1"/>
  <c r="Q308" i="16"/>
  <c r="R309" i="16" s="1"/>
  <c r="S310" i="16" s="1"/>
  <c r="T311" i="16" s="1"/>
  <c r="D307" i="16"/>
  <c r="E307" i="16"/>
  <c r="F308" i="16" s="1"/>
  <c r="G309" i="16" s="1"/>
  <c r="H310" i="16" s="1"/>
  <c r="I311" i="16" s="1"/>
  <c r="J312" i="16" s="1"/>
  <c r="K313" i="16" s="1"/>
  <c r="L314" i="16" s="1"/>
  <c r="V69" i="3"/>
  <c r="W69" i="3" s="1"/>
  <c r="X69" i="3" s="1"/>
  <c r="Y69" i="3" s="1"/>
  <c r="Z69" i="3" s="1"/>
  <c r="AA69" i="3" s="1"/>
  <c r="AB69" i="3" s="1"/>
  <c r="K263" i="3"/>
  <c r="L263" i="3" s="1"/>
  <c r="E265" i="3"/>
  <c r="R264" i="3"/>
  <c r="J264" i="3"/>
  <c r="D264" i="3"/>
  <c r="H264" i="3" s="1"/>
  <c r="I263" i="3"/>
  <c r="D263" i="4" s="1"/>
  <c r="E263" i="4"/>
  <c r="F263" i="4" s="1"/>
  <c r="S263" i="3"/>
  <c r="T263" i="3" s="1"/>
  <c r="U263" i="3"/>
  <c r="F267" i="3"/>
  <c r="E308" i="16" l="1"/>
  <c r="F309" i="16" s="1"/>
  <c r="G310" i="16" s="1"/>
  <c r="H311" i="16" s="1"/>
  <c r="I312" i="16" s="1"/>
  <c r="J313" i="16" s="1"/>
  <c r="K314" i="16" s="1"/>
  <c r="L315" i="16" s="1"/>
  <c r="D308" i="16"/>
  <c r="Q309" i="16"/>
  <c r="R310" i="16" s="1"/>
  <c r="S311" i="16" s="1"/>
  <c r="T312" i="16" s="1"/>
  <c r="P309" i="16"/>
  <c r="F268" i="3"/>
  <c r="E264" i="4"/>
  <c r="F264" i="4" s="1"/>
  <c r="I264" i="3"/>
  <c r="D264" i="4" s="1"/>
  <c r="AC69" i="3"/>
  <c r="AD69" i="3" s="1"/>
  <c r="C69" i="4"/>
  <c r="M70" i="3"/>
  <c r="U264" i="3"/>
  <c r="S264" i="3"/>
  <c r="T264" i="3" s="1"/>
  <c r="K264" i="3"/>
  <c r="L264" i="3" s="1"/>
  <c r="E266" i="3"/>
  <c r="R265" i="3"/>
  <c r="J265" i="3"/>
  <c r="D265" i="3"/>
  <c r="H265" i="3" s="1"/>
  <c r="P310" i="16" l="1"/>
  <c r="Q310" i="16"/>
  <c r="R311" i="16" s="1"/>
  <c r="S312" i="16" s="1"/>
  <c r="T313" i="16" s="1"/>
  <c r="E309" i="16"/>
  <c r="F310" i="16" s="1"/>
  <c r="G311" i="16" s="1"/>
  <c r="H312" i="16" s="1"/>
  <c r="I313" i="16" s="1"/>
  <c r="J314" i="16" s="1"/>
  <c r="K315" i="16" s="1"/>
  <c r="L316" i="16" s="1"/>
  <c r="D309" i="16"/>
  <c r="G69" i="4"/>
  <c r="I69" i="4" s="1"/>
  <c r="J69" i="4" s="1"/>
  <c r="H69" i="4"/>
  <c r="F269" i="3"/>
  <c r="K265" i="3"/>
  <c r="L265" i="3" s="1"/>
  <c r="E267" i="3"/>
  <c r="D266" i="3"/>
  <c r="H266" i="3" s="1"/>
  <c r="J266" i="3"/>
  <c r="R266" i="3"/>
  <c r="O70" i="3"/>
  <c r="N70" i="3"/>
  <c r="AI70" i="3"/>
  <c r="I265" i="3"/>
  <c r="D265" i="4" s="1"/>
  <c r="E265" i="4"/>
  <c r="F265" i="4" s="1"/>
  <c r="U265" i="3"/>
  <c r="S265" i="3"/>
  <c r="T265" i="3" s="1"/>
  <c r="D310" i="16" l="1"/>
  <c r="E310" i="16"/>
  <c r="F311" i="16" s="1"/>
  <c r="G312" i="16" s="1"/>
  <c r="H313" i="16" s="1"/>
  <c r="I314" i="16" s="1"/>
  <c r="J315" i="16" s="1"/>
  <c r="K316" i="16" s="1"/>
  <c r="L317" i="16" s="1"/>
  <c r="P311" i="16"/>
  <c r="Q311" i="16"/>
  <c r="R312" i="16" s="1"/>
  <c r="S313" i="16" s="1"/>
  <c r="T314" i="16" s="1"/>
  <c r="P70" i="3"/>
  <c r="Q70" i="3" s="1"/>
  <c r="L70" i="4" s="1"/>
  <c r="C25" i="5" s="1"/>
  <c r="N25" i="5" s="1"/>
  <c r="K266" i="3"/>
  <c r="L266" i="3" s="1"/>
  <c r="I266" i="3"/>
  <c r="D266" i="4" s="1"/>
  <c r="E266" i="4"/>
  <c r="F266" i="4" s="1"/>
  <c r="M69" i="4"/>
  <c r="K69" i="4"/>
  <c r="S266" i="3"/>
  <c r="T266" i="3" s="1"/>
  <c r="U266" i="3"/>
  <c r="E268" i="3"/>
  <c r="D267" i="3"/>
  <c r="H267" i="3" s="1"/>
  <c r="J267" i="3"/>
  <c r="R267" i="3"/>
  <c r="F270" i="3"/>
  <c r="Q312" i="16" l="1"/>
  <c r="R313" i="16" s="1"/>
  <c r="S314" i="16" s="1"/>
  <c r="T315" i="16" s="1"/>
  <c r="P312" i="16"/>
  <c r="E311" i="16"/>
  <c r="F312" i="16" s="1"/>
  <c r="G313" i="16" s="1"/>
  <c r="H314" i="16" s="1"/>
  <c r="I315" i="16" s="1"/>
  <c r="J316" i="16" s="1"/>
  <c r="K317" i="16" s="1"/>
  <c r="L318" i="16" s="1"/>
  <c r="D311" i="16"/>
  <c r="V70" i="3"/>
  <c r="W70" i="3" s="1"/>
  <c r="X70" i="3" s="1"/>
  <c r="Y70" i="3" s="1"/>
  <c r="Z70" i="3" s="1"/>
  <c r="AA70" i="3" s="1"/>
  <c r="AB70" i="3" s="1"/>
  <c r="S267" i="3"/>
  <c r="T267" i="3" s="1"/>
  <c r="U267" i="3"/>
  <c r="E269" i="3"/>
  <c r="J268" i="3"/>
  <c r="D268" i="3"/>
  <c r="H268" i="3" s="1"/>
  <c r="R268" i="3"/>
  <c r="K267" i="3"/>
  <c r="L267" i="3" s="1"/>
  <c r="F271" i="3"/>
  <c r="E267" i="4"/>
  <c r="F267" i="4" s="1"/>
  <c r="I267" i="3"/>
  <c r="D267" i="4" s="1"/>
  <c r="D312" i="16" l="1"/>
  <c r="E312" i="16"/>
  <c r="F313" i="16" s="1"/>
  <c r="G314" i="16" s="1"/>
  <c r="H315" i="16" s="1"/>
  <c r="I316" i="16" s="1"/>
  <c r="J317" i="16" s="1"/>
  <c r="K318" i="16" s="1"/>
  <c r="L319" i="16" s="1"/>
  <c r="P313" i="16"/>
  <c r="Q313" i="16"/>
  <c r="R314" i="16" s="1"/>
  <c r="S315" i="16" s="1"/>
  <c r="T316" i="16" s="1"/>
  <c r="AC70" i="3"/>
  <c r="AD70" i="3" s="1"/>
  <c r="C70" i="4"/>
  <c r="M71" i="3"/>
  <c r="F272" i="3"/>
  <c r="K268" i="3"/>
  <c r="L268" i="3" s="1"/>
  <c r="S268" i="3"/>
  <c r="T268" i="3" s="1"/>
  <c r="U268" i="3"/>
  <c r="E270" i="3"/>
  <c r="D269" i="3"/>
  <c r="H269" i="3" s="1"/>
  <c r="J269" i="3"/>
  <c r="R269" i="3"/>
  <c r="I268" i="3"/>
  <c r="D268" i="4" s="1"/>
  <c r="E268" i="4"/>
  <c r="F268" i="4" s="1"/>
  <c r="P314" i="16" l="1"/>
  <c r="Q314" i="16"/>
  <c r="R315" i="16" s="1"/>
  <c r="S316" i="16" s="1"/>
  <c r="T317" i="16" s="1"/>
  <c r="E313" i="16"/>
  <c r="F314" i="16" s="1"/>
  <c r="G315" i="16" s="1"/>
  <c r="H316" i="16" s="1"/>
  <c r="I317" i="16" s="1"/>
  <c r="J318" i="16" s="1"/>
  <c r="K319" i="16" s="1"/>
  <c r="L320" i="16" s="1"/>
  <c r="D313" i="16"/>
  <c r="K269" i="3"/>
  <c r="L269" i="3" s="1"/>
  <c r="S269" i="3"/>
  <c r="T269" i="3" s="1"/>
  <c r="U269" i="3"/>
  <c r="I269" i="3"/>
  <c r="D269" i="4" s="1"/>
  <c r="E269" i="4"/>
  <c r="F269" i="4" s="1"/>
  <c r="E271" i="3"/>
  <c r="J270" i="3"/>
  <c r="D270" i="3"/>
  <c r="H270" i="3" s="1"/>
  <c r="R270" i="3"/>
  <c r="F273" i="3"/>
  <c r="O71" i="3"/>
  <c r="N71" i="3"/>
  <c r="AI71" i="3"/>
  <c r="H70" i="4"/>
  <c r="G70" i="4"/>
  <c r="I70" i="4" s="1"/>
  <c r="J70" i="4" s="1"/>
  <c r="E314" i="16" l="1"/>
  <c r="F315" i="16" s="1"/>
  <c r="G316" i="16" s="1"/>
  <c r="H317" i="16" s="1"/>
  <c r="I318" i="16" s="1"/>
  <c r="J319" i="16" s="1"/>
  <c r="K320" i="16" s="1"/>
  <c r="L321" i="16" s="1"/>
  <c r="D314" i="16"/>
  <c r="P315" i="16"/>
  <c r="Q315" i="16"/>
  <c r="R316" i="16" s="1"/>
  <c r="S317" i="16" s="1"/>
  <c r="T318" i="16" s="1"/>
  <c r="P71" i="3"/>
  <c r="Q71" i="3" s="1"/>
  <c r="L71" i="4" s="1"/>
  <c r="C26" i="5" s="1"/>
  <c r="N26" i="5" s="1"/>
  <c r="S270" i="3"/>
  <c r="T270" i="3" s="1"/>
  <c r="U270" i="3"/>
  <c r="I270" i="3"/>
  <c r="D270" i="4" s="1"/>
  <c r="E270" i="4"/>
  <c r="F270" i="4" s="1"/>
  <c r="D25" i="5"/>
  <c r="M70" i="4"/>
  <c r="K70" i="4"/>
  <c r="E25" i="5" s="1"/>
  <c r="F274" i="3"/>
  <c r="K270" i="3"/>
  <c r="L270" i="3" s="1"/>
  <c r="E272" i="3"/>
  <c r="D271" i="3"/>
  <c r="H271" i="3" s="1"/>
  <c r="R271" i="3"/>
  <c r="J271" i="3"/>
  <c r="P316" i="16" l="1"/>
  <c r="Q316" i="16"/>
  <c r="R317" i="16" s="1"/>
  <c r="S318" i="16" s="1"/>
  <c r="T319" i="16" s="1"/>
  <c r="E315" i="16"/>
  <c r="F316" i="16" s="1"/>
  <c r="G317" i="16" s="1"/>
  <c r="H318" i="16" s="1"/>
  <c r="I319" i="16" s="1"/>
  <c r="J320" i="16" s="1"/>
  <c r="K321" i="16" s="1"/>
  <c r="L322" i="16" s="1"/>
  <c r="D315" i="16"/>
  <c r="V71" i="3"/>
  <c r="W71" i="3" s="1"/>
  <c r="X71" i="3" s="1"/>
  <c r="Y71" i="3" s="1"/>
  <c r="Z71" i="3" s="1"/>
  <c r="AA71" i="3" s="1"/>
  <c r="AB71" i="3" s="1"/>
  <c r="K271" i="3"/>
  <c r="L271" i="3" s="1"/>
  <c r="F275" i="3"/>
  <c r="E273" i="3"/>
  <c r="J272" i="3"/>
  <c r="D272" i="3"/>
  <c r="H272" i="3" s="1"/>
  <c r="R272" i="3"/>
  <c r="S271" i="3"/>
  <c r="T271" i="3" s="1"/>
  <c r="U271" i="3"/>
  <c r="I271" i="3"/>
  <c r="D271" i="4" s="1"/>
  <c r="E271" i="4"/>
  <c r="F271" i="4" s="1"/>
  <c r="D316" i="16" l="1"/>
  <c r="E316" i="16"/>
  <c r="F317" i="16" s="1"/>
  <c r="G318" i="16" s="1"/>
  <c r="H319" i="16" s="1"/>
  <c r="I320" i="16" s="1"/>
  <c r="J321" i="16" s="1"/>
  <c r="K322" i="16" s="1"/>
  <c r="L323" i="16" s="1"/>
  <c r="P317" i="16"/>
  <c r="Q317" i="16"/>
  <c r="R318" i="16" s="1"/>
  <c r="S319" i="16" s="1"/>
  <c r="T320" i="16" s="1"/>
  <c r="I272" i="3"/>
  <c r="D272" i="4" s="1"/>
  <c r="E272" i="4"/>
  <c r="F272" i="4" s="1"/>
  <c r="F276" i="3"/>
  <c r="C71" i="4"/>
  <c r="AC71" i="3"/>
  <c r="AD71" i="3" s="1"/>
  <c r="M72" i="3"/>
  <c r="U272" i="3"/>
  <c r="S272" i="3"/>
  <c r="T272" i="3" s="1"/>
  <c r="K272" i="3"/>
  <c r="L272" i="3" s="1"/>
  <c r="E274" i="3"/>
  <c r="R273" i="3"/>
  <c r="D273" i="3"/>
  <c r="H273" i="3" s="1"/>
  <c r="J273" i="3"/>
  <c r="P318" i="16" l="1"/>
  <c r="Q318" i="16"/>
  <c r="R319" i="16" s="1"/>
  <c r="S320" i="16" s="1"/>
  <c r="T321" i="16" s="1"/>
  <c r="D317" i="16"/>
  <c r="E317" i="16"/>
  <c r="F318" i="16" s="1"/>
  <c r="G319" i="16" s="1"/>
  <c r="H320" i="16" s="1"/>
  <c r="I321" i="16" s="1"/>
  <c r="J322" i="16" s="1"/>
  <c r="K323" i="16" s="1"/>
  <c r="L324" i="16" s="1"/>
  <c r="N72" i="3"/>
  <c r="AI72" i="3"/>
  <c r="O72" i="3"/>
  <c r="S273" i="3"/>
  <c r="T273" i="3" s="1"/>
  <c r="U273" i="3"/>
  <c r="E273" i="4"/>
  <c r="F273" i="4" s="1"/>
  <c r="I273" i="3"/>
  <c r="D273" i="4" s="1"/>
  <c r="E275" i="3"/>
  <c r="D274" i="3"/>
  <c r="H274" i="3" s="1"/>
  <c r="J274" i="3"/>
  <c r="R274" i="3"/>
  <c r="G71" i="4"/>
  <c r="I71" i="4" s="1"/>
  <c r="J71" i="4" s="1"/>
  <c r="H71" i="4"/>
  <c r="F277" i="3"/>
  <c r="K273" i="3"/>
  <c r="L273" i="3" s="1"/>
  <c r="D318" i="16" l="1"/>
  <c r="E318" i="16"/>
  <c r="F319" i="16" s="1"/>
  <c r="G320" i="16" s="1"/>
  <c r="H321" i="16" s="1"/>
  <c r="I322" i="16" s="1"/>
  <c r="J323" i="16" s="1"/>
  <c r="K324" i="16" s="1"/>
  <c r="L325" i="16" s="1"/>
  <c r="Q319" i="16"/>
  <c r="R320" i="16" s="1"/>
  <c r="S321" i="16" s="1"/>
  <c r="T322" i="16" s="1"/>
  <c r="P319" i="16"/>
  <c r="S274" i="3"/>
  <c r="T274" i="3" s="1"/>
  <c r="U274" i="3"/>
  <c r="E276" i="3"/>
  <c r="D275" i="3"/>
  <c r="H275" i="3" s="1"/>
  <c r="J275" i="3"/>
  <c r="R275" i="3"/>
  <c r="K71" i="4"/>
  <c r="E26" i="5" s="1"/>
  <c r="M71" i="4"/>
  <c r="D26" i="5"/>
  <c r="K274" i="3"/>
  <c r="L274" i="3" s="1"/>
  <c r="F278" i="3"/>
  <c r="E274" i="4"/>
  <c r="F274" i="4" s="1"/>
  <c r="I274" i="3"/>
  <c r="D274" i="4" s="1"/>
  <c r="P72" i="3"/>
  <c r="Q72" i="3" s="1"/>
  <c r="Q320" i="16" l="1"/>
  <c r="R321" i="16" s="1"/>
  <c r="S322" i="16" s="1"/>
  <c r="T323" i="16" s="1"/>
  <c r="P320" i="16"/>
  <c r="D319" i="16"/>
  <c r="E319" i="16"/>
  <c r="F320" i="16" s="1"/>
  <c r="G321" i="16" s="1"/>
  <c r="H322" i="16" s="1"/>
  <c r="I323" i="16" s="1"/>
  <c r="J324" i="16" s="1"/>
  <c r="K325" i="16" s="1"/>
  <c r="L326" i="16" s="1"/>
  <c r="F279" i="3"/>
  <c r="U275" i="3"/>
  <c r="S275" i="3"/>
  <c r="T275" i="3" s="1"/>
  <c r="K275" i="3"/>
  <c r="L275" i="3" s="1"/>
  <c r="L72" i="4"/>
  <c r="V72" i="3"/>
  <c r="E275" i="4"/>
  <c r="F275" i="4" s="1"/>
  <c r="I275" i="3"/>
  <c r="D275" i="4" s="1"/>
  <c r="E277" i="3"/>
  <c r="D276" i="3"/>
  <c r="H276" i="3" s="1"/>
  <c r="R276" i="3"/>
  <c r="J276" i="3"/>
  <c r="E320" i="16" l="1"/>
  <c r="F321" i="16" s="1"/>
  <c r="G322" i="16" s="1"/>
  <c r="H323" i="16" s="1"/>
  <c r="I324" i="16" s="1"/>
  <c r="J325" i="16" s="1"/>
  <c r="K326" i="16" s="1"/>
  <c r="L327" i="16" s="1"/>
  <c r="D320" i="16"/>
  <c r="P321" i="16"/>
  <c r="Q321" i="16"/>
  <c r="R322" i="16" s="1"/>
  <c r="S323" i="16" s="1"/>
  <c r="T324" i="16" s="1"/>
  <c r="S276" i="3"/>
  <c r="T276" i="3" s="1"/>
  <c r="U276" i="3"/>
  <c r="W72" i="3"/>
  <c r="X72" i="3" s="1"/>
  <c r="Y72" i="3" s="1"/>
  <c r="Z72" i="3" s="1"/>
  <c r="AA72" i="3" s="1"/>
  <c r="AB72" i="3" s="1"/>
  <c r="E276" i="4"/>
  <c r="F276" i="4" s="1"/>
  <c r="I276" i="3"/>
  <c r="D276" i="4" s="1"/>
  <c r="E278" i="3"/>
  <c r="J277" i="3"/>
  <c r="R277" i="3"/>
  <c r="D277" i="3"/>
  <c r="H277" i="3" s="1"/>
  <c r="F280" i="3"/>
  <c r="K276" i="3"/>
  <c r="L276" i="3" s="1"/>
  <c r="P322" i="16" l="1"/>
  <c r="Q322" i="16"/>
  <c r="R323" i="16" s="1"/>
  <c r="S324" i="16" s="1"/>
  <c r="T325" i="16" s="1"/>
  <c r="E321" i="16"/>
  <c r="F322" i="16" s="1"/>
  <c r="G323" i="16" s="1"/>
  <c r="H324" i="16" s="1"/>
  <c r="I325" i="16" s="1"/>
  <c r="J326" i="16" s="1"/>
  <c r="K327" i="16" s="1"/>
  <c r="L328" i="16" s="1"/>
  <c r="D321" i="16"/>
  <c r="F281" i="3"/>
  <c r="S277" i="3"/>
  <c r="T277" i="3" s="1"/>
  <c r="U277" i="3"/>
  <c r="E279" i="3"/>
  <c r="J278" i="3"/>
  <c r="D278" i="3"/>
  <c r="H278" i="3" s="1"/>
  <c r="R278" i="3"/>
  <c r="K277" i="3"/>
  <c r="L277" i="3" s="1"/>
  <c r="E277" i="4"/>
  <c r="F277" i="4" s="1"/>
  <c r="I277" i="3"/>
  <c r="D277" i="4" s="1"/>
  <c r="AC72" i="3"/>
  <c r="AD72" i="3" s="1"/>
  <c r="M73" i="3"/>
  <c r="C72" i="4"/>
  <c r="E322" i="16" l="1"/>
  <c r="F323" i="16" s="1"/>
  <c r="G324" i="16" s="1"/>
  <c r="H325" i="16" s="1"/>
  <c r="I326" i="16" s="1"/>
  <c r="J327" i="16" s="1"/>
  <c r="K328" i="16" s="1"/>
  <c r="L329" i="16" s="1"/>
  <c r="D322" i="16"/>
  <c r="P323" i="16"/>
  <c r="Q323" i="16"/>
  <c r="R324" i="16" s="1"/>
  <c r="S325" i="16" s="1"/>
  <c r="T326" i="16" s="1"/>
  <c r="K278" i="3"/>
  <c r="L278" i="3" s="1"/>
  <c r="O73" i="3"/>
  <c r="AI73" i="3"/>
  <c r="N73" i="3"/>
  <c r="U278" i="3"/>
  <c r="S278" i="3"/>
  <c r="T278" i="3" s="1"/>
  <c r="I278" i="3"/>
  <c r="D278" i="4" s="1"/>
  <c r="E278" i="4"/>
  <c r="F278" i="4" s="1"/>
  <c r="E280" i="3"/>
  <c r="J279" i="3"/>
  <c r="D279" i="3"/>
  <c r="H279" i="3" s="1"/>
  <c r="R279" i="3"/>
  <c r="F282" i="3"/>
  <c r="G72" i="4"/>
  <c r="I72" i="4" s="1"/>
  <c r="J72" i="4" s="1"/>
  <c r="H72" i="4"/>
  <c r="P324" i="16" l="1"/>
  <c r="Q324" i="16"/>
  <c r="R325" i="16" s="1"/>
  <c r="S326" i="16" s="1"/>
  <c r="T327" i="16" s="1"/>
  <c r="D323" i="16"/>
  <c r="E323" i="16"/>
  <c r="F324" i="16" s="1"/>
  <c r="G325" i="16" s="1"/>
  <c r="H326" i="16" s="1"/>
  <c r="I327" i="16" s="1"/>
  <c r="J328" i="16" s="1"/>
  <c r="K329" i="16" s="1"/>
  <c r="L330" i="16" s="1"/>
  <c r="P73" i="3"/>
  <c r="Q73" i="3" s="1"/>
  <c r="L73" i="4" s="1"/>
  <c r="S279" i="3"/>
  <c r="T279" i="3" s="1"/>
  <c r="U279" i="3"/>
  <c r="F283" i="3"/>
  <c r="E281" i="3"/>
  <c r="R280" i="3"/>
  <c r="D280" i="3"/>
  <c r="H280" i="3" s="1"/>
  <c r="J280" i="3"/>
  <c r="K279" i="3"/>
  <c r="L279" i="3" s="1"/>
  <c r="M72" i="4"/>
  <c r="K72" i="4"/>
  <c r="I279" i="3"/>
  <c r="D279" i="4" s="1"/>
  <c r="E279" i="4"/>
  <c r="F279" i="4" s="1"/>
  <c r="E324" i="16" l="1"/>
  <c r="F325" i="16" s="1"/>
  <c r="G326" i="16" s="1"/>
  <c r="H327" i="16" s="1"/>
  <c r="I328" i="16" s="1"/>
  <c r="J329" i="16" s="1"/>
  <c r="K330" i="16" s="1"/>
  <c r="L331" i="16" s="1"/>
  <c r="D324" i="16"/>
  <c r="P325" i="16"/>
  <c r="Q325" i="16"/>
  <c r="R326" i="16" s="1"/>
  <c r="S327" i="16" s="1"/>
  <c r="T328" i="16" s="1"/>
  <c r="V73" i="3"/>
  <c r="W73" i="3" s="1"/>
  <c r="X73" i="3" s="1"/>
  <c r="Y73" i="3" s="1"/>
  <c r="Z73" i="3" s="1"/>
  <c r="AA73" i="3" s="1"/>
  <c r="AB73" i="3" s="1"/>
  <c r="E282" i="3"/>
  <c r="D281" i="3"/>
  <c r="H281" i="3" s="1"/>
  <c r="J281" i="3"/>
  <c r="R281" i="3"/>
  <c r="K280" i="3"/>
  <c r="L280" i="3" s="1"/>
  <c r="S280" i="3"/>
  <c r="T280" i="3" s="1"/>
  <c r="U280" i="3"/>
  <c r="I280" i="3"/>
  <c r="D280" i="4" s="1"/>
  <c r="E280" i="4"/>
  <c r="F280" i="4" s="1"/>
  <c r="F284" i="3"/>
  <c r="P326" i="16" l="1"/>
  <c r="Q326" i="16"/>
  <c r="R327" i="16" s="1"/>
  <c r="S328" i="16" s="1"/>
  <c r="T329" i="16" s="1"/>
  <c r="E325" i="16"/>
  <c r="F326" i="16" s="1"/>
  <c r="G327" i="16" s="1"/>
  <c r="H328" i="16" s="1"/>
  <c r="I329" i="16" s="1"/>
  <c r="J330" i="16" s="1"/>
  <c r="K331" i="16" s="1"/>
  <c r="L332" i="16" s="1"/>
  <c r="D325" i="16"/>
  <c r="K281" i="3"/>
  <c r="L281" i="3" s="1"/>
  <c r="M74" i="3"/>
  <c r="AC73" i="3"/>
  <c r="AD73" i="3" s="1"/>
  <c r="C73" i="4"/>
  <c r="F285" i="3"/>
  <c r="S281" i="3"/>
  <c r="T281" i="3" s="1"/>
  <c r="U281" i="3"/>
  <c r="E281" i="4"/>
  <c r="F281" i="4" s="1"/>
  <c r="I281" i="3"/>
  <c r="D281" i="4" s="1"/>
  <c r="E283" i="3"/>
  <c r="D282" i="3"/>
  <c r="H282" i="3" s="1"/>
  <c r="J282" i="3"/>
  <c r="R282" i="3"/>
  <c r="D326" i="16" l="1"/>
  <c r="E326" i="16"/>
  <c r="F327" i="16" s="1"/>
  <c r="G328" i="16" s="1"/>
  <c r="H329" i="16" s="1"/>
  <c r="I330" i="16" s="1"/>
  <c r="J331" i="16" s="1"/>
  <c r="K332" i="16" s="1"/>
  <c r="L333" i="16" s="1"/>
  <c r="P327" i="16"/>
  <c r="Q327" i="16"/>
  <c r="R328" i="16" s="1"/>
  <c r="S329" i="16" s="1"/>
  <c r="T330" i="16" s="1"/>
  <c r="K282" i="3"/>
  <c r="L282" i="3" s="1"/>
  <c r="U282" i="3"/>
  <c r="S282" i="3"/>
  <c r="T282" i="3" s="1"/>
  <c r="E284" i="3"/>
  <c r="D283" i="3"/>
  <c r="H283" i="3" s="1"/>
  <c r="J283" i="3"/>
  <c r="R283" i="3"/>
  <c r="F286" i="3"/>
  <c r="H73" i="4"/>
  <c r="G73" i="4"/>
  <c r="I73" i="4" s="1"/>
  <c r="J73" i="4" s="1"/>
  <c r="E282" i="4"/>
  <c r="F282" i="4" s="1"/>
  <c r="I282" i="3"/>
  <c r="D282" i="4" s="1"/>
  <c r="AI74" i="3"/>
  <c r="O74" i="3"/>
  <c r="N74" i="3"/>
  <c r="Q328" i="16" l="1"/>
  <c r="R329" i="16" s="1"/>
  <c r="S330" i="16" s="1"/>
  <c r="T331" i="16" s="1"/>
  <c r="P328" i="16"/>
  <c r="E327" i="16"/>
  <c r="F328" i="16" s="1"/>
  <c r="G329" i="16" s="1"/>
  <c r="H330" i="16" s="1"/>
  <c r="I331" i="16" s="1"/>
  <c r="J332" i="16" s="1"/>
  <c r="K333" i="16" s="1"/>
  <c r="L334" i="16" s="1"/>
  <c r="D327" i="16"/>
  <c r="P74" i="3"/>
  <c r="Q74" i="3" s="1"/>
  <c r="V74" i="3" s="1"/>
  <c r="K283" i="3"/>
  <c r="L283" i="3" s="1"/>
  <c r="K73" i="4"/>
  <c r="M73" i="4"/>
  <c r="E285" i="3"/>
  <c r="R284" i="3"/>
  <c r="D284" i="3"/>
  <c r="H284" i="3" s="1"/>
  <c r="J284" i="3"/>
  <c r="F287" i="3"/>
  <c r="S283" i="3"/>
  <c r="T283" i="3" s="1"/>
  <c r="U283" i="3"/>
  <c r="I283" i="3"/>
  <c r="D283" i="4" s="1"/>
  <c r="E283" i="4"/>
  <c r="F283" i="4" s="1"/>
  <c r="E328" i="16" l="1"/>
  <c r="F329" i="16" s="1"/>
  <c r="G330" i="16" s="1"/>
  <c r="H331" i="16" s="1"/>
  <c r="I332" i="16" s="1"/>
  <c r="J333" i="16" s="1"/>
  <c r="K334" i="16" s="1"/>
  <c r="L335" i="16" s="1"/>
  <c r="D328" i="16"/>
  <c r="P329" i="16"/>
  <c r="Q329" i="16"/>
  <c r="R330" i="16" s="1"/>
  <c r="S331" i="16" s="1"/>
  <c r="T332" i="16" s="1"/>
  <c r="L74" i="4"/>
  <c r="W74" i="3"/>
  <c r="X74" i="3" s="1"/>
  <c r="Y74" i="3" s="1"/>
  <c r="Z74" i="3" s="1"/>
  <c r="AA74" i="3" s="1"/>
  <c r="AB74" i="3" s="1"/>
  <c r="E284" i="4"/>
  <c r="F284" i="4" s="1"/>
  <c r="I284" i="3"/>
  <c r="D284" i="4" s="1"/>
  <c r="K284" i="3"/>
  <c r="L284" i="3" s="1"/>
  <c r="U284" i="3"/>
  <c r="S284" i="3"/>
  <c r="T284" i="3" s="1"/>
  <c r="F288" i="3"/>
  <c r="E286" i="3"/>
  <c r="J285" i="3"/>
  <c r="R285" i="3"/>
  <c r="D285" i="3"/>
  <c r="H285" i="3" s="1"/>
  <c r="P330" i="16" l="1"/>
  <c r="Q330" i="16"/>
  <c r="R331" i="16" s="1"/>
  <c r="S332" i="16" s="1"/>
  <c r="T333" i="16" s="1"/>
  <c r="D329" i="16"/>
  <c r="E329" i="16"/>
  <c r="F330" i="16" s="1"/>
  <c r="G331" i="16" s="1"/>
  <c r="H332" i="16" s="1"/>
  <c r="I333" i="16" s="1"/>
  <c r="J334" i="16" s="1"/>
  <c r="K335" i="16" s="1"/>
  <c r="L336" i="16" s="1"/>
  <c r="I285" i="3"/>
  <c r="D285" i="4" s="1"/>
  <c r="E285" i="4"/>
  <c r="F285" i="4" s="1"/>
  <c r="S285" i="3"/>
  <c r="T285" i="3" s="1"/>
  <c r="U285" i="3"/>
  <c r="K285" i="3"/>
  <c r="L285" i="3" s="1"/>
  <c r="F289" i="3"/>
  <c r="E287" i="3"/>
  <c r="D286" i="3"/>
  <c r="H286" i="3" s="1"/>
  <c r="R286" i="3"/>
  <c r="J286" i="3"/>
  <c r="AC74" i="3"/>
  <c r="AD74" i="3" s="1"/>
  <c r="M75" i="3"/>
  <c r="C74" i="4"/>
  <c r="D330" i="16" l="1"/>
  <c r="E330" i="16"/>
  <c r="F331" i="16" s="1"/>
  <c r="G332" i="16" s="1"/>
  <c r="H333" i="16" s="1"/>
  <c r="I334" i="16" s="1"/>
  <c r="J335" i="16" s="1"/>
  <c r="K336" i="16" s="1"/>
  <c r="L337" i="16" s="1"/>
  <c r="P331" i="16"/>
  <c r="Q331" i="16"/>
  <c r="R332" i="16" s="1"/>
  <c r="S333" i="16" s="1"/>
  <c r="T334" i="16" s="1"/>
  <c r="K286" i="3"/>
  <c r="L286" i="3" s="1"/>
  <c r="U286" i="3"/>
  <c r="S286" i="3"/>
  <c r="T286" i="3" s="1"/>
  <c r="E288" i="3"/>
  <c r="J287" i="3"/>
  <c r="D287" i="3"/>
  <c r="H287" i="3" s="1"/>
  <c r="R287" i="3"/>
  <c r="E286" i="4"/>
  <c r="F286" i="4" s="1"/>
  <c r="I286" i="3"/>
  <c r="D286" i="4" s="1"/>
  <c r="F290" i="3"/>
  <c r="G74" i="4"/>
  <c r="I74" i="4" s="1"/>
  <c r="J74" i="4" s="1"/>
  <c r="H74" i="4"/>
  <c r="AI75" i="3"/>
  <c r="N75" i="3"/>
  <c r="O75" i="3"/>
  <c r="P332" i="16" l="1"/>
  <c r="Q332" i="16"/>
  <c r="R333" i="16" s="1"/>
  <c r="S334" i="16" s="1"/>
  <c r="T335" i="16" s="1"/>
  <c r="E331" i="16"/>
  <c r="F332" i="16" s="1"/>
  <c r="G333" i="16" s="1"/>
  <c r="H334" i="16" s="1"/>
  <c r="I335" i="16" s="1"/>
  <c r="J336" i="16" s="1"/>
  <c r="K337" i="16" s="1"/>
  <c r="L338" i="16" s="1"/>
  <c r="D331" i="16"/>
  <c r="M74" i="4"/>
  <c r="K74" i="4"/>
  <c r="F291" i="3"/>
  <c r="S287" i="3"/>
  <c r="T287" i="3" s="1"/>
  <c r="U287" i="3"/>
  <c r="K287" i="3"/>
  <c r="L287" i="3" s="1"/>
  <c r="E287" i="4"/>
  <c r="F287" i="4" s="1"/>
  <c r="I287" i="3"/>
  <c r="D287" i="4" s="1"/>
  <c r="P75" i="3"/>
  <c r="Q75" i="3" s="1"/>
  <c r="E289" i="3"/>
  <c r="R288" i="3"/>
  <c r="D288" i="3"/>
  <c r="H288" i="3" s="1"/>
  <c r="J288" i="3"/>
  <c r="D332" i="16" l="1"/>
  <c r="E332" i="16"/>
  <c r="F333" i="16" s="1"/>
  <c r="G334" i="16" s="1"/>
  <c r="H335" i="16" s="1"/>
  <c r="I336" i="16" s="1"/>
  <c r="J337" i="16" s="1"/>
  <c r="K338" i="16" s="1"/>
  <c r="L339" i="16" s="1"/>
  <c r="P333" i="16"/>
  <c r="Q333" i="16"/>
  <c r="R334" i="16" s="1"/>
  <c r="S335" i="16" s="1"/>
  <c r="T336" i="16" s="1"/>
  <c r="K288" i="3"/>
  <c r="L288" i="3" s="1"/>
  <c r="E290" i="3"/>
  <c r="J289" i="3"/>
  <c r="D289" i="3"/>
  <c r="H289" i="3" s="1"/>
  <c r="R289" i="3"/>
  <c r="E288" i="4"/>
  <c r="F288" i="4" s="1"/>
  <c r="I288" i="3"/>
  <c r="D288" i="4" s="1"/>
  <c r="L75" i="4"/>
  <c r="V75" i="3"/>
  <c r="S288" i="3"/>
  <c r="T288" i="3" s="1"/>
  <c r="U288" i="3"/>
  <c r="F292" i="3"/>
  <c r="P334" i="16" l="1"/>
  <c r="Q334" i="16"/>
  <c r="R335" i="16" s="1"/>
  <c r="S336" i="16" s="1"/>
  <c r="T337" i="16" s="1"/>
  <c r="E333" i="16"/>
  <c r="F334" i="16" s="1"/>
  <c r="G335" i="16" s="1"/>
  <c r="H336" i="16" s="1"/>
  <c r="I337" i="16" s="1"/>
  <c r="J338" i="16" s="1"/>
  <c r="K339" i="16" s="1"/>
  <c r="L340" i="16" s="1"/>
  <c r="D333" i="16"/>
  <c r="S289" i="3"/>
  <c r="T289" i="3" s="1"/>
  <c r="U289" i="3"/>
  <c r="W75" i="3"/>
  <c r="X75" i="3" s="1"/>
  <c r="Y75" i="3" s="1"/>
  <c r="Z75" i="3" s="1"/>
  <c r="AA75" i="3" s="1"/>
  <c r="AB75" i="3" s="1"/>
  <c r="I289" i="3"/>
  <c r="D289" i="4" s="1"/>
  <c r="E289" i="4"/>
  <c r="F289" i="4" s="1"/>
  <c r="K289" i="3"/>
  <c r="L289" i="3" s="1"/>
  <c r="E291" i="3"/>
  <c r="J290" i="3"/>
  <c r="R290" i="3"/>
  <c r="D290" i="3"/>
  <c r="H290" i="3" s="1"/>
  <c r="F293" i="3"/>
  <c r="E334" i="16" l="1"/>
  <c r="F335" i="16" s="1"/>
  <c r="G336" i="16" s="1"/>
  <c r="H337" i="16" s="1"/>
  <c r="I338" i="16" s="1"/>
  <c r="J339" i="16" s="1"/>
  <c r="K340" i="16" s="1"/>
  <c r="L341" i="16" s="1"/>
  <c r="D334" i="16"/>
  <c r="Q335" i="16"/>
  <c r="R336" i="16" s="1"/>
  <c r="S337" i="16" s="1"/>
  <c r="T338" i="16" s="1"/>
  <c r="P335" i="16"/>
  <c r="K290" i="3"/>
  <c r="L290" i="3" s="1"/>
  <c r="C75" i="4"/>
  <c r="M76" i="3"/>
  <c r="AC75" i="3"/>
  <c r="AD75" i="3" s="1"/>
  <c r="E292" i="3"/>
  <c r="J291" i="3"/>
  <c r="D291" i="3"/>
  <c r="H291" i="3" s="1"/>
  <c r="R291" i="3"/>
  <c r="F294" i="3"/>
  <c r="U290" i="3"/>
  <c r="S290" i="3"/>
  <c r="T290" i="3" s="1"/>
  <c r="E290" i="4"/>
  <c r="F290" i="4" s="1"/>
  <c r="I290" i="3"/>
  <c r="D290" i="4" s="1"/>
  <c r="Q336" i="16" l="1"/>
  <c r="R337" i="16" s="1"/>
  <c r="S338" i="16" s="1"/>
  <c r="T339" i="16" s="1"/>
  <c r="P336" i="16"/>
  <c r="D335" i="16"/>
  <c r="E335" i="16"/>
  <c r="F336" i="16" s="1"/>
  <c r="G337" i="16" s="1"/>
  <c r="H338" i="16" s="1"/>
  <c r="I339" i="16" s="1"/>
  <c r="J340" i="16" s="1"/>
  <c r="K341" i="16" s="1"/>
  <c r="L342" i="16" s="1"/>
  <c r="E291" i="4"/>
  <c r="F291" i="4" s="1"/>
  <c r="I291" i="3"/>
  <c r="D291" i="4" s="1"/>
  <c r="F295" i="3"/>
  <c r="U291" i="3"/>
  <c r="S291" i="3"/>
  <c r="T291" i="3" s="1"/>
  <c r="E293" i="3"/>
  <c r="D292" i="3"/>
  <c r="H292" i="3" s="1"/>
  <c r="J292" i="3"/>
  <c r="R292" i="3"/>
  <c r="N76" i="3"/>
  <c r="AI76" i="3"/>
  <c r="O76" i="3"/>
  <c r="K291" i="3"/>
  <c r="L291" i="3" s="1"/>
  <c r="H75" i="4"/>
  <c r="G75" i="4"/>
  <c r="I75" i="4" s="1"/>
  <c r="J75" i="4" s="1"/>
  <c r="D336" i="16" l="1"/>
  <c r="E336" i="16"/>
  <c r="F337" i="16" s="1"/>
  <c r="G338" i="16" s="1"/>
  <c r="H339" i="16" s="1"/>
  <c r="I340" i="16" s="1"/>
  <c r="J341" i="16" s="1"/>
  <c r="K342" i="16" s="1"/>
  <c r="L343" i="16" s="1"/>
  <c r="P337" i="16"/>
  <c r="Q337" i="16"/>
  <c r="R338" i="16" s="1"/>
  <c r="S339" i="16" s="1"/>
  <c r="T340" i="16" s="1"/>
  <c r="P76" i="3"/>
  <c r="Q76" i="3" s="1"/>
  <c r="L76" i="4" s="1"/>
  <c r="K292" i="3"/>
  <c r="L292" i="3" s="1"/>
  <c r="E294" i="3"/>
  <c r="R293" i="3"/>
  <c r="D293" i="3"/>
  <c r="H293" i="3" s="1"/>
  <c r="J293" i="3"/>
  <c r="M75" i="4"/>
  <c r="K75" i="4"/>
  <c r="S292" i="3"/>
  <c r="T292" i="3" s="1"/>
  <c r="U292" i="3"/>
  <c r="I292" i="3"/>
  <c r="D292" i="4" s="1"/>
  <c r="E292" i="4"/>
  <c r="F292" i="4" s="1"/>
  <c r="F296" i="3"/>
  <c r="Q338" i="16" l="1"/>
  <c r="R339" i="16" s="1"/>
  <c r="S340" i="16" s="1"/>
  <c r="T341" i="16" s="1"/>
  <c r="P338" i="16"/>
  <c r="D337" i="16"/>
  <c r="E337" i="16"/>
  <c r="F338" i="16" s="1"/>
  <c r="G339" i="16" s="1"/>
  <c r="H340" i="16" s="1"/>
  <c r="I341" i="16" s="1"/>
  <c r="J342" i="16" s="1"/>
  <c r="K343" i="16" s="1"/>
  <c r="L344" i="16" s="1"/>
  <c r="V76" i="3"/>
  <c r="W76" i="3" s="1"/>
  <c r="X76" i="3" s="1"/>
  <c r="Y76" i="3" s="1"/>
  <c r="Z76" i="3" s="1"/>
  <c r="AA76" i="3" s="1"/>
  <c r="AB76" i="3" s="1"/>
  <c r="K293" i="3"/>
  <c r="L293" i="3" s="1"/>
  <c r="E293" i="4"/>
  <c r="F293" i="4" s="1"/>
  <c r="I293" i="3"/>
  <c r="D293" i="4" s="1"/>
  <c r="S293" i="3"/>
  <c r="T293" i="3" s="1"/>
  <c r="U293" i="3"/>
  <c r="F297" i="3"/>
  <c r="E295" i="3"/>
  <c r="J294" i="3"/>
  <c r="D294" i="3"/>
  <c r="H294" i="3" s="1"/>
  <c r="R294" i="3"/>
  <c r="E338" i="16" l="1"/>
  <c r="F339" i="16" s="1"/>
  <c r="G340" i="16" s="1"/>
  <c r="H341" i="16" s="1"/>
  <c r="I342" i="16" s="1"/>
  <c r="J343" i="16" s="1"/>
  <c r="K344" i="16" s="1"/>
  <c r="L345" i="16" s="1"/>
  <c r="D338" i="16"/>
  <c r="P339" i="16"/>
  <c r="Q339" i="16"/>
  <c r="R340" i="16" s="1"/>
  <c r="S341" i="16" s="1"/>
  <c r="T342" i="16" s="1"/>
  <c r="C76" i="4"/>
  <c r="AC76" i="3"/>
  <c r="AD76" i="3" s="1"/>
  <c r="M77" i="3"/>
  <c r="K294" i="3"/>
  <c r="L294" i="3" s="1"/>
  <c r="E296" i="3"/>
  <c r="D295" i="3"/>
  <c r="H295" i="3" s="1"/>
  <c r="R295" i="3"/>
  <c r="J295" i="3"/>
  <c r="I294" i="3"/>
  <c r="D294" i="4" s="1"/>
  <c r="E294" i="4"/>
  <c r="F294" i="4" s="1"/>
  <c r="F298" i="3"/>
  <c r="U294" i="3"/>
  <c r="S294" i="3"/>
  <c r="T294" i="3" s="1"/>
  <c r="P340" i="16" l="1"/>
  <c r="Q340" i="16"/>
  <c r="R341" i="16" s="1"/>
  <c r="S342" i="16" s="1"/>
  <c r="T343" i="16" s="1"/>
  <c r="D339" i="16"/>
  <c r="E339" i="16"/>
  <c r="F340" i="16" s="1"/>
  <c r="G341" i="16" s="1"/>
  <c r="H342" i="16" s="1"/>
  <c r="I343" i="16" s="1"/>
  <c r="J344" i="16" s="1"/>
  <c r="K345" i="16" s="1"/>
  <c r="L346" i="16" s="1"/>
  <c r="K295" i="3"/>
  <c r="L295" i="3" s="1"/>
  <c r="E295" i="4"/>
  <c r="F295" i="4" s="1"/>
  <c r="I295" i="3"/>
  <c r="D295" i="4" s="1"/>
  <c r="F299" i="3"/>
  <c r="S295" i="3"/>
  <c r="T295" i="3" s="1"/>
  <c r="U295" i="3"/>
  <c r="E297" i="3"/>
  <c r="R296" i="3"/>
  <c r="D296" i="3"/>
  <c r="H296" i="3" s="1"/>
  <c r="J296" i="3"/>
  <c r="O77" i="3"/>
  <c r="AI77" i="3"/>
  <c r="N77" i="3"/>
  <c r="G76" i="4"/>
  <c r="I76" i="4" s="1"/>
  <c r="J76" i="4" s="1"/>
  <c r="H76" i="4"/>
  <c r="D340" i="16" l="1"/>
  <c r="E340" i="16"/>
  <c r="F341" i="16" s="1"/>
  <c r="G342" i="16" s="1"/>
  <c r="H343" i="16" s="1"/>
  <c r="I344" i="16" s="1"/>
  <c r="J345" i="16" s="1"/>
  <c r="K346" i="16" s="1"/>
  <c r="L347" i="16" s="1"/>
  <c r="P341" i="16"/>
  <c r="Q341" i="16"/>
  <c r="R342" i="16" s="1"/>
  <c r="S343" i="16" s="1"/>
  <c r="T344" i="16" s="1"/>
  <c r="S296" i="3"/>
  <c r="T296" i="3" s="1"/>
  <c r="U296" i="3"/>
  <c r="E298" i="3"/>
  <c r="D297" i="3"/>
  <c r="H297" i="3" s="1"/>
  <c r="R297" i="3"/>
  <c r="J297" i="3"/>
  <c r="K296" i="3"/>
  <c r="L296" i="3" s="1"/>
  <c r="M76" i="4"/>
  <c r="K76" i="4"/>
  <c r="E296" i="4"/>
  <c r="F296" i="4" s="1"/>
  <c r="I296" i="3"/>
  <c r="D296" i="4" s="1"/>
  <c r="F300" i="3"/>
  <c r="P77" i="3"/>
  <c r="Q77" i="3" s="1"/>
  <c r="P342" i="16" l="1"/>
  <c r="Q342" i="16"/>
  <c r="R343" i="16" s="1"/>
  <c r="S344" i="16" s="1"/>
  <c r="T345" i="16" s="1"/>
  <c r="D341" i="16"/>
  <c r="E341" i="16"/>
  <c r="F342" i="16" s="1"/>
  <c r="G343" i="16" s="1"/>
  <c r="H344" i="16" s="1"/>
  <c r="I345" i="16" s="1"/>
  <c r="J346" i="16" s="1"/>
  <c r="K347" i="16" s="1"/>
  <c r="L348" i="16" s="1"/>
  <c r="K297" i="3"/>
  <c r="L297" i="3" s="1"/>
  <c r="F301" i="3"/>
  <c r="U297" i="3"/>
  <c r="S297" i="3"/>
  <c r="T297" i="3" s="1"/>
  <c r="L77" i="4"/>
  <c r="V77" i="3"/>
  <c r="I297" i="3"/>
  <c r="D297" i="4" s="1"/>
  <c r="E297" i="4"/>
  <c r="F297" i="4" s="1"/>
  <c r="E299" i="3"/>
  <c r="J298" i="3"/>
  <c r="D298" i="3"/>
  <c r="H298" i="3" s="1"/>
  <c r="R298" i="3"/>
  <c r="D342" i="16" l="1"/>
  <c r="E342" i="16"/>
  <c r="F343" i="16" s="1"/>
  <c r="G344" i="16" s="1"/>
  <c r="H345" i="16" s="1"/>
  <c r="I346" i="16" s="1"/>
  <c r="J347" i="16" s="1"/>
  <c r="K348" i="16" s="1"/>
  <c r="L349" i="16" s="1"/>
  <c r="P343" i="16"/>
  <c r="Q343" i="16"/>
  <c r="R344" i="16" s="1"/>
  <c r="S345" i="16" s="1"/>
  <c r="T346" i="16" s="1"/>
  <c r="E300" i="3"/>
  <c r="D299" i="3"/>
  <c r="H299" i="3" s="1"/>
  <c r="R299" i="3"/>
  <c r="J299" i="3"/>
  <c r="K298" i="3"/>
  <c r="L298" i="3" s="1"/>
  <c r="I298" i="3"/>
  <c r="D298" i="4" s="1"/>
  <c r="E298" i="4"/>
  <c r="F298" i="4" s="1"/>
  <c r="W77" i="3"/>
  <c r="X77" i="3" s="1"/>
  <c r="Y77" i="3" s="1"/>
  <c r="Z77" i="3" s="1"/>
  <c r="AA77" i="3" s="1"/>
  <c r="AB77" i="3" s="1"/>
  <c r="F302" i="3"/>
  <c r="S298" i="3"/>
  <c r="T298" i="3" s="1"/>
  <c r="U298" i="3"/>
  <c r="Q344" i="16" l="1"/>
  <c r="R345" i="16" s="1"/>
  <c r="S346" i="16" s="1"/>
  <c r="T347" i="16" s="1"/>
  <c r="P344" i="16"/>
  <c r="D343" i="16"/>
  <c r="E343" i="16"/>
  <c r="F344" i="16" s="1"/>
  <c r="G345" i="16" s="1"/>
  <c r="H346" i="16" s="1"/>
  <c r="I347" i="16" s="1"/>
  <c r="J348" i="16" s="1"/>
  <c r="K349" i="16" s="1"/>
  <c r="L350" i="16" s="1"/>
  <c r="K299" i="3"/>
  <c r="L299" i="3" s="1"/>
  <c r="F303" i="3"/>
  <c r="AC77" i="3"/>
  <c r="AD77" i="3" s="1"/>
  <c r="M78" i="3"/>
  <c r="C77" i="4"/>
  <c r="S299" i="3"/>
  <c r="T299" i="3" s="1"/>
  <c r="U299" i="3"/>
  <c r="I299" i="3"/>
  <c r="D299" i="4" s="1"/>
  <c r="E299" i="4"/>
  <c r="F299" i="4" s="1"/>
  <c r="E301" i="3"/>
  <c r="J300" i="3"/>
  <c r="R300" i="3"/>
  <c r="D300" i="3"/>
  <c r="H300" i="3" s="1"/>
  <c r="D344" i="16" l="1"/>
  <c r="E344" i="16"/>
  <c r="F345" i="16" s="1"/>
  <c r="G346" i="16" s="1"/>
  <c r="H347" i="16" s="1"/>
  <c r="I348" i="16" s="1"/>
  <c r="J349" i="16" s="1"/>
  <c r="K350" i="16" s="1"/>
  <c r="L351" i="16" s="1"/>
  <c r="P345" i="16"/>
  <c r="Q345" i="16"/>
  <c r="R346" i="16" s="1"/>
  <c r="S347" i="16" s="1"/>
  <c r="T348" i="16" s="1"/>
  <c r="I300" i="3"/>
  <c r="D300" i="4" s="1"/>
  <c r="E300" i="4"/>
  <c r="F300" i="4" s="1"/>
  <c r="E302" i="3"/>
  <c r="J301" i="3"/>
  <c r="R301" i="3"/>
  <c r="D301" i="3"/>
  <c r="H301" i="3" s="1"/>
  <c r="G77" i="4"/>
  <c r="I77" i="4" s="1"/>
  <c r="J77" i="4" s="1"/>
  <c r="H77" i="4"/>
  <c r="O78" i="3"/>
  <c r="AI78" i="3"/>
  <c r="N78" i="3"/>
  <c r="F304" i="3"/>
  <c r="U300" i="3"/>
  <c r="S300" i="3"/>
  <c r="T300" i="3" s="1"/>
  <c r="K300" i="3"/>
  <c r="L300" i="3" s="1"/>
  <c r="P346" i="16" l="1"/>
  <c r="Q346" i="16"/>
  <c r="R347" i="16" s="1"/>
  <c r="S348" i="16" s="1"/>
  <c r="T349" i="16" s="1"/>
  <c r="E345" i="16"/>
  <c r="F346" i="16" s="1"/>
  <c r="G347" i="16" s="1"/>
  <c r="H348" i="16" s="1"/>
  <c r="I349" i="16" s="1"/>
  <c r="J350" i="16" s="1"/>
  <c r="K351" i="16" s="1"/>
  <c r="L352" i="16" s="1"/>
  <c r="D345" i="16"/>
  <c r="P78" i="3"/>
  <c r="Q78" i="3" s="1"/>
  <c r="L78" i="4" s="1"/>
  <c r="E301" i="4"/>
  <c r="F301" i="4" s="1"/>
  <c r="I301" i="3"/>
  <c r="D301" i="4" s="1"/>
  <c r="E303" i="3"/>
  <c r="R302" i="3"/>
  <c r="J302" i="3"/>
  <c r="D302" i="3"/>
  <c r="H302" i="3" s="1"/>
  <c r="F305" i="3"/>
  <c r="S301" i="3"/>
  <c r="T301" i="3" s="1"/>
  <c r="U301" i="3"/>
  <c r="K301" i="3"/>
  <c r="L301" i="3" s="1"/>
  <c r="K77" i="4"/>
  <c r="M77" i="4"/>
  <c r="D346" i="16" l="1"/>
  <c r="E346" i="16"/>
  <c r="F347" i="16" s="1"/>
  <c r="G348" i="16" s="1"/>
  <c r="H349" i="16" s="1"/>
  <c r="I350" i="16" s="1"/>
  <c r="J351" i="16" s="1"/>
  <c r="K352" i="16" s="1"/>
  <c r="L353" i="16" s="1"/>
  <c r="Q347" i="16"/>
  <c r="R348" i="16" s="1"/>
  <c r="S349" i="16" s="1"/>
  <c r="T350" i="16" s="1"/>
  <c r="P347" i="16"/>
  <c r="V78" i="3"/>
  <c r="W78" i="3" s="1"/>
  <c r="X78" i="3" s="1"/>
  <c r="Y78" i="3" s="1"/>
  <c r="Z78" i="3" s="1"/>
  <c r="AA78" i="3" s="1"/>
  <c r="AB78" i="3" s="1"/>
  <c r="E302" i="4"/>
  <c r="F302" i="4" s="1"/>
  <c r="I302" i="3"/>
  <c r="D302" i="4" s="1"/>
  <c r="S302" i="3"/>
  <c r="T302" i="3" s="1"/>
  <c r="U302" i="3"/>
  <c r="F306" i="3"/>
  <c r="K302" i="3"/>
  <c r="L302" i="3" s="1"/>
  <c r="E304" i="3"/>
  <c r="D303" i="3"/>
  <c r="H303" i="3" s="1"/>
  <c r="R303" i="3"/>
  <c r="J303" i="3"/>
  <c r="P348" i="16" l="1"/>
  <c r="Q348" i="16"/>
  <c r="R349" i="16" s="1"/>
  <c r="S350" i="16" s="1"/>
  <c r="T351" i="16" s="1"/>
  <c r="E347" i="16"/>
  <c r="F348" i="16" s="1"/>
  <c r="G349" i="16" s="1"/>
  <c r="H350" i="16" s="1"/>
  <c r="I351" i="16" s="1"/>
  <c r="J352" i="16" s="1"/>
  <c r="K353" i="16" s="1"/>
  <c r="L354" i="16" s="1"/>
  <c r="D347" i="16"/>
  <c r="K303" i="3"/>
  <c r="L303" i="3" s="1"/>
  <c r="C78" i="4"/>
  <c r="AC78" i="3"/>
  <c r="AD78" i="3" s="1"/>
  <c r="M79" i="3"/>
  <c r="S303" i="3"/>
  <c r="T303" i="3" s="1"/>
  <c r="U303" i="3"/>
  <c r="E303" i="4"/>
  <c r="F303" i="4" s="1"/>
  <c r="I303" i="3"/>
  <c r="D303" i="4" s="1"/>
  <c r="F307" i="3"/>
  <c r="E305" i="3"/>
  <c r="R304" i="3"/>
  <c r="J304" i="3"/>
  <c r="D304" i="3"/>
  <c r="H304" i="3" s="1"/>
  <c r="D348" i="16" l="1"/>
  <c r="E348" i="16"/>
  <c r="F349" i="16" s="1"/>
  <c r="G350" i="16" s="1"/>
  <c r="H351" i="16" s="1"/>
  <c r="I352" i="16" s="1"/>
  <c r="J353" i="16" s="1"/>
  <c r="K354" i="16" s="1"/>
  <c r="L355" i="16" s="1"/>
  <c r="P349" i="16"/>
  <c r="Q349" i="16"/>
  <c r="R350" i="16" s="1"/>
  <c r="S351" i="16" s="1"/>
  <c r="T352" i="16" s="1"/>
  <c r="K304" i="3"/>
  <c r="L304" i="3" s="1"/>
  <c r="S304" i="3"/>
  <c r="T304" i="3" s="1"/>
  <c r="U304" i="3"/>
  <c r="F308" i="3"/>
  <c r="O79" i="3"/>
  <c r="AI79" i="3"/>
  <c r="N79" i="3"/>
  <c r="E304" i="4"/>
  <c r="F304" i="4" s="1"/>
  <c r="I304" i="3"/>
  <c r="D304" i="4" s="1"/>
  <c r="E306" i="3"/>
  <c r="J305" i="3"/>
  <c r="R305" i="3"/>
  <c r="D305" i="3"/>
  <c r="H305" i="3" s="1"/>
  <c r="H78" i="4"/>
  <c r="G78" i="4"/>
  <c r="I78" i="4" s="1"/>
  <c r="J78" i="4" s="1"/>
  <c r="Q350" i="16" l="1"/>
  <c r="R351" i="16" s="1"/>
  <c r="S352" i="16" s="1"/>
  <c r="T353" i="16" s="1"/>
  <c r="P350" i="16"/>
  <c r="E349" i="16"/>
  <c r="F350" i="16" s="1"/>
  <c r="G351" i="16" s="1"/>
  <c r="H352" i="16" s="1"/>
  <c r="I353" i="16" s="1"/>
  <c r="J354" i="16" s="1"/>
  <c r="K355" i="16" s="1"/>
  <c r="L356" i="16" s="1"/>
  <c r="D349" i="16"/>
  <c r="P79" i="3"/>
  <c r="Q79" i="3" s="1"/>
  <c r="L79" i="4" s="1"/>
  <c r="K305" i="3"/>
  <c r="L305" i="3" s="1"/>
  <c r="K78" i="4"/>
  <c r="M78" i="4"/>
  <c r="S305" i="3"/>
  <c r="T305" i="3" s="1"/>
  <c r="U305" i="3"/>
  <c r="E307" i="3"/>
  <c r="J306" i="3"/>
  <c r="D306" i="3"/>
  <c r="H306" i="3" s="1"/>
  <c r="R306" i="3"/>
  <c r="F309" i="3"/>
  <c r="E305" i="4"/>
  <c r="F305" i="4" s="1"/>
  <c r="I305" i="3"/>
  <c r="D305" i="4" s="1"/>
  <c r="D350" i="16" l="1"/>
  <c r="E350" i="16"/>
  <c r="F351" i="16" s="1"/>
  <c r="G352" i="16" s="1"/>
  <c r="H353" i="16" s="1"/>
  <c r="I354" i="16" s="1"/>
  <c r="J355" i="16" s="1"/>
  <c r="K356" i="16" s="1"/>
  <c r="L357" i="16" s="1"/>
  <c r="P351" i="16"/>
  <c r="Q351" i="16"/>
  <c r="R352" i="16" s="1"/>
  <c r="S353" i="16" s="1"/>
  <c r="T354" i="16" s="1"/>
  <c r="V79" i="3"/>
  <c r="W79" i="3" s="1"/>
  <c r="X79" i="3" s="1"/>
  <c r="Y79" i="3" s="1"/>
  <c r="Z79" i="3" s="1"/>
  <c r="AA79" i="3" s="1"/>
  <c r="AB79" i="3" s="1"/>
  <c r="E308" i="3"/>
  <c r="J307" i="3"/>
  <c r="D307" i="3"/>
  <c r="H307" i="3" s="1"/>
  <c r="R307" i="3"/>
  <c r="F310" i="3"/>
  <c r="S306" i="3"/>
  <c r="T306" i="3" s="1"/>
  <c r="U306" i="3"/>
  <c r="K306" i="3"/>
  <c r="L306" i="3" s="1"/>
  <c r="I306" i="3"/>
  <c r="D306" i="4" s="1"/>
  <c r="E306" i="4"/>
  <c r="F306" i="4" s="1"/>
  <c r="Q352" i="16" l="1"/>
  <c r="R353" i="16" s="1"/>
  <c r="S354" i="16" s="1"/>
  <c r="T355" i="16" s="1"/>
  <c r="P352" i="16"/>
  <c r="E351" i="16"/>
  <c r="F352" i="16" s="1"/>
  <c r="G353" i="16" s="1"/>
  <c r="H354" i="16" s="1"/>
  <c r="I355" i="16" s="1"/>
  <c r="J356" i="16" s="1"/>
  <c r="K357" i="16" s="1"/>
  <c r="L358" i="16" s="1"/>
  <c r="D351" i="16"/>
  <c r="C79" i="4"/>
  <c r="AC79" i="3"/>
  <c r="AD79" i="3" s="1"/>
  <c r="M80" i="3"/>
  <c r="U307" i="3"/>
  <c r="S307" i="3"/>
  <c r="T307" i="3" s="1"/>
  <c r="F311" i="3"/>
  <c r="I307" i="3"/>
  <c r="D307" i="4" s="1"/>
  <c r="E307" i="4"/>
  <c r="F307" i="4" s="1"/>
  <c r="K307" i="3"/>
  <c r="L307" i="3" s="1"/>
  <c r="E309" i="3"/>
  <c r="J308" i="3"/>
  <c r="D308" i="3"/>
  <c r="H308" i="3" s="1"/>
  <c r="R308" i="3"/>
  <c r="D352" i="16" l="1"/>
  <c r="E352" i="16"/>
  <c r="F353" i="16" s="1"/>
  <c r="G354" i="16" s="1"/>
  <c r="H355" i="16" s="1"/>
  <c r="I356" i="16" s="1"/>
  <c r="J357" i="16" s="1"/>
  <c r="K358" i="16" s="1"/>
  <c r="L359" i="16" s="1"/>
  <c r="P353" i="16"/>
  <c r="Q353" i="16"/>
  <c r="R354" i="16" s="1"/>
  <c r="S355" i="16" s="1"/>
  <c r="T356" i="16" s="1"/>
  <c r="K308" i="3"/>
  <c r="L308" i="3" s="1"/>
  <c r="F312" i="3"/>
  <c r="N80" i="3"/>
  <c r="O80" i="3"/>
  <c r="AI80" i="3"/>
  <c r="G79" i="4"/>
  <c r="I79" i="4" s="1"/>
  <c r="J79" i="4" s="1"/>
  <c r="H79" i="4"/>
  <c r="E310" i="3"/>
  <c r="D309" i="3"/>
  <c r="H309" i="3" s="1"/>
  <c r="R309" i="3"/>
  <c r="J309" i="3"/>
  <c r="S308" i="3"/>
  <c r="T308" i="3" s="1"/>
  <c r="U308" i="3"/>
  <c r="I308" i="3"/>
  <c r="D308" i="4" s="1"/>
  <c r="E308" i="4"/>
  <c r="F308" i="4" s="1"/>
  <c r="P354" i="16" l="1"/>
  <c r="Q354" i="16"/>
  <c r="R355" i="16" s="1"/>
  <c r="S356" i="16" s="1"/>
  <c r="T357" i="16" s="1"/>
  <c r="D353" i="16"/>
  <c r="E353" i="16"/>
  <c r="F354" i="16" s="1"/>
  <c r="G355" i="16" s="1"/>
  <c r="H356" i="16" s="1"/>
  <c r="I357" i="16" s="1"/>
  <c r="J358" i="16" s="1"/>
  <c r="K359" i="16" s="1"/>
  <c r="L360" i="16" s="1"/>
  <c r="P80" i="3"/>
  <c r="Q80" i="3" s="1"/>
  <c r="V80" i="3" s="1"/>
  <c r="K309" i="3"/>
  <c r="L309" i="3" s="1"/>
  <c r="E309" i="4"/>
  <c r="F309" i="4" s="1"/>
  <c r="I309" i="3"/>
  <c r="D309" i="4" s="1"/>
  <c r="M79" i="4"/>
  <c r="K79" i="4"/>
  <c r="S309" i="3"/>
  <c r="T309" i="3" s="1"/>
  <c r="U309" i="3"/>
  <c r="E311" i="3"/>
  <c r="J310" i="3"/>
  <c r="D310" i="3"/>
  <c r="H310" i="3" s="1"/>
  <c r="R310" i="3"/>
  <c r="F313" i="3"/>
  <c r="L80" i="4" l="1"/>
  <c r="E354" i="16"/>
  <c r="F355" i="16" s="1"/>
  <c r="G356" i="16" s="1"/>
  <c r="H357" i="16" s="1"/>
  <c r="I358" i="16" s="1"/>
  <c r="J359" i="16" s="1"/>
  <c r="K360" i="16" s="1"/>
  <c r="L361" i="16" s="1"/>
  <c r="D354" i="16"/>
  <c r="P355" i="16"/>
  <c r="Q355" i="16"/>
  <c r="R356" i="16" s="1"/>
  <c r="S357" i="16" s="1"/>
  <c r="T358" i="16" s="1"/>
  <c r="K310" i="3"/>
  <c r="L310" i="3" s="1"/>
  <c r="S310" i="3"/>
  <c r="T310" i="3" s="1"/>
  <c r="U310" i="3"/>
  <c r="E312" i="3"/>
  <c r="R311" i="3"/>
  <c r="D311" i="3"/>
  <c r="H311" i="3" s="1"/>
  <c r="J311" i="3"/>
  <c r="F314" i="3"/>
  <c r="I310" i="3"/>
  <c r="D310" i="4" s="1"/>
  <c r="E310" i="4"/>
  <c r="F310" i="4" s="1"/>
  <c r="W80" i="3"/>
  <c r="X80" i="3" s="1"/>
  <c r="Y80" i="3" s="1"/>
  <c r="Z80" i="3" s="1"/>
  <c r="AA80" i="3" s="1"/>
  <c r="AB80" i="3" s="1"/>
  <c r="Q356" i="16" l="1"/>
  <c r="R357" i="16" s="1"/>
  <c r="S358" i="16" s="1"/>
  <c r="T359" i="16" s="1"/>
  <c r="P356" i="16"/>
  <c r="E355" i="16"/>
  <c r="F356" i="16" s="1"/>
  <c r="G357" i="16" s="1"/>
  <c r="H358" i="16" s="1"/>
  <c r="I359" i="16" s="1"/>
  <c r="J360" i="16" s="1"/>
  <c r="K361" i="16" s="1"/>
  <c r="L362" i="16" s="1"/>
  <c r="D355" i="16"/>
  <c r="K311" i="3"/>
  <c r="L311" i="3" s="1"/>
  <c r="M81" i="3"/>
  <c r="AC80" i="3"/>
  <c r="AD80" i="3" s="1"/>
  <c r="C80" i="4"/>
  <c r="F315" i="3"/>
  <c r="I311" i="3"/>
  <c r="D311" i="4" s="1"/>
  <c r="E311" i="4"/>
  <c r="F311" i="4" s="1"/>
  <c r="E313" i="3"/>
  <c r="J312" i="3"/>
  <c r="R312" i="3"/>
  <c r="D312" i="3"/>
  <c r="H312" i="3" s="1"/>
  <c r="S311" i="3"/>
  <c r="T311" i="3" s="1"/>
  <c r="U311" i="3"/>
  <c r="D356" i="16" l="1"/>
  <c r="E356" i="16"/>
  <c r="F357" i="16" s="1"/>
  <c r="G358" i="16" s="1"/>
  <c r="H359" i="16" s="1"/>
  <c r="I360" i="16" s="1"/>
  <c r="J361" i="16" s="1"/>
  <c r="K362" i="16" s="1"/>
  <c r="L363" i="16" s="1"/>
  <c r="Q357" i="16"/>
  <c r="R358" i="16" s="1"/>
  <c r="S359" i="16" s="1"/>
  <c r="T360" i="16" s="1"/>
  <c r="P357" i="16"/>
  <c r="S312" i="3"/>
  <c r="T312" i="3" s="1"/>
  <c r="U312" i="3"/>
  <c r="E314" i="3"/>
  <c r="D313" i="3"/>
  <c r="H313" i="3" s="1"/>
  <c r="J313" i="3"/>
  <c r="R313" i="3"/>
  <c r="K312" i="3"/>
  <c r="L312" i="3" s="1"/>
  <c r="F316" i="3"/>
  <c r="E312" i="4"/>
  <c r="F312" i="4" s="1"/>
  <c r="I312" i="3"/>
  <c r="D312" i="4" s="1"/>
  <c r="G80" i="4"/>
  <c r="I80" i="4" s="1"/>
  <c r="J80" i="4" s="1"/>
  <c r="H80" i="4"/>
  <c r="AI81" i="3"/>
  <c r="O81" i="3"/>
  <c r="N81" i="3"/>
  <c r="P358" i="16" l="1"/>
  <c r="Q358" i="16"/>
  <c r="R359" i="16" s="1"/>
  <c r="S360" i="16" s="1"/>
  <c r="T361" i="16" s="1"/>
  <c r="E357" i="16"/>
  <c r="F358" i="16" s="1"/>
  <c r="G359" i="16" s="1"/>
  <c r="H360" i="16" s="1"/>
  <c r="I361" i="16" s="1"/>
  <c r="J362" i="16" s="1"/>
  <c r="K363" i="16" s="1"/>
  <c r="L364" i="16" s="1"/>
  <c r="D357" i="16"/>
  <c r="P81" i="3"/>
  <c r="Q81" i="3" s="1"/>
  <c r="L81" i="4" s="1"/>
  <c r="F317" i="3"/>
  <c r="U313" i="3"/>
  <c r="S313" i="3"/>
  <c r="T313" i="3" s="1"/>
  <c r="M80" i="4"/>
  <c r="K80" i="4"/>
  <c r="E315" i="3"/>
  <c r="R314" i="3"/>
  <c r="D314" i="3"/>
  <c r="H314" i="3" s="1"/>
  <c r="J314" i="3"/>
  <c r="I313" i="3"/>
  <c r="D313" i="4" s="1"/>
  <c r="E313" i="4"/>
  <c r="F313" i="4" s="1"/>
  <c r="K313" i="3"/>
  <c r="L313" i="3" s="1"/>
  <c r="E358" i="16" l="1"/>
  <c r="F359" i="16" s="1"/>
  <c r="G360" i="16" s="1"/>
  <c r="H361" i="16" s="1"/>
  <c r="I362" i="16" s="1"/>
  <c r="J363" i="16" s="1"/>
  <c r="K364" i="16" s="1"/>
  <c r="L365" i="16" s="1"/>
  <c r="D358" i="16"/>
  <c r="Q359" i="16"/>
  <c r="R360" i="16" s="1"/>
  <c r="S361" i="16" s="1"/>
  <c r="T362" i="16" s="1"/>
  <c r="P359" i="16"/>
  <c r="V81" i="3"/>
  <c r="W81" i="3" s="1"/>
  <c r="X81" i="3" s="1"/>
  <c r="Y81" i="3" s="1"/>
  <c r="Z81" i="3" s="1"/>
  <c r="AA81" i="3" s="1"/>
  <c r="AB81" i="3" s="1"/>
  <c r="S314" i="3"/>
  <c r="T314" i="3" s="1"/>
  <c r="U314" i="3"/>
  <c r="E314" i="4"/>
  <c r="F314" i="4" s="1"/>
  <c r="I314" i="3"/>
  <c r="D314" i="4" s="1"/>
  <c r="E316" i="3"/>
  <c r="D315" i="3"/>
  <c r="H315" i="3" s="1"/>
  <c r="R315" i="3"/>
  <c r="J315" i="3"/>
  <c r="K314" i="3"/>
  <c r="L314" i="3" s="1"/>
  <c r="F318" i="3"/>
  <c r="Q360" i="16" l="1"/>
  <c r="R361" i="16" s="1"/>
  <c r="S362" i="16" s="1"/>
  <c r="T363" i="16" s="1"/>
  <c r="P360" i="16"/>
  <c r="D359" i="16"/>
  <c r="E359" i="16"/>
  <c r="F360" i="16" s="1"/>
  <c r="G361" i="16" s="1"/>
  <c r="H362" i="16" s="1"/>
  <c r="I363" i="16" s="1"/>
  <c r="J364" i="16" s="1"/>
  <c r="K365" i="16" s="1"/>
  <c r="L366" i="16" s="1"/>
  <c r="M82" i="3"/>
  <c r="C81" i="4"/>
  <c r="AC81" i="3"/>
  <c r="AD81" i="3" s="1"/>
  <c r="F319" i="3"/>
  <c r="U315" i="3"/>
  <c r="S315" i="3"/>
  <c r="T315" i="3" s="1"/>
  <c r="E315" i="4"/>
  <c r="F315" i="4" s="1"/>
  <c r="I315" i="3"/>
  <c r="D315" i="4" s="1"/>
  <c r="K315" i="3"/>
  <c r="L315" i="3" s="1"/>
  <c r="E317" i="3"/>
  <c r="J316" i="3"/>
  <c r="D316" i="3"/>
  <c r="H316" i="3" s="1"/>
  <c r="R316" i="3"/>
  <c r="D360" i="16" l="1"/>
  <c r="E360" i="16"/>
  <c r="F361" i="16" s="1"/>
  <c r="G362" i="16" s="1"/>
  <c r="H363" i="16" s="1"/>
  <c r="I364" i="16" s="1"/>
  <c r="J365" i="16" s="1"/>
  <c r="K366" i="16" s="1"/>
  <c r="L367" i="16" s="1"/>
  <c r="P361" i="16"/>
  <c r="Q361" i="16"/>
  <c r="R362" i="16" s="1"/>
  <c r="S363" i="16" s="1"/>
  <c r="T364" i="16" s="1"/>
  <c r="K316" i="3"/>
  <c r="L316" i="3" s="1"/>
  <c r="E318" i="3"/>
  <c r="R317" i="3"/>
  <c r="D317" i="3"/>
  <c r="H317" i="3" s="1"/>
  <c r="J317" i="3"/>
  <c r="F320" i="3"/>
  <c r="E316" i="4"/>
  <c r="F316" i="4" s="1"/>
  <c r="I316" i="3"/>
  <c r="D316" i="4" s="1"/>
  <c r="G81" i="4"/>
  <c r="I81" i="4" s="1"/>
  <c r="J81" i="4" s="1"/>
  <c r="H81" i="4"/>
  <c r="S316" i="3"/>
  <c r="T316" i="3" s="1"/>
  <c r="U316" i="3"/>
  <c r="O82" i="3"/>
  <c r="AI82" i="3"/>
  <c r="N82" i="3"/>
  <c r="P362" i="16" l="1"/>
  <c r="Q362" i="16"/>
  <c r="R363" i="16" s="1"/>
  <c r="S364" i="16" s="1"/>
  <c r="T365" i="16" s="1"/>
  <c r="D361" i="16"/>
  <c r="E361" i="16"/>
  <c r="F362" i="16" s="1"/>
  <c r="G363" i="16" s="1"/>
  <c r="H364" i="16" s="1"/>
  <c r="I365" i="16" s="1"/>
  <c r="J366" i="16" s="1"/>
  <c r="K367" i="16" s="1"/>
  <c r="L368" i="16" s="1"/>
  <c r="P82" i="3"/>
  <c r="Q82" i="3" s="1"/>
  <c r="V82" i="3" s="1"/>
  <c r="K317" i="3"/>
  <c r="L317" i="3" s="1"/>
  <c r="F321" i="3"/>
  <c r="K81" i="4"/>
  <c r="M81" i="4"/>
  <c r="E317" i="4"/>
  <c r="F317" i="4" s="1"/>
  <c r="I317" i="3"/>
  <c r="D317" i="4" s="1"/>
  <c r="U317" i="3"/>
  <c r="S317" i="3"/>
  <c r="T317" i="3" s="1"/>
  <c r="E319" i="3"/>
  <c r="J318" i="3"/>
  <c r="D318" i="3"/>
  <c r="H318" i="3" s="1"/>
  <c r="R318" i="3"/>
  <c r="D362" i="16" l="1"/>
  <c r="E362" i="16"/>
  <c r="F363" i="16" s="1"/>
  <c r="G364" i="16" s="1"/>
  <c r="H365" i="16" s="1"/>
  <c r="I366" i="16" s="1"/>
  <c r="J367" i="16" s="1"/>
  <c r="K368" i="16" s="1"/>
  <c r="L369" i="16" s="1"/>
  <c r="P363" i="16"/>
  <c r="Q363" i="16"/>
  <c r="R364" i="16" s="1"/>
  <c r="S365" i="16" s="1"/>
  <c r="T366" i="16" s="1"/>
  <c r="L82" i="4"/>
  <c r="K318" i="3"/>
  <c r="L318" i="3" s="1"/>
  <c r="E320" i="3"/>
  <c r="J319" i="3"/>
  <c r="D319" i="3"/>
  <c r="H319" i="3" s="1"/>
  <c r="R319" i="3"/>
  <c r="S318" i="3"/>
  <c r="T318" i="3" s="1"/>
  <c r="U318" i="3"/>
  <c r="F322" i="3"/>
  <c r="W82" i="3"/>
  <c r="X82" i="3" s="1"/>
  <c r="Y82" i="3" s="1"/>
  <c r="Z82" i="3" s="1"/>
  <c r="AA82" i="3" s="1"/>
  <c r="AB82" i="3" s="1"/>
  <c r="I318" i="3"/>
  <c r="D318" i="4" s="1"/>
  <c r="E318" i="4"/>
  <c r="F318" i="4" s="1"/>
  <c r="P364" i="16" l="1"/>
  <c r="Q364" i="16"/>
  <c r="R365" i="16" s="1"/>
  <c r="S366" i="16" s="1"/>
  <c r="T367" i="16" s="1"/>
  <c r="D363" i="16"/>
  <c r="E363" i="16"/>
  <c r="F364" i="16" s="1"/>
  <c r="G365" i="16" s="1"/>
  <c r="H366" i="16" s="1"/>
  <c r="I367" i="16" s="1"/>
  <c r="J368" i="16" s="1"/>
  <c r="K369" i="16" s="1"/>
  <c r="L370" i="16" s="1"/>
  <c r="M83" i="3"/>
  <c r="C82" i="4"/>
  <c r="AC82" i="3"/>
  <c r="AD82" i="3" s="1"/>
  <c r="I319" i="3"/>
  <c r="D319" i="4" s="1"/>
  <c r="E319" i="4"/>
  <c r="F319" i="4" s="1"/>
  <c r="F323" i="3"/>
  <c r="S319" i="3"/>
  <c r="T319" i="3" s="1"/>
  <c r="U319" i="3"/>
  <c r="K319" i="3"/>
  <c r="L319" i="3" s="1"/>
  <c r="E321" i="3"/>
  <c r="D320" i="3"/>
  <c r="H320" i="3" s="1"/>
  <c r="R320" i="3"/>
  <c r="J320" i="3"/>
  <c r="D364" i="16" l="1"/>
  <c r="E364" i="16"/>
  <c r="F365" i="16" s="1"/>
  <c r="G366" i="16" s="1"/>
  <c r="H367" i="16" s="1"/>
  <c r="I368" i="16" s="1"/>
  <c r="J369" i="16" s="1"/>
  <c r="K370" i="16" s="1"/>
  <c r="L371" i="16" s="1"/>
  <c r="Q365" i="16"/>
  <c r="R366" i="16" s="1"/>
  <c r="S367" i="16" s="1"/>
  <c r="T368" i="16" s="1"/>
  <c r="P365" i="16"/>
  <c r="E322" i="3"/>
  <c r="D321" i="3"/>
  <c r="H321" i="3" s="1"/>
  <c r="R321" i="3"/>
  <c r="J321" i="3"/>
  <c r="E320" i="4"/>
  <c r="F320" i="4" s="1"/>
  <c r="I320" i="3"/>
  <c r="D320" i="4" s="1"/>
  <c r="H82" i="4"/>
  <c r="G82" i="4"/>
  <c r="I82" i="4" s="1"/>
  <c r="J82" i="4" s="1"/>
  <c r="F324" i="3"/>
  <c r="K320" i="3"/>
  <c r="L320" i="3" s="1"/>
  <c r="S320" i="3"/>
  <c r="T320" i="3" s="1"/>
  <c r="U320" i="3"/>
  <c r="N83" i="3"/>
  <c r="AI83" i="3"/>
  <c r="O83" i="3"/>
  <c r="P366" i="16" l="1"/>
  <c r="Q366" i="16"/>
  <c r="R367" i="16" s="1"/>
  <c r="S368" i="16" s="1"/>
  <c r="T369" i="16" s="1"/>
  <c r="D365" i="16"/>
  <c r="E365" i="16"/>
  <c r="F366" i="16" s="1"/>
  <c r="G367" i="16" s="1"/>
  <c r="H368" i="16" s="1"/>
  <c r="I369" i="16" s="1"/>
  <c r="J370" i="16" s="1"/>
  <c r="K371" i="16" s="1"/>
  <c r="L372" i="16" s="1"/>
  <c r="K321" i="3"/>
  <c r="L321" i="3" s="1"/>
  <c r="K82" i="4"/>
  <c r="M82" i="4"/>
  <c r="F325" i="3"/>
  <c r="P83" i="3"/>
  <c r="Q83" i="3" s="1"/>
  <c r="U321" i="3"/>
  <c r="S321" i="3"/>
  <c r="T321" i="3" s="1"/>
  <c r="E321" i="4"/>
  <c r="F321" i="4" s="1"/>
  <c r="I321" i="3"/>
  <c r="D321" i="4" s="1"/>
  <c r="E323" i="3"/>
  <c r="R322" i="3"/>
  <c r="J322" i="3"/>
  <c r="D322" i="3"/>
  <c r="H322" i="3" s="1"/>
  <c r="D366" i="16" l="1"/>
  <c r="E366" i="16"/>
  <c r="F367" i="16" s="1"/>
  <c r="G368" i="16" s="1"/>
  <c r="H369" i="16" s="1"/>
  <c r="I370" i="16" s="1"/>
  <c r="J371" i="16" s="1"/>
  <c r="K372" i="16" s="1"/>
  <c r="L373" i="16" s="1"/>
  <c r="Q367" i="16"/>
  <c r="R368" i="16" s="1"/>
  <c r="S369" i="16" s="1"/>
  <c r="T370" i="16" s="1"/>
  <c r="P367" i="16"/>
  <c r="K322" i="3"/>
  <c r="L322" i="3" s="1"/>
  <c r="U322" i="3"/>
  <c r="S322" i="3"/>
  <c r="T322" i="3" s="1"/>
  <c r="F326" i="3"/>
  <c r="L83" i="4"/>
  <c r="V83" i="3"/>
  <c r="E322" i="4"/>
  <c r="F322" i="4" s="1"/>
  <c r="I322" i="3"/>
  <c r="D322" i="4" s="1"/>
  <c r="E324" i="3"/>
  <c r="D323" i="3"/>
  <c r="H323" i="3" s="1"/>
  <c r="J323" i="3"/>
  <c r="R323" i="3"/>
  <c r="Q368" i="16" l="1"/>
  <c r="R369" i="16" s="1"/>
  <c r="S370" i="16" s="1"/>
  <c r="T371" i="16" s="1"/>
  <c r="P368" i="16"/>
  <c r="D367" i="16"/>
  <c r="E367" i="16"/>
  <c r="F368" i="16" s="1"/>
  <c r="G369" i="16" s="1"/>
  <c r="H370" i="16" s="1"/>
  <c r="I371" i="16" s="1"/>
  <c r="J372" i="16" s="1"/>
  <c r="K373" i="16" s="1"/>
  <c r="L374" i="16" s="1"/>
  <c r="K323" i="3"/>
  <c r="L323" i="3" s="1"/>
  <c r="S323" i="3"/>
  <c r="T323" i="3" s="1"/>
  <c r="U323" i="3"/>
  <c r="E325" i="3"/>
  <c r="J324" i="3"/>
  <c r="R324" i="3"/>
  <c r="D324" i="3"/>
  <c r="H324" i="3" s="1"/>
  <c r="W83" i="3"/>
  <c r="X83" i="3" s="1"/>
  <c r="Y83" i="3" s="1"/>
  <c r="Z83" i="3" s="1"/>
  <c r="AA83" i="3" s="1"/>
  <c r="AB83" i="3" s="1"/>
  <c r="E323" i="4"/>
  <c r="F323" i="4" s="1"/>
  <c r="I323" i="3"/>
  <c r="D323" i="4" s="1"/>
  <c r="F327" i="3"/>
  <c r="D368" i="16" l="1"/>
  <c r="E368" i="16"/>
  <c r="F369" i="16" s="1"/>
  <c r="G370" i="16" s="1"/>
  <c r="H371" i="16" s="1"/>
  <c r="I372" i="16" s="1"/>
  <c r="J373" i="16" s="1"/>
  <c r="K374" i="16" s="1"/>
  <c r="L375" i="16" s="1"/>
  <c r="Q369" i="16"/>
  <c r="R370" i="16" s="1"/>
  <c r="S371" i="16" s="1"/>
  <c r="T372" i="16" s="1"/>
  <c r="P369" i="16"/>
  <c r="M84" i="3"/>
  <c r="C83" i="4"/>
  <c r="AC83" i="3"/>
  <c r="AD83" i="3" s="1"/>
  <c r="K324" i="3"/>
  <c r="L324" i="3" s="1"/>
  <c r="S324" i="3"/>
  <c r="T324" i="3" s="1"/>
  <c r="U324" i="3"/>
  <c r="F328" i="3"/>
  <c r="I324" i="3"/>
  <c r="D324" i="4" s="1"/>
  <c r="E324" i="4"/>
  <c r="F324" i="4" s="1"/>
  <c r="E326" i="3"/>
  <c r="D325" i="3"/>
  <c r="H325" i="3" s="1"/>
  <c r="J325" i="3"/>
  <c r="R325" i="3"/>
  <c r="Q370" i="16" l="1"/>
  <c r="R371" i="16" s="1"/>
  <c r="S372" i="16" s="1"/>
  <c r="T373" i="16" s="1"/>
  <c r="P370" i="16"/>
  <c r="D369" i="16"/>
  <c r="E369" i="16"/>
  <c r="F370" i="16" s="1"/>
  <c r="G371" i="16" s="1"/>
  <c r="H372" i="16" s="1"/>
  <c r="I373" i="16" s="1"/>
  <c r="J374" i="16" s="1"/>
  <c r="K375" i="16" s="1"/>
  <c r="L376" i="16" s="1"/>
  <c r="I325" i="3"/>
  <c r="D325" i="4" s="1"/>
  <c r="E325" i="4"/>
  <c r="F325" i="4" s="1"/>
  <c r="K325" i="3"/>
  <c r="L325" i="3" s="1"/>
  <c r="E327" i="3"/>
  <c r="D326" i="3"/>
  <c r="H326" i="3" s="1"/>
  <c r="J326" i="3"/>
  <c r="R326" i="3"/>
  <c r="F329" i="3"/>
  <c r="G83" i="4"/>
  <c r="I83" i="4" s="1"/>
  <c r="J83" i="4" s="1"/>
  <c r="H83" i="4"/>
  <c r="S325" i="3"/>
  <c r="T325" i="3" s="1"/>
  <c r="U325" i="3"/>
  <c r="O84" i="3"/>
  <c r="AI84" i="3"/>
  <c r="N84" i="3"/>
  <c r="D370" i="16" l="1"/>
  <c r="E370" i="16"/>
  <c r="F371" i="16" s="1"/>
  <c r="G372" i="16" s="1"/>
  <c r="H373" i="16" s="1"/>
  <c r="I374" i="16" s="1"/>
  <c r="J375" i="16" s="1"/>
  <c r="K376" i="16" s="1"/>
  <c r="L377" i="16" s="1"/>
  <c r="P371" i="16"/>
  <c r="Q371" i="16"/>
  <c r="R372" i="16" s="1"/>
  <c r="S373" i="16" s="1"/>
  <c r="T374" i="16" s="1"/>
  <c r="P84" i="3"/>
  <c r="Q84" i="3" s="1"/>
  <c r="V84" i="3" s="1"/>
  <c r="K326" i="3"/>
  <c r="L326" i="3" s="1"/>
  <c r="K83" i="4"/>
  <c r="M83" i="4"/>
  <c r="S326" i="3"/>
  <c r="T326" i="3" s="1"/>
  <c r="U326" i="3"/>
  <c r="E328" i="3"/>
  <c r="R327" i="3"/>
  <c r="D327" i="3"/>
  <c r="H327" i="3" s="1"/>
  <c r="J327" i="3"/>
  <c r="F330" i="3"/>
  <c r="I326" i="3"/>
  <c r="D326" i="4" s="1"/>
  <c r="E326" i="4"/>
  <c r="F326" i="4" s="1"/>
  <c r="P372" i="16" l="1"/>
  <c r="Q372" i="16"/>
  <c r="R373" i="16" s="1"/>
  <c r="S374" i="16" s="1"/>
  <c r="T375" i="16" s="1"/>
  <c r="E371" i="16"/>
  <c r="F372" i="16" s="1"/>
  <c r="G373" i="16" s="1"/>
  <c r="H374" i="16" s="1"/>
  <c r="I375" i="16" s="1"/>
  <c r="J376" i="16" s="1"/>
  <c r="K377" i="16" s="1"/>
  <c r="L378" i="16" s="1"/>
  <c r="D371" i="16"/>
  <c r="L84" i="4"/>
  <c r="F331" i="3"/>
  <c r="I327" i="3"/>
  <c r="D327" i="4" s="1"/>
  <c r="E327" i="4"/>
  <c r="F327" i="4" s="1"/>
  <c r="U327" i="3"/>
  <c r="S327" i="3"/>
  <c r="T327" i="3" s="1"/>
  <c r="W84" i="3"/>
  <c r="X84" i="3" s="1"/>
  <c r="Y84" i="3" s="1"/>
  <c r="Z84" i="3" s="1"/>
  <c r="AA84" i="3" s="1"/>
  <c r="AB84" i="3" s="1"/>
  <c r="K327" i="3"/>
  <c r="L327" i="3" s="1"/>
  <c r="E329" i="3"/>
  <c r="J328" i="3"/>
  <c r="D328" i="3"/>
  <c r="H328" i="3" s="1"/>
  <c r="R328" i="3"/>
  <c r="D372" i="16" l="1"/>
  <c r="E372" i="16"/>
  <c r="F373" i="16" s="1"/>
  <c r="G374" i="16" s="1"/>
  <c r="H375" i="16" s="1"/>
  <c r="I376" i="16" s="1"/>
  <c r="J377" i="16" s="1"/>
  <c r="K378" i="16" s="1"/>
  <c r="L379" i="16" s="1"/>
  <c r="P373" i="16"/>
  <c r="Q373" i="16"/>
  <c r="R374" i="16" s="1"/>
  <c r="S375" i="16" s="1"/>
  <c r="T376" i="16" s="1"/>
  <c r="K328" i="3"/>
  <c r="L328" i="3" s="1"/>
  <c r="E328" i="4"/>
  <c r="F328" i="4" s="1"/>
  <c r="I328" i="3"/>
  <c r="D328" i="4" s="1"/>
  <c r="E330" i="3"/>
  <c r="R329" i="3"/>
  <c r="D329" i="3"/>
  <c r="H329" i="3" s="1"/>
  <c r="J329" i="3"/>
  <c r="S328" i="3"/>
  <c r="T328" i="3" s="1"/>
  <c r="U328" i="3"/>
  <c r="F332" i="3"/>
  <c r="AC84" i="3"/>
  <c r="AD84" i="3" s="1"/>
  <c r="M85" i="3"/>
  <c r="C84" i="4"/>
  <c r="Q374" i="16" l="1"/>
  <c r="R375" i="16" s="1"/>
  <c r="S376" i="16" s="1"/>
  <c r="T377" i="16" s="1"/>
  <c r="P374" i="16"/>
  <c r="D373" i="16"/>
  <c r="E373" i="16"/>
  <c r="F374" i="16" s="1"/>
  <c r="G375" i="16" s="1"/>
  <c r="H376" i="16" s="1"/>
  <c r="I377" i="16" s="1"/>
  <c r="J378" i="16" s="1"/>
  <c r="K379" i="16" s="1"/>
  <c r="L380" i="16" s="1"/>
  <c r="F333" i="3"/>
  <c r="E329" i="4"/>
  <c r="F329" i="4" s="1"/>
  <c r="I329" i="3"/>
  <c r="D329" i="4" s="1"/>
  <c r="K329" i="3"/>
  <c r="L329" i="3" s="1"/>
  <c r="E331" i="3"/>
  <c r="J330" i="3"/>
  <c r="D330" i="3"/>
  <c r="H330" i="3" s="1"/>
  <c r="R330" i="3"/>
  <c r="S329" i="3"/>
  <c r="T329" i="3" s="1"/>
  <c r="U329" i="3"/>
  <c r="H84" i="4"/>
  <c r="G84" i="4"/>
  <c r="I84" i="4" s="1"/>
  <c r="J84" i="4" s="1"/>
  <c r="N85" i="3"/>
  <c r="AI85" i="3"/>
  <c r="O85" i="3"/>
  <c r="D374" i="16" l="1"/>
  <c r="E374" i="16"/>
  <c r="F375" i="16" s="1"/>
  <c r="G376" i="16" s="1"/>
  <c r="H377" i="16" s="1"/>
  <c r="I378" i="16" s="1"/>
  <c r="J379" i="16" s="1"/>
  <c r="K380" i="16" s="1"/>
  <c r="L381" i="16" s="1"/>
  <c r="Q375" i="16"/>
  <c r="R376" i="16" s="1"/>
  <c r="S377" i="16" s="1"/>
  <c r="T378" i="16" s="1"/>
  <c r="P375" i="16"/>
  <c r="E332" i="3"/>
  <c r="D331" i="3"/>
  <c r="H331" i="3" s="1"/>
  <c r="R331" i="3"/>
  <c r="J331" i="3"/>
  <c r="E330" i="4"/>
  <c r="F330" i="4" s="1"/>
  <c r="I330" i="3"/>
  <c r="D330" i="4" s="1"/>
  <c r="S330" i="3"/>
  <c r="T330" i="3" s="1"/>
  <c r="U330" i="3"/>
  <c r="F334" i="3"/>
  <c r="K330" i="3"/>
  <c r="L330" i="3" s="1"/>
  <c r="P85" i="3"/>
  <c r="Q85" i="3" s="1"/>
  <c r="M84" i="4"/>
  <c r="K84" i="4"/>
  <c r="P376" i="16" l="1"/>
  <c r="Q376" i="16"/>
  <c r="R377" i="16" s="1"/>
  <c r="S378" i="16" s="1"/>
  <c r="T379" i="16" s="1"/>
  <c r="D375" i="16"/>
  <c r="E375" i="16"/>
  <c r="F376" i="16" s="1"/>
  <c r="G377" i="16" s="1"/>
  <c r="H378" i="16" s="1"/>
  <c r="I379" i="16" s="1"/>
  <c r="J380" i="16" s="1"/>
  <c r="K381" i="16" s="1"/>
  <c r="L382" i="16" s="1"/>
  <c r="K331" i="3"/>
  <c r="L331" i="3" s="1"/>
  <c r="F335" i="3"/>
  <c r="U331" i="3"/>
  <c r="S331" i="3"/>
  <c r="T331" i="3" s="1"/>
  <c r="E331" i="4"/>
  <c r="F331" i="4" s="1"/>
  <c r="I331" i="3"/>
  <c r="D331" i="4" s="1"/>
  <c r="E333" i="3"/>
  <c r="J332" i="3"/>
  <c r="D332" i="3"/>
  <c r="H332" i="3" s="1"/>
  <c r="R332" i="3"/>
  <c r="L85" i="4"/>
  <c r="V85" i="3"/>
  <c r="D376" i="16" l="1"/>
  <c r="E376" i="16"/>
  <c r="F377" i="16" s="1"/>
  <c r="G378" i="16" s="1"/>
  <c r="H379" i="16" s="1"/>
  <c r="I380" i="16" s="1"/>
  <c r="J381" i="16" s="1"/>
  <c r="K382" i="16" s="1"/>
  <c r="L383" i="16" s="1"/>
  <c r="P377" i="16"/>
  <c r="Q377" i="16"/>
  <c r="R378" i="16" s="1"/>
  <c r="S379" i="16" s="1"/>
  <c r="T380" i="16" s="1"/>
  <c r="K332" i="3"/>
  <c r="L332" i="3" s="1"/>
  <c r="E332" i="4"/>
  <c r="F332" i="4" s="1"/>
  <c r="I332" i="3"/>
  <c r="D332" i="4" s="1"/>
  <c r="E334" i="3"/>
  <c r="R333" i="3"/>
  <c r="D333" i="3"/>
  <c r="H333" i="3" s="1"/>
  <c r="J333" i="3"/>
  <c r="F336" i="3"/>
  <c r="S332" i="3"/>
  <c r="T332" i="3" s="1"/>
  <c r="U332" i="3"/>
  <c r="W85" i="3"/>
  <c r="X85" i="3" s="1"/>
  <c r="Y85" i="3" s="1"/>
  <c r="Z85" i="3" s="1"/>
  <c r="AA85" i="3" s="1"/>
  <c r="AB85" i="3" s="1"/>
  <c r="Q378" i="16" l="1"/>
  <c r="R379" i="16" s="1"/>
  <c r="S380" i="16" s="1"/>
  <c r="T381" i="16" s="1"/>
  <c r="P378" i="16"/>
  <c r="D377" i="16"/>
  <c r="E377" i="16"/>
  <c r="F378" i="16" s="1"/>
  <c r="G379" i="16" s="1"/>
  <c r="H380" i="16" s="1"/>
  <c r="I381" i="16" s="1"/>
  <c r="J382" i="16" s="1"/>
  <c r="K383" i="16" s="1"/>
  <c r="L384" i="16" s="1"/>
  <c r="K333" i="3"/>
  <c r="L333" i="3" s="1"/>
  <c r="AC85" i="3"/>
  <c r="AD85" i="3" s="1"/>
  <c r="M86" i="3"/>
  <c r="C85" i="4"/>
  <c r="S333" i="3"/>
  <c r="T333" i="3" s="1"/>
  <c r="U333" i="3"/>
  <c r="F337" i="3"/>
  <c r="I333" i="3"/>
  <c r="D333" i="4" s="1"/>
  <c r="E333" i="4"/>
  <c r="F333" i="4" s="1"/>
  <c r="E335" i="3"/>
  <c r="R334" i="3"/>
  <c r="J334" i="3"/>
  <c r="D334" i="3"/>
  <c r="H334" i="3" s="1"/>
  <c r="D378" i="16" l="1"/>
  <c r="E378" i="16"/>
  <c r="F379" i="16" s="1"/>
  <c r="G380" i="16" s="1"/>
  <c r="H381" i="16" s="1"/>
  <c r="I382" i="16" s="1"/>
  <c r="J383" i="16" s="1"/>
  <c r="K384" i="16" s="1"/>
  <c r="L385" i="16" s="1"/>
  <c r="P379" i="16"/>
  <c r="Q379" i="16"/>
  <c r="R380" i="16" s="1"/>
  <c r="S381" i="16" s="1"/>
  <c r="T382" i="16" s="1"/>
  <c r="F338" i="3"/>
  <c r="U334" i="3"/>
  <c r="S334" i="3"/>
  <c r="T334" i="3" s="1"/>
  <c r="I334" i="3"/>
  <c r="D334" i="4" s="1"/>
  <c r="E334" i="4"/>
  <c r="F334" i="4" s="1"/>
  <c r="AI86" i="3"/>
  <c r="N86" i="3"/>
  <c r="O86" i="3"/>
  <c r="E336" i="3"/>
  <c r="D335" i="3"/>
  <c r="H335" i="3" s="1"/>
  <c r="R335" i="3"/>
  <c r="J335" i="3"/>
  <c r="H85" i="4"/>
  <c r="G85" i="4"/>
  <c r="I85" i="4" s="1"/>
  <c r="J85" i="4" s="1"/>
  <c r="K334" i="3"/>
  <c r="L334" i="3" s="1"/>
  <c r="P380" i="16" l="1"/>
  <c r="Q380" i="16"/>
  <c r="R381" i="16" s="1"/>
  <c r="S382" i="16" s="1"/>
  <c r="T383" i="16" s="1"/>
  <c r="D379" i="16"/>
  <c r="E379" i="16"/>
  <c r="F380" i="16" s="1"/>
  <c r="G381" i="16" s="1"/>
  <c r="H382" i="16" s="1"/>
  <c r="I383" i="16" s="1"/>
  <c r="J384" i="16" s="1"/>
  <c r="K385" i="16" s="1"/>
  <c r="L386" i="16" s="1"/>
  <c r="P86" i="3"/>
  <c r="Q86" i="3" s="1"/>
  <c r="L86" i="4" s="1"/>
  <c r="K335" i="3"/>
  <c r="L335" i="3" s="1"/>
  <c r="E337" i="3"/>
  <c r="D336" i="3"/>
  <c r="H336" i="3" s="1"/>
  <c r="R336" i="3"/>
  <c r="J336" i="3"/>
  <c r="I335" i="3"/>
  <c r="D335" i="4" s="1"/>
  <c r="E335" i="4"/>
  <c r="F335" i="4" s="1"/>
  <c r="S335" i="3"/>
  <c r="T335" i="3" s="1"/>
  <c r="U335" i="3"/>
  <c r="K85" i="4"/>
  <c r="M85" i="4"/>
  <c r="F339" i="3"/>
  <c r="V86" i="3" l="1"/>
  <c r="W86" i="3" s="1"/>
  <c r="X86" i="3" s="1"/>
  <c r="Y86" i="3" s="1"/>
  <c r="Z86" i="3" s="1"/>
  <c r="AA86" i="3" s="1"/>
  <c r="AB86" i="3" s="1"/>
  <c r="D380" i="16"/>
  <c r="E380" i="16"/>
  <c r="F381" i="16" s="1"/>
  <c r="G382" i="16" s="1"/>
  <c r="H383" i="16" s="1"/>
  <c r="I384" i="16" s="1"/>
  <c r="J385" i="16" s="1"/>
  <c r="K386" i="16" s="1"/>
  <c r="L387" i="16" s="1"/>
  <c r="Q381" i="16"/>
  <c r="R382" i="16" s="1"/>
  <c r="S383" i="16" s="1"/>
  <c r="T384" i="16" s="1"/>
  <c r="P381" i="16"/>
  <c r="K336" i="3"/>
  <c r="L336" i="3" s="1"/>
  <c r="E336" i="4"/>
  <c r="F336" i="4" s="1"/>
  <c r="I336" i="3"/>
  <c r="D336" i="4" s="1"/>
  <c r="S336" i="3"/>
  <c r="T336" i="3" s="1"/>
  <c r="U336" i="3"/>
  <c r="F340" i="3"/>
  <c r="E338" i="3"/>
  <c r="D337" i="3"/>
  <c r="H337" i="3" s="1"/>
  <c r="J337" i="3"/>
  <c r="R337" i="3"/>
  <c r="P382" i="16" l="1"/>
  <c r="Q382" i="16"/>
  <c r="R383" i="16" s="1"/>
  <c r="S384" i="16" s="1"/>
  <c r="T385" i="16" s="1"/>
  <c r="D381" i="16"/>
  <c r="E381" i="16"/>
  <c r="F382" i="16" s="1"/>
  <c r="G383" i="16" s="1"/>
  <c r="H384" i="16" s="1"/>
  <c r="I385" i="16" s="1"/>
  <c r="J386" i="16" s="1"/>
  <c r="K387" i="16" s="1"/>
  <c r="L388" i="16" s="1"/>
  <c r="K337" i="3"/>
  <c r="L337" i="3" s="1"/>
  <c r="AC86" i="3"/>
  <c r="AD86" i="3" s="1"/>
  <c r="C86" i="4"/>
  <c r="M87" i="3"/>
  <c r="I337" i="3"/>
  <c r="D337" i="4" s="1"/>
  <c r="E337" i="4"/>
  <c r="F337" i="4" s="1"/>
  <c r="F341" i="3"/>
  <c r="E339" i="3"/>
  <c r="R338" i="3"/>
  <c r="D338" i="3"/>
  <c r="H338" i="3" s="1"/>
  <c r="J338" i="3"/>
  <c r="U337" i="3"/>
  <c r="S337" i="3"/>
  <c r="T337" i="3" s="1"/>
  <c r="D382" i="16" l="1"/>
  <c r="E382" i="16"/>
  <c r="F383" i="16" s="1"/>
  <c r="G384" i="16" s="1"/>
  <c r="H385" i="16" s="1"/>
  <c r="I386" i="16" s="1"/>
  <c r="J387" i="16" s="1"/>
  <c r="K388" i="16" s="1"/>
  <c r="L389" i="16" s="1"/>
  <c r="P383" i="16"/>
  <c r="Q383" i="16"/>
  <c r="R384" i="16" s="1"/>
  <c r="S385" i="16" s="1"/>
  <c r="T386" i="16" s="1"/>
  <c r="E338" i="4"/>
  <c r="F338" i="4" s="1"/>
  <c r="I338" i="3"/>
  <c r="D338" i="4" s="1"/>
  <c r="F342" i="3"/>
  <c r="K338" i="3"/>
  <c r="L338" i="3" s="1"/>
  <c r="E340" i="3"/>
  <c r="D339" i="3"/>
  <c r="H339" i="3" s="1"/>
  <c r="R339" i="3"/>
  <c r="J339" i="3"/>
  <c r="AI87" i="3"/>
  <c r="O87" i="3"/>
  <c r="N87" i="3"/>
  <c r="G86" i="4"/>
  <c r="I86" i="4" s="1"/>
  <c r="J86" i="4" s="1"/>
  <c r="H86" i="4"/>
  <c r="U338" i="3"/>
  <c r="S338" i="3"/>
  <c r="T338" i="3" s="1"/>
  <c r="Q384" i="16" l="1"/>
  <c r="R385" i="16" s="1"/>
  <c r="S386" i="16" s="1"/>
  <c r="T387" i="16" s="1"/>
  <c r="P384" i="16"/>
  <c r="D383" i="16"/>
  <c r="E383" i="16"/>
  <c r="F384" i="16" s="1"/>
  <c r="G385" i="16" s="1"/>
  <c r="H386" i="16" s="1"/>
  <c r="I387" i="16" s="1"/>
  <c r="J388" i="16" s="1"/>
  <c r="K389" i="16" s="1"/>
  <c r="L390" i="16" s="1"/>
  <c r="P87" i="3"/>
  <c r="Q87" i="3" s="1"/>
  <c r="L87" i="4" s="1"/>
  <c r="K339" i="3"/>
  <c r="L339" i="3" s="1"/>
  <c r="S339" i="3"/>
  <c r="T339" i="3" s="1"/>
  <c r="U339" i="3"/>
  <c r="E341" i="3"/>
  <c r="D340" i="3"/>
  <c r="H340" i="3" s="1"/>
  <c r="R340" i="3"/>
  <c r="J340" i="3"/>
  <c r="K86" i="4"/>
  <c r="M86" i="4"/>
  <c r="I339" i="3"/>
  <c r="D339" i="4" s="1"/>
  <c r="E339" i="4"/>
  <c r="F339" i="4" s="1"/>
  <c r="F343" i="3"/>
  <c r="D384" i="16" l="1"/>
  <c r="E384" i="16"/>
  <c r="F385" i="16" s="1"/>
  <c r="G386" i="16" s="1"/>
  <c r="H387" i="16" s="1"/>
  <c r="I388" i="16" s="1"/>
  <c r="J389" i="16" s="1"/>
  <c r="K390" i="16" s="1"/>
  <c r="L391" i="16" s="1"/>
  <c r="P385" i="16"/>
  <c r="Q385" i="16"/>
  <c r="R386" i="16" s="1"/>
  <c r="S387" i="16" s="1"/>
  <c r="T388" i="16" s="1"/>
  <c r="V87" i="3"/>
  <c r="W87" i="3" s="1"/>
  <c r="X87" i="3" s="1"/>
  <c r="Y87" i="3" s="1"/>
  <c r="Z87" i="3" s="1"/>
  <c r="AA87" i="3" s="1"/>
  <c r="AB87" i="3" s="1"/>
  <c r="K340" i="3"/>
  <c r="L340" i="3" s="1"/>
  <c r="S340" i="3"/>
  <c r="T340" i="3" s="1"/>
  <c r="U340" i="3"/>
  <c r="F344" i="3"/>
  <c r="I340" i="3"/>
  <c r="D340" i="4" s="1"/>
  <c r="E340" i="4"/>
  <c r="F340" i="4" s="1"/>
  <c r="E342" i="3"/>
  <c r="D341" i="3"/>
  <c r="H341" i="3" s="1"/>
  <c r="R341" i="3"/>
  <c r="J341" i="3"/>
  <c r="P386" i="16" l="1"/>
  <c r="Q386" i="16"/>
  <c r="R387" i="16" s="1"/>
  <c r="S388" i="16" s="1"/>
  <c r="T389" i="16" s="1"/>
  <c r="E385" i="16"/>
  <c r="F386" i="16" s="1"/>
  <c r="G387" i="16" s="1"/>
  <c r="H388" i="16" s="1"/>
  <c r="I389" i="16" s="1"/>
  <c r="J390" i="16" s="1"/>
  <c r="K391" i="16" s="1"/>
  <c r="L392" i="16" s="1"/>
  <c r="D385" i="16"/>
  <c r="C87" i="4"/>
  <c r="AC87" i="3"/>
  <c r="AD87" i="3" s="1"/>
  <c r="M88" i="3"/>
  <c r="E343" i="3"/>
  <c r="R342" i="3"/>
  <c r="J342" i="3"/>
  <c r="D342" i="3"/>
  <c r="H342" i="3" s="1"/>
  <c r="I341" i="3"/>
  <c r="D341" i="4" s="1"/>
  <c r="E341" i="4"/>
  <c r="F341" i="4" s="1"/>
  <c r="S341" i="3"/>
  <c r="T341" i="3" s="1"/>
  <c r="U341" i="3"/>
  <c r="F345" i="3"/>
  <c r="K341" i="3"/>
  <c r="L341" i="3" s="1"/>
  <c r="E386" i="16" l="1"/>
  <c r="F387" i="16" s="1"/>
  <c r="G388" i="16" s="1"/>
  <c r="H389" i="16" s="1"/>
  <c r="I390" i="16" s="1"/>
  <c r="J391" i="16" s="1"/>
  <c r="K392" i="16" s="1"/>
  <c r="L393" i="16" s="1"/>
  <c r="D386" i="16"/>
  <c r="P387" i="16"/>
  <c r="Q387" i="16"/>
  <c r="R388" i="16" s="1"/>
  <c r="S389" i="16" s="1"/>
  <c r="T390" i="16" s="1"/>
  <c r="E342" i="4"/>
  <c r="F342" i="4" s="1"/>
  <c r="I342" i="3"/>
  <c r="D342" i="4" s="1"/>
  <c r="U342" i="3"/>
  <c r="S342" i="3"/>
  <c r="T342" i="3" s="1"/>
  <c r="E344" i="3"/>
  <c r="D343" i="3"/>
  <c r="H343" i="3" s="1"/>
  <c r="R343" i="3"/>
  <c r="J343" i="3"/>
  <c r="O88" i="3"/>
  <c r="AI88" i="3"/>
  <c r="N88" i="3"/>
  <c r="F346" i="3"/>
  <c r="K342" i="3"/>
  <c r="L342" i="3" s="1"/>
  <c r="H87" i="4"/>
  <c r="G87" i="4"/>
  <c r="I87" i="4" s="1"/>
  <c r="J87" i="4" s="1"/>
  <c r="P388" i="16" l="1"/>
  <c r="Q388" i="16"/>
  <c r="R389" i="16" s="1"/>
  <c r="S390" i="16" s="1"/>
  <c r="T391" i="16" s="1"/>
  <c r="E387" i="16"/>
  <c r="F388" i="16" s="1"/>
  <c r="G389" i="16" s="1"/>
  <c r="H390" i="16" s="1"/>
  <c r="I391" i="16" s="1"/>
  <c r="J392" i="16" s="1"/>
  <c r="K393" i="16" s="1"/>
  <c r="L394" i="16" s="1"/>
  <c r="D387" i="16"/>
  <c r="P88" i="3"/>
  <c r="Q88" i="3" s="1"/>
  <c r="V88" i="3" s="1"/>
  <c r="K343" i="3"/>
  <c r="L343" i="3" s="1"/>
  <c r="F347" i="3"/>
  <c r="E345" i="3"/>
  <c r="D344" i="3"/>
  <c r="H344" i="3" s="1"/>
  <c r="J344" i="3"/>
  <c r="R344" i="3"/>
  <c r="I343" i="3"/>
  <c r="D343" i="4" s="1"/>
  <c r="E343" i="4"/>
  <c r="F343" i="4" s="1"/>
  <c r="M87" i="4"/>
  <c r="K87" i="4"/>
  <c r="S343" i="3"/>
  <c r="T343" i="3" s="1"/>
  <c r="U343" i="3"/>
  <c r="E388" i="16" l="1"/>
  <c r="F389" i="16" s="1"/>
  <c r="G390" i="16" s="1"/>
  <c r="H391" i="16" s="1"/>
  <c r="I392" i="16" s="1"/>
  <c r="J393" i="16" s="1"/>
  <c r="K394" i="16" s="1"/>
  <c r="L395" i="16" s="1"/>
  <c r="D388" i="16"/>
  <c r="P389" i="16"/>
  <c r="Q389" i="16"/>
  <c r="R390" i="16" s="1"/>
  <c r="S391" i="16" s="1"/>
  <c r="T392" i="16" s="1"/>
  <c r="L88" i="4"/>
  <c r="W88" i="3"/>
  <c r="X88" i="3" s="1"/>
  <c r="Y88" i="3" s="1"/>
  <c r="Z88" i="3" s="1"/>
  <c r="AA88" i="3" s="1"/>
  <c r="AB88" i="3" s="1"/>
  <c r="U344" i="3"/>
  <c r="S344" i="3"/>
  <c r="T344" i="3" s="1"/>
  <c r="K344" i="3"/>
  <c r="L344" i="3" s="1"/>
  <c r="E346" i="3"/>
  <c r="D345" i="3"/>
  <c r="H345" i="3" s="1"/>
  <c r="J345" i="3"/>
  <c r="R345" i="3"/>
  <c r="F348" i="3"/>
  <c r="E344" i="4"/>
  <c r="F344" i="4" s="1"/>
  <c r="I344" i="3"/>
  <c r="D344" i="4" s="1"/>
  <c r="Q390" i="16" l="1"/>
  <c r="R391" i="16" s="1"/>
  <c r="S392" i="16" s="1"/>
  <c r="T393" i="16" s="1"/>
  <c r="P390" i="16"/>
  <c r="D389" i="16"/>
  <c r="E389" i="16"/>
  <c r="F390" i="16" s="1"/>
  <c r="G391" i="16" s="1"/>
  <c r="H392" i="16" s="1"/>
  <c r="I393" i="16" s="1"/>
  <c r="J394" i="16" s="1"/>
  <c r="K395" i="16" s="1"/>
  <c r="L396" i="16" s="1"/>
  <c r="AC88" i="3"/>
  <c r="AD88" i="3" s="1"/>
  <c r="M89" i="3"/>
  <c r="C88" i="4"/>
  <c r="F349" i="3"/>
  <c r="S345" i="3"/>
  <c r="T345" i="3" s="1"/>
  <c r="U345" i="3"/>
  <c r="E345" i="4"/>
  <c r="F345" i="4" s="1"/>
  <c r="I345" i="3"/>
  <c r="D345" i="4" s="1"/>
  <c r="K345" i="3"/>
  <c r="L345" i="3" s="1"/>
  <c r="E347" i="3"/>
  <c r="D346" i="3"/>
  <c r="H346" i="3" s="1"/>
  <c r="J346" i="3"/>
  <c r="R346" i="3"/>
  <c r="D390" i="16" l="1"/>
  <c r="E390" i="16"/>
  <c r="F391" i="16" s="1"/>
  <c r="G392" i="16" s="1"/>
  <c r="H393" i="16" s="1"/>
  <c r="I394" i="16" s="1"/>
  <c r="J395" i="16" s="1"/>
  <c r="K396" i="16" s="1"/>
  <c r="L397" i="16" s="1"/>
  <c r="P391" i="16"/>
  <c r="Q391" i="16"/>
  <c r="R392" i="16" s="1"/>
  <c r="S393" i="16" s="1"/>
  <c r="T394" i="16" s="1"/>
  <c r="E346" i="4"/>
  <c r="F346" i="4" s="1"/>
  <c r="I346" i="3"/>
  <c r="D346" i="4" s="1"/>
  <c r="F350" i="3"/>
  <c r="S346" i="3"/>
  <c r="T346" i="3" s="1"/>
  <c r="U346" i="3"/>
  <c r="O89" i="3"/>
  <c r="N89" i="3"/>
  <c r="AI89" i="3"/>
  <c r="E348" i="3"/>
  <c r="J347" i="3"/>
  <c r="R347" i="3"/>
  <c r="D347" i="3"/>
  <c r="H347" i="3" s="1"/>
  <c r="H88" i="4"/>
  <c r="G88" i="4"/>
  <c r="I88" i="4" s="1"/>
  <c r="J88" i="4" s="1"/>
  <c r="K346" i="3"/>
  <c r="L346" i="3" s="1"/>
  <c r="Q392" i="16" l="1"/>
  <c r="R393" i="16" s="1"/>
  <c r="S394" i="16" s="1"/>
  <c r="T395" i="16" s="1"/>
  <c r="P392" i="16"/>
  <c r="D391" i="16"/>
  <c r="E391" i="16"/>
  <c r="F392" i="16" s="1"/>
  <c r="G393" i="16" s="1"/>
  <c r="H394" i="16" s="1"/>
  <c r="I395" i="16" s="1"/>
  <c r="J396" i="16" s="1"/>
  <c r="K397" i="16" s="1"/>
  <c r="L398" i="16" s="1"/>
  <c r="K347" i="3"/>
  <c r="L347" i="3" s="1"/>
  <c r="E349" i="3"/>
  <c r="J348" i="3"/>
  <c r="R348" i="3"/>
  <c r="D348" i="3"/>
  <c r="H348" i="3" s="1"/>
  <c r="F351" i="3"/>
  <c r="U347" i="3"/>
  <c r="S347" i="3"/>
  <c r="T347" i="3" s="1"/>
  <c r="P89" i="3"/>
  <c r="Q89" i="3" s="1"/>
  <c r="M88" i="4"/>
  <c r="K88" i="4"/>
  <c r="E347" i="4"/>
  <c r="F347" i="4" s="1"/>
  <c r="I347" i="3"/>
  <c r="D347" i="4" s="1"/>
  <c r="D392" i="16" l="1"/>
  <c r="E392" i="16"/>
  <c r="F393" i="16" s="1"/>
  <c r="G394" i="16" s="1"/>
  <c r="H395" i="16" s="1"/>
  <c r="I396" i="16" s="1"/>
  <c r="J397" i="16" s="1"/>
  <c r="K398" i="16" s="1"/>
  <c r="L399" i="16" s="1"/>
  <c r="Q393" i="16"/>
  <c r="R394" i="16" s="1"/>
  <c r="S395" i="16" s="1"/>
  <c r="T396" i="16" s="1"/>
  <c r="P393" i="16"/>
  <c r="L89" i="4"/>
  <c r="V89" i="3"/>
  <c r="F352" i="3"/>
  <c r="I348" i="3"/>
  <c r="D348" i="4" s="1"/>
  <c r="E348" i="4"/>
  <c r="F348" i="4" s="1"/>
  <c r="K348" i="3"/>
  <c r="L348" i="3" s="1"/>
  <c r="U348" i="3"/>
  <c r="S348" i="3"/>
  <c r="T348" i="3" s="1"/>
  <c r="E350" i="3"/>
  <c r="D349" i="3"/>
  <c r="H349" i="3" s="1"/>
  <c r="J349" i="3"/>
  <c r="R349" i="3"/>
  <c r="P394" i="16" l="1"/>
  <c r="Q394" i="16"/>
  <c r="R395" i="16" s="1"/>
  <c r="S396" i="16" s="1"/>
  <c r="T397" i="16" s="1"/>
  <c r="D393" i="16"/>
  <c r="E393" i="16"/>
  <c r="F394" i="16" s="1"/>
  <c r="G395" i="16" s="1"/>
  <c r="H396" i="16" s="1"/>
  <c r="I397" i="16" s="1"/>
  <c r="J398" i="16" s="1"/>
  <c r="K399" i="16" s="1"/>
  <c r="L400" i="16" s="1"/>
  <c r="K349" i="3"/>
  <c r="L349" i="3" s="1"/>
  <c r="I349" i="3"/>
  <c r="D349" i="4" s="1"/>
  <c r="E349" i="4"/>
  <c r="F349" i="4" s="1"/>
  <c r="E351" i="3"/>
  <c r="R350" i="3"/>
  <c r="J350" i="3"/>
  <c r="D350" i="3"/>
  <c r="H350" i="3" s="1"/>
  <c r="F353" i="3"/>
  <c r="W89" i="3"/>
  <c r="X89" i="3" s="1"/>
  <c r="Y89" i="3" s="1"/>
  <c r="Z89" i="3" s="1"/>
  <c r="AA89" i="3" s="1"/>
  <c r="AB89" i="3" s="1"/>
  <c r="U349" i="3"/>
  <c r="S349" i="3"/>
  <c r="T349" i="3" s="1"/>
  <c r="D394" i="16" l="1"/>
  <c r="E394" i="16"/>
  <c r="F395" i="16" s="1"/>
  <c r="G396" i="16" s="1"/>
  <c r="H397" i="16" s="1"/>
  <c r="I398" i="16" s="1"/>
  <c r="J399" i="16" s="1"/>
  <c r="K400" i="16" s="1"/>
  <c r="L401" i="16" s="1"/>
  <c r="Q395" i="16"/>
  <c r="R396" i="16" s="1"/>
  <c r="S397" i="16" s="1"/>
  <c r="T398" i="16" s="1"/>
  <c r="P395" i="16"/>
  <c r="M90" i="3"/>
  <c r="C89" i="4"/>
  <c r="AC89" i="3"/>
  <c r="AD89" i="3" s="1"/>
  <c r="F354" i="3"/>
  <c r="K350" i="3"/>
  <c r="L350" i="3" s="1"/>
  <c r="E352" i="3"/>
  <c r="J351" i="3"/>
  <c r="R351" i="3"/>
  <c r="D351" i="3"/>
  <c r="H351" i="3" s="1"/>
  <c r="E350" i="4"/>
  <c r="F350" i="4" s="1"/>
  <c r="I350" i="3"/>
  <c r="D350" i="4" s="1"/>
  <c r="S350" i="3"/>
  <c r="T350" i="3" s="1"/>
  <c r="U350" i="3"/>
  <c r="Q396" i="16" l="1"/>
  <c r="R397" i="16" s="1"/>
  <c r="S398" i="16" s="1"/>
  <c r="T399" i="16" s="1"/>
  <c r="P396" i="16"/>
  <c r="D395" i="16"/>
  <c r="E395" i="16"/>
  <c r="F396" i="16" s="1"/>
  <c r="G397" i="16" s="1"/>
  <c r="H398" i="16" s="1"/>
  <c r="I399" i="16" s="1"/>
  <c r="J400" i="16" s="1"/>
  <c r="K401" i="16" s="1"/>
  <c r="L402" i="16" s="1"/>
  <c r="E351" i="4"/>
  <c r="F351" i="4" s="1"/>
  <c r="I351" i="3"/>
  <c r="D351" i="4" s="1"/>
  <c r="S351" i="3"/>
  <c r="T351" i="3" s="1"/>
  <c r="U351" i="3"/>
  <c r="E353" i="3"/>
  <c r="D352" i="3"/>
  <c r="H352" i="3" s="1"/>
  <c r="J352" i="3"/>
  <c r="R352" i="3"/>
  <c r="H89" i="4"/>
  <c r="G89" i="4"/>
  <c r="I89" i="4" s="1"/>
  <c r="J89" i="4" s="1"/>
  <c r="K351" i="3"/>
  <c r="L351" i="3" s="1"/>
  <c r="F355" i="3"/>
  <c r="N90" i="3"/>
  <c r="AI90" i="3"/>
  <c r="O90" i="3"/>
  <c r="D396" i="16" l="1"/>
  <c r="E396" i="16"/>
  <c r="F397" i="16" s="1"/>
  <c r="G398" i="16" s="1"/>
  <c r="H399" i="16" s="1"/>
  <c r="I400" i="16" s="1"/>
  <c r="J401" i="16" s="1"/>
  <c r="K402" i="16" s="1"/>
  <c r="L403" i="16" s="1"/>
  <c r="Q397" i="16"/>
  <c r="R398" i="16" s="1"/>
  <c r="S399" i="16" s="1"/>
  <c r="T400" i="16" s="1"/>
  <c r="P397" i="16"/>
  <c r="K352" i="3"/>
  <c r="L352" i="3" s="1"/>
  <c r="U352" i="3"/>
  <c r="S352" i="3"/>
  <c r="T352" i="3" s="1"/>
  <c r="M89" i="4"/>
  <c r="K89" i="4"/>
  <c r="E352" i="4"/>
  <c r="F352" i="4" s="1"/>
  <c r="I352" i="3"/>
  <c r="D352" i="4" s="1"/>
  <c r="E354" i="3"/>
  <c r="R353" i="3"/>
  <c r="D353" i="3"/>
  <c r="H353" i="3" s="1"/>
  <c r="J353" i="3"/>
  <c r="P90" i="3"/>
  <c r="Q90" i="3" s="1"/>
  <c r="F356" i="3"/>
  <c r="Q398" i="16" l="1"/>
  <c r="R399" i="16" s="1"/>
  <c r="S400" i="16" s="1"/>
  <c r="T401" i="16" s="1"/>
  <c r="P398" i="16"/>
  <c r="D397" i="16"/>
  <c r="E397" i="16"/>
  <c r="F398" i="16" s="1"/>
  <c r="G399" i="16" s="1"/>
  <c r="H400" i="16" s="1"/>
  <c r="I401" i="16" s="1"/>
  <c r="J402" i="16" s="1"/>
  <c r="K403" i="16" s="1"/>
  <c r="L404" i="16" s="1"/>
  <c r="I353" i="3"/>
  <c r="D353" i="4" s="1"/>
  <c r="E353" i="4"/>
  <c r="F353" i="4" s="1"/>
  <c r="K353" i="3"/>
  <c r="L353" i="3" s="1"/>
  <c r="E355" i="3"/>
  <c r="D354" i="3"/>
  <c r="H354" i="3" s="1"/>
  <c r="R354" i="3"/>
  <c r="J354" i="3"/>
  <c r="F357" i="3"/>
  <c r="L90" i="4"/>
  <c r="V90" i="3"/>
  <c r="S353" i="3"/>
  <c r="T353" i="3" s="1"/>
  <c r="U353" i="3"/>
  <c r="D398" i="16" l="1"/>
  <c r="E398" i="16"/>
  <c r="F399" i="16" s="1"/>
  <c r="G400" i="16" s="1"/>
  <c r="H401" i="16" s="1"/>
  <c r="I402" i="16" s="1"/>
  <c r="J403" i="16" s="1"/>
  <c r="K404" i="16" s="1"/>
  <c r="L405" i="16" s="1"/>
  <c r="P399" i="16"/>
  <c r="Q399" i="16"/>
  <c r="R400" i="16" s="1"/>
  <c r="S401" i="16" s="1"/>
  <c r="T402" i="16" s="1"/>
  <c r="K354" i="3"/>
  <c r="L354" i="3" s="1"/>
  <c r="F358" i="3"/>
  <c r="S354" i="3"/>
  <c r="T354" i="3" s="1"/>
  <c r="U354" i="3"/>
  <c r="E356" i="3"/>
  <c r="J355" i="3"/>
  <c r="D355" i="3"/>
  <c r="H355" i="3" s="1"/>
  <c r="R355" i="3"/>
  <c r="W90" i="3"/>
  <c r="X90" i="3" s="1"/>
  <c r="Y90" i="3" s="1"/>
  <c r="Z90" i="3" s="1"/>
  <c r="AA90" i="3" s="1"/>
  <c r="AB90" i="3" s="1"/>
  <c r="I354" i="3"/>
  <c r="D354" i="4" s="1"/>
  <c r="E354" i="4"/>
  <c r="F354" i="4" s="1"/>
  <c r="P400" i="16" l="1"/>
  <c r="Q400" i="16"/>
  <c r="R401" i="16" s="1"/>
  <c r="S402" i="16" s="1"/>
  <c r="T403" i="16" s="1"/>
  <c r="D399" i="16"/>
  <c r="E399" i="16"/>
  <c r="F400" i="16" s="1"/>
  <c r="G401" i="16" s="1"/>
  <c r="H402" i="16" s="1"/>
  <c r="I403" i="16" s="1"/>
  <c r="J404" i="16" s="1"/>
  <c r="K405" i="16" s="1"/>
  <c r="L406" i="16" s="1"/>
  <c r="C90" i="4"/>
  <c r="AC90" i="3"/>
  <c r="AD90" i="3" s="1"/>
  <c r="M91" i="3"/>
  <c r="S355" i="3"/>
  <c r="T355" i="3" s="1"/>
  <c r="U355" i="3"/>
  <c r="K355" i="3"/>
  <c r="L355" i="3" s="1"/>
  <c r="F359" i="3"/>
  <c r="I355" i="3"/>
  <c r="D355" i="4" s="1"/>
  <c r="E355" i="4"/>
  <c r="F355" i="4" s="1"/>
  <c r="E357" i="3"/>
  <c r="J356" i="3"/>
  <c r="D356" i="3"/>
  <c r="H356" i="3" s="1"/>
  <c r="R356" i="3"/>
  <c r="D400" i="16" l="1"/>
  <c r="E400" i="16"/>
  <c r="F401" i="16" s="1"/>
  <c r="G402" i="16" s="1"/>
  <c r="H403" i="16" s="1"/>
  <c r="I404" i="16" s="1"/>
  <c r="J405" i="16" s="1"/>
  <c r="K406" i="16" s="1"/>
  <c r="L407" i="16" s="1"/>
  <c r="Q401" i="16"/>
  <c r="R402" i="16" s="1"/>
  <c r="S403" i="16" s="1"/>
  <c r="T404" i="16" s="1"/>
  <c r="P401" i="16"/>
  <c r="K356" i="3"/>
  <c r="L356" i="3" s="1"/>
  <c r="N91" i="3"/>
  <c r="AI91" i="3"/>
  <c r="O91" i="3"/>
  <c r="E356" i="4"/>
  <c r="F356" i="4" s="1"/>
  <c r="I356" i="3"/>
  <c r="D356" i="4" s="1"/>
  <c r="E358" i="3"/>
  <c r="R357" i="3"/>
  <c r="D357" i="3"/>
  <c r="H357" i="3" s="1"/>
  <c r="J357" i="3"/>
  <c r="F360" i="3"/>
  <c r="S356" i="3"/>
  <c r="T356" i="3" s="1"/>
  <c r="U356" i="3"/>
  <c r="H90" i="4"/>
  <c r="G90" i="4"/>
  <c r="I90" i="4" s="1"/>
  <c r="J90" i="4" s="1"/>
  <c r="Q402" i="16" l="1"/>
  <c r="R403" i="16" s="1"/>
  <c r="S404" i="16" s="1"/>
  <c r="T405" i="16" s="1"/>
  <c r="P402" i="16"/>
  <c r="E401" i="16"/>
  <c r="F402" i="16" s="1"/>
  <c r="G403" i="16" s="1"/>
  <c r="H404" i="16" s="1"/>
  <c r="I405" i="16" s="1"/>
  <c r="J406" i="16" s="1"/>
  <c r="K407" i="16" s="1"/>
  <c r="L408" i="16" s="1"/>
  <c r="D401" i="16"/>
  <c r="K357" i="3"/>
  <c r="L357" i="3" s="1"/>
  <c r="M90" i="4"/>
  <c r="K90" i="4"/>
  <c r="F361" i="3"/>
  <c r="I357" i="3"/>
  <c r="D357" i="4" s="1"/>
  <c r="E357" i="4"/>
  <c r="F357" i="4" s="1"/>
  <c r="S357" i="3"/>
  <c r="T357" i="3" s="1"/>
  <c r="U357" i="3"/>
  <c r="E359" i="3"/>
  <c r="J358" i="3"/>
  <c r="D358" i="3"/>
  <c r="H358" i="3" s="1"/>
  <c r="R358" i="3"/>
  <c r="P91" i="3"/>
  <c r="Q91" i="3" s="1"/>
  <c r="D402" i="16" l="1"/>
  <c r="E402" i="16"/>
  <c r="F403" i="16" s="1"/>
  <c r="G404" i="16" s="1"/>
  <c r="H405" i="16" s="1"/>
  <c r="I406" i="16" s="1"/>
  <c r="J407" i="16" s="1"/>
  <c r="K408" i="16" s="1"/>
  <c r="L409" i="16" s="1"/>
  <c r="Q403" i="16"/>
  <c r="R404" i="16" s="1"/>
  <c r="S405" i="16" s="1"/>
  <c r="T406" i="16" s="1"/>
  <c r="P403" i="16"/>
  <c r="S358" i="3"/>
  <c r="T358" i="3" s="1"/>
  <c r="U358" i="3"/>
  <c r="L91" i="4"/>
  <c r="V91" i="3"/>
  <c r="E360" i="3"/>
  <c r="D359" i="3"/>
  <c r="H359" i="3" s="1"/>
  <c r="J359" i="3"/>
  <c r="R359" i="3"/>
  <c r="K358" i="3"/>
  <c r="L358" i="3" s="1"/>
  <c r="F362" i="3"/>
  <c r="I358" i="3"/>
  <c r="D358" i="4" s="1"/>
  <c r="E358" i="4"/>
  <c r="F358" i="4" s="1"/>
  <c r="P404" i="16" l="1"/>
  <c r="Q404" i="16"/>
  <c r="R405" i="16" s="1"/>
  <c r="S406" i="16" s="1"/>
  <c r="T407" i="16" s="1"/>
  <c r="E403" i="16"/>
  <c r="F404" i="16" s="1"/>
  <c r="G405" i="16" s="1"/>
  <c r="H406" i="16" s="1"/>
  <c r="I407" i="16" s="1"/>
  <c r="J408" i="16" s="1"/>
  <c r="K409" i="16" s="1"/>
  <c r="L410" i="16" s="1"/>
  <c r="D403" i="16"/>
  <c r="I359" i="3"/>
  <c r="D359" i="4" s="1"/>
  <c r="E359" i="4"/>
  <c r="F359" i="4" s="1"/>
  <c r="S359" i="3"/>
  <c r="T359" i="3" s="1"/>
  <c r="U359" i="3"/>
  <c r="E361" i="3"/>
  <c r="J360" i="3"/>
  <c r="R360" i="3"/>
  <c r="D360" i="3"/>
  <c r="H360" i="3" s="1"/>
  <c r="F363" i="3"/>
  <c r="K359" i="3"/>
  <c r="L359" i="3" s="1"/>
  <c r="W91" i="3"/>
  <c r="X91" i="3" s="1"/>
  <c r="Y91" i="3" s="1"/>
  <c r="Z91" i="3" s="1"/>
  <c r="AA91" i="3" s="1"/>
  <c r="AB91" i="3" s="1"/>
  <c r="D404" i="16" l="1"/>
  <c r="E404" i="16"/>
  <c r="F405" i="16" s="1"/>
  <c r="G406" i="16" s="1"/>
  <c r="H407" i="16" s="1"/>
  <c r="I408" i="16" s="1"/>
  <c r="J409" i="16" s="1"/>
  <c r="K410" i="16" s="1"/>
  <c r="L411" i="16" s="1"/>
  <c r="P405" i="16"/>
  <c r="Q405" i="16"/>
  <c r="R406" i="16" s="1"/>
  <c r="S407" i="16" s="1"/>
  <c r="T408" i="16" s="1"/>
  <c r="M92" i="3"/>
  <c r="C91" i="4"/>
  <c r="AC91" i="3"/>
  <c r="AD91" i="3" s="1"/>
  <c r="I360" i="3"/>
  <c r="D360" i="4" s="1"/>
  <c r="E360" i="4"/>
  <c r="F360" i="4" s="1"/>
  <c r="K360" i="3"/>
  <c r="L360" i="3" s="1"/>
  <c r="F364" i="3"/>
  <c r="S360" i="3"/>
  <c r="T360" i="3" s="1"/>
  <c r="U360" i="3"/>
  <c r="E362" i="3"/>
  <c r="R361" i="3"/>
  <c r="D361" i="3"/>
  <c r="H361" i="3" s="1"/>
  <c r="J361" i="3"/>
  <c r="Q406" i="16" l="1"/>
  <c r="R407" i="16" s="1"/>
  <c r="S408" i="16" s="1"/>
  <c r="T409" i="16" s="1"/>
  <c r="P406" i="16"/>
  <c r="D405" i="16"/>
  <c r="E405" i="16"/>
  <c r="F406" i="16" s="1"/>
  <c r="G407" i="16" s="1"/>
  <c r="H408" i="16" s="1"/>
  <c r="I409" i="16" s="1"/>
  <c r="J410" i="16" s="1"/>
  <c r="K411" i="16" s="1"/>
  <c r="L412" i="16" s="1"/>
  <c r="K361" i="3"/>
  <c r="L361" i="3" s="1"/>
  <c r="S361" i="3"/>
  <c r="T361" i="3" s="1"/>
  <c r="U361" i="3"/>
  <c r="E363" i="3"/>
  <c r="R362" i="3"/>
  <c r="D362" i="3"/>
  <c r="H362" i="3" s="1"/>
  <c r="J362" i="3"/>
  <c r="F365" i="3"/>
  <c r="G91" i="4"/>
  <c r="I91" i="4" s="1"/>
  <c r="J91" i="4" s="1"/>
  <c r="H91" i="4"/>
  <c r="I361" i="3"/>
  <c r="D361" i="4" s="1"/>
  <c r="E361" i="4"/>
  <c r="F361" i="4" s="1"/>
  <c r="AI92" i="3"/>
  <c r="N92" i="3"/>
  <c r="O92" i="3"/>
  <c r="D406" i="16" l="1"/>
  <c r="E406" i="16"/>
  <c r="F407" i="16" s="1"/>
  <c r="G408" i="16" s="1"/>
  <c r="H409" i="16" s="1"/>
  <c r="I410" i="16" s="1"/>
  <c r="J411" i="16" s="1"/>
  <c r="K412" i="16" s="1"/>
  <c r="L413" i="16" s="1"/>
  <c r="Q407" i="16"/>
  <c r="R408" i="16" s="1"/>
  <c r="S409" i="16" s="1"/>
  <c r="T410" i="16" s="1"/>
  <c r="P407" i="16"/>
  <c r="K362" i="3"/>
  <c r="L362" i="3" s="1"/>
  <c r="F366" i="3"/>
  <c r="P92" i="3"/>
  <c r="Q92" i="3" s="1"/>
  <c r="M91" i="4"/>
  <c r="K91" i="4"/>
  <c r="E362" i="4"/>
  <c r="F362" i="4" s="1"/>
  <c r="I362" i="3"/>
  <c r="D362" i="4" s="1"/>
  <c r="S362" i="3"/>
  <c r="T362" i="3" s="1"/>
  <c r="U362" i="3"/>
  <c r="E364" i="3"/>
  <c r="J363" i="3"/>
  <c r="R363" i="3"/>
  <c r="D363" i="3"/>
  <c r="H363" i="3" s="1"/>
  <c r="Q408" i="16" l="1"/>
  <c r="R409" i="16" s="1"/>
  <c r="S410" i="16" s="1"/>
  <c r="T411" i="16" s="1"/>
  <c r="P408" i="16"/>
  <c r="D407" i="16"/>
  <c r="E407" i="16"/>
  <c r="F408" i="16" s="1"/>
  <c r="G409" i="16" s="1"/>
  <c r="H410" i="16" s="1"/>
  <c r="I411" i="16" s="1"/>
  <c r="J412" i="16" s="1"/>
  <c r="K413" i="16" s="1"/>
  <c r="L414" i="16" s="1"/>
  <c r="K363" i="3"/>
  <c r="L363" i="3" s="1"/>
  <c r="U363" i="3"/>
  <c r="S363" i="3"/>
  <c r="T363" i="3" s="1"/>
  <c r="E365" i="3"/>
  <c r="J364" i="3"/>
  <c r="D364" i="3"/>
  <c r="H364" i="3" s="1"/>
  <c r="R364" i="3"/>
  <c r="L92" i="4"/>
  <c r="V92" i="3"/>
  <c r="F367" i="3"/>
  <c r="I363" i="3"/>
  <c r="D363" i="4" s="1"/>
  <c r="E363" i="4"/>
  <c r="F363" i="4" s="1"/>
  <c r="D408" i="16" l="1"/>
  <c r="E408" i="16"/>
  <c r="F409" i="16" s="1"/>
  <c r="G410" i="16" s="1"/>
  <c r="H411" i="16" s="1"/>
  <c r="I412" i="16" s="1"/>
  <c r="J413" i="16" s="1"/>
  <c r="K414" i="16" s="1"/>
  <c r="L415" i="16" s="1"/>
  <c r="P409" i="16"/>
  <c r="Q409" i="16"/>
  <c r="R410" i="16" s="1"/>
  <c r="S411" i="16" s="1"/>
  <c r="T412" i="16" s="1"/>
  <c r="I364" i="3"/>
  <c r="D364" i="4" s="1"/>
  <c r="E364" i="4"/>
  <c r="F364" i="4" s="1"/>
  <c r="F368" i="3"/>
  <c r="K364" i="3"/>
  <c r="L364" i="3" s="1"/>
  <c r="W92" i="3"/>
  <c r="X92" i="3" s="1"/>
  <c r="Y92" i="3" s="1"/>
  <c r="Z92" i="3" s="1"/>
  <c r="AA92" i="3" s="1"/>
  <c r="AB92" i="3" s="1"/>
  <c r="U364" i="3"/>
  <c r="S364" i="3"/>
  <c r="T364" i="3" s="1"/>
  <c r="E366" i="3"/>
  <c r="J365" i="3"/>
  <c r="R365" i="3"/>
  <c r="D365" i="3"/>
  <c r="H365" i="3" s="1"/>
  <c r="P410" i="16" l="1"/>
  <c r="Q410" i="16"/>
  <c r="R411" i="16" s="1"/>
  <c r="S412" i="16" s="1"/>
  <c r="T413" i="16" s="1"/>
  <c r="D409" i="16"/>
  <c r="E409" i="16"/>
  <c r="F410" i="16" s="1"/>
  <c r="G411" i="16" s="1"/>
  <c r="H412" i="16" s="1"/>
  <c r="I413" i="16" s="1"/>
  <c r="J414" i="16" s="1"/>
  <c r="K415" i="16" s="1"/>
  <c r="L416" i="16" s="1"/>
  <c r="AC92" i="3"/>
  <c r="AD92" i="3" s="1"/>
  <c r="C92" i="4"/>
  <c r="M93" i="3"/>
  <c r="E365" i="4"/>
  <c r="F365" i="4" s="1"/>
  <c r="I365" i="3"/>
  <c r="D365" i="4" s="1"/>
  <c r="K365" i="3"/>
  <c r="L365" i="3" s="1"/>
  <c r="E367" i="3"/>
  <c r="J366" i="3"/>
  <c r="R366" i="3"/>
  <c r="D366" i="3"/>
  <c r="H366" i="3" s="1"/>
  <c r="S365" i="3"/>
  <c r="T365" i="3" s="1"/>
  <c r="U365" i="3"/>
  <c r="F369" i="3"/>
  <c r="D410" i="16" l="1"/>
  <c r="E410" i="16"/>
  <c r="F411" i="16" s="1"/>
  <c r="G412" i="16" s="1"/>
  <c r="H413" i="16" s="1"/>
  <c r="I414" i="16" s="1"/>
  <c r="J415" i="16" s="1"/>
  <c r="K416" i="16" s="1"/>
  <c r="L417" i="16" s="1"/>
  <c r="P411" i="16"/>
  <c r="Q411" i="16"/>
  <c r="R412" i="16" s="1"/>
  <c r="S413" i="16" s="1"/>
  <c r="T414" i="16" s="1"/>
  <c r="I366" i="3"/>
  <c r="D366" i="4" s="1"/>
  <c r="E366" i="4"/>
  <c r="F366" i="4" s="1"/>
  <c r="K366" i="3"/>
  <c r="L366" i="3" s="1"/>
  <c r="E368" i="3"/>
  <c r="J367" i="3"/>
  <c r="D367" i="3"/>
  <c r="H367" i="3" s="1"/>
  <c r="R367" i="3"/>
  <c r="O93" i="3"/>
  <c r="N93" i="3"/>
  <c r="AI93" i="3"/>
  <c r="H92" i="4"/>
  <c r="G92" i="4"/>
  <c r="I92" i="4" s="1"/>
  <c r="J92" i="4" s="1"/>
  <c r="S366" i="3"/>
  <c r="T366" i="3" s="1"/>
  <c r="U366" i="3"/>
  <c r="F370" i="3"/>
  <c r="Q412" i="16" l="1"/>
  <c r="R413" i="16" s="1"/>
  <c r="S414" i="16" s="1"/>
  <c r="T415" i="16" s="1"/>
  <c r="P412" i="16"/>
  <c r="E411" i="16"/>
  <c r="F412" i="16" s="1"/>
  <c r="G413" i="16" s="1"/>
  <c r="H414" i="16" s="1"/>
  <c r="I415" i="16" s="1"/>
  <c r="J416" i="16" s="1"/>
  <c r="K417" i="16" s="1"/>
  <c r="L418" i="16" s="1"/>
  <c r="D411" i="16"/>
  <c r="P93" i="3"/>
  <c r="Q93" i="3" s="1"/>
  <c r="L93" i="4" s="1"/>
  <c r="K367" i="3"/>
  <c r="L367" i="3" s="1"/>
  <c r="U367" i="3"/>
  <c r="S367" i="3"/>
  <c r="T367" i="3" s="1"/>
  <c r="I367" i="3"/>
  <c r="D367" i="4" s="1"/>
  <c r="E367" i="4"/>
  <c r="F367" i="4" s="1"/>
  <c r="F371" i="3"/>
  <c r="M92" i="4"/>
  <c r="K92" i="4"/>
  <c r="E369" i="3"/>
  <c r="D368" i="3"/>
  <c r="H368" i="3" s="1"/>
  <c r="J368" i="3"/>
  <c r="R368" i="3"/>
  <c r="D412" i="16" l="1"/>
  <c r="E412" i="16"/>
  <c r="F413" i="16" s="1"/>
  <c r="G414" i="16" s="1"/>
  <c r="H415" i="16" s="1"/>
  <c r="I416" i="16" s="1"/>
  <c r="J417" i="16" s="1"/>
  <c r="K418" i="16" s="1"/>
  <c r="L419" i="16" s="1"/>
  <c r="Q413" i="16"/>
  <c r="R414" i="16" s="1"/>
  <c r="S415" i="16" s="1"/>
  <c r="T416" i="16" s="1"/>
  <c r="P413" i="16"/>
  <c r="V93" i="3"/>
  <c r="W93" i="3" s="1"/>
  <c r="X93" i="3" s="1"/>
  <c r="Y93" i="3" s="1"/>
  <c r="Z93" i="3" s="1"/>
  <c r="AA93" i="3" s="1"/>
  <c r="AB93" i="3" s="1"/>
  <c r="F372" i="3"/>
  <c r="E368" i="4"/>
  <c r="F368" i="4" s="1"/>
  <c r="I368" i="3"/>
  <c r="D368" i="4" s="1"/>
  <c r="E370" i="3"/>
  <c r="R369" i="3"/>
  <c r="D369" i="3"/>
  <c r="H369" i="3" s="1"/>
  <c r="J369" i="3"/>
  <c r="U368" i="3"/>
  <c r="S368" i="3"/>
  <c r="T368" i="3" s="1"/>
  <c r="K368" i="3"/>
  <c r="L368" i="3" s="1"/>
  <c r="P414" i="16" l="1"/>
  <c r="Q414" i="16"/>
  <c r="R415" i="16" s="1"/>
  <c r="S416" i="16" s="1"/>
  <c r="T417" i="16" s="1"/>
  <c r="D413" i="16"/>
  <c r="E413" i="16"/>
  <c r="F414" i="16" s="1"/>
  <c r="G415" i="16" s="1"/>
  <c r="H416" i="16" s="1"/>
  <c r="I417" i="16" s="1"/>
  <c r="J418" i="16" s="1"/>
  <c r="K419" i="16" s="1"/>
  <c r="L420" i="16" s="1"/>
  <c r="E369" i="4"/>
  <c r="F369" i="4" s="1"/>
  <c r="I369" i="3"/>
  <c r="D369" i="4" s="1"/>
  <c r="C93" i="4"/>
  <c r="AC93" i="3"/>
  <c r="AD93" i="3" s="1"/>
  <c r="M94" i="3"/>
  <c r="K369" i="3"/>
  <c r="L369" i="3" s="1"/>
  <c r="U369" i="3"/>
  <c r="S369" i="3"/>
  <c r="T369" i="3" s="1"/>
  <c r="E371" i="3"/>
  <c r="R370" i="3"/>
  <c r="J370" i="3"/>
  <c r="D370" i="3"/>
  <c r="H370" i="3" s="1"/>
  <c r="F373" i="3"/>
  <c r="D414" i="16" l="1"/>
  <c r="E414" i="16"/>
  <c r="F415" i="16" s="1"/>
  <c r="G416" i="16" s="1"/>
  <c r="H417" i="16" s="1"/>
  <c r="I418" i="16" s="1"/>
  <c r="J419" i="16" s="1"/>
  <c r="K420" i="16" s="1"/>
  <c r="L421" i="16" s="1"/>
  <c r="P415" i="16"/>
  <c r="Q415" i="16"/>
  <c r="R416" i="16" s="1"/>
  <c r="S417" i="16" s="1"/>
  <c r="T418" i="16" s="1"/>
  <c r="K370" i="3"/>
  <c r="L370" i="3" s="1"/>
  <c r="I370" i="3"/>
  <c r="D370" i="4" s="1"/>
  <c r="E370" i="4"/>
  <c r="F370" i="4" s="1"/>
  <c r="S370" i="3"/>
  <c r="T370" i="3" s="1"/>
  <c r="U370" i="3"/>
  <c r="E372" i="3"/>
  <c r="D371" i="3"/>
  <c r="H371" i="3" s="1"/>
  <c r="R371" i="3"/>
  <c r="J371" i="3"/>
  <c r="N94" i="3"/>
  <c r="AI94" i="3"/>
  <c r="O94" i="3"/>
  <c r="H93" i="4"/>
  <c r="G93" i="4"/>
  <c r="I93" i="4" s="1"/>
  <c r="J93" i="4" s="1"/>
  <c r="F374" i="3"/>
  <c r="P416" i="16" l="1"/>
  <c r="Q416" i="16"/>
  <c r="R417" i="16" s="1"/>
  <c r="S418" i="16" s="1"/>
  <c r="T419" i="16" s="1"/>
  <c r="D415" i="16"/>
  <c r="E415" i="16"/>
  <c r="F416" i="16" s="1"/>
  <c r="G417" i="16" s="1"/>
  <c r="H418" i="16" s="1"/>
  <c r="I419" i="16" s="1"/>
  <c r="J420" i="16" s="1"/>
  <c r="K421" i="16" s="1"/>
  <c r="L422" i="16" s="1"/>
  <c r="K371" i="3"/>
  <c r="L371" i="3" s="1"/>
  <c r="U371" i="3"/>
  <c r="S371" i="3"/>
  <c r="T371" i="3" s="1"/>
  <c r="F375" i="3"/>
  <c r="P94" i="3"/>
  <c r="Q94" i="3" s="1"/>
  <c r="E371" i="4"/>
  <c r="F371" i="4" s="1"/>
  <c r="I371" i="3"/>
  <c r="D371" i="4" s="1"/>
  <c r="E373" i="3"/>
  <c r="D372" i="3"/>
  <c r="H372" i="3" s="1"/>
  <c r="R372" i="3"/>
  <c r="J372" i="3"/>
  <c r="M93" i="4"/>
  <c r="K93" i="4"/>
  <c r="E416" i="16" l="1"/>
  <c r="F417" i="16" s="1"/>
  <c r="G418" i="16" s="1"/>
  <c r="H419" i="16" s="1"/>
  <c r="I420" i="16" s="1"/>
  <c r="J421" i="16" s="1"/>
  <c r="K422" i="16" s="1"/>
  <c r="L423" i="16" s="1"/>
  <c r="D416" i="16"/>
  <c r="Q417" i="16"/>
  <c r="R418" i="16" s="1"/>
  <c r="S419" i="16" s="1"/>
  <c r="T420" i="16" s="1"/>
  <c r="P417" i="16"/>
  <c r="E374" i="3"/>
  <c r="R373" i="3"/>
  <c r="J373" i="3"/>
  <c r="D373" i="3"/>
  <c r="H373" i="3" s="1"/>
  <c r="F376" i="3"/>
  <c r="E372" i="4"/>
  <c r="F372" i="4" s="1"/>
  <c r="I372" i="3"/>
  <c r="D372" i="4" s="1"/>
  <c r="K372" i="3"/>
  <c r="L372" i="3" s="1"/>
  <c r="U372" i="3"/>
  <c r="S372" i="3"/>
  <c r="T372" i="3" s="1"/>
  <c r="L94" i="4"/>
  <c r="V94" i="3"/>
  <c r="P418" i="16" l="1"/>
  <c r="Q418" i="16"/>
  <c r="R419" i="16" s="1"/>
  <c r="S420" i="16" s="1"/>
  <c r="T421" i="16" s="1"/>
  <c r="D417" i="16"/>
  <c r="E417" i="16"/>
  <c r="F418" i="16" s="1"/>
  <c r="G419" i="16" s="1"/>
  <c r="H420" i="16" s="1"/>
  <c r="I421" i="16" s="1"/>
  <c r="J422" i="16" s="1"/>
  <c r="K423" i="16" s="1"/>
  <c r="L424" i="16" s="1"/>
  <c r="K373" i="3"/>
  <c r="L373" i="3" s="1"/>
  <c r="W94" i="3"/>
  <c r="X94" i="3" s="1"/>
  <c r="Y94" i="3" s="1"/>
  <c r="Z94" i="3" s="1"/>
  <c r="AA94" i="3" s="1"/>
  <c r="AB94" i="3" s="1"/>
  <c r="F377" i="3"/>
  <c r="E373" i="4"/>
  <c r="F373" i="4" s="1"/>
  <c r="I373" i="3"/>
  <c r="D373" i="4" s="1"/>
  <c r="S373" i="3"/>
  <c r="T373" i="3" s="1"/>
  <c r="U373" i="3"/>
  <c r="E375" i="3"/>
  <c r="J374" i="3"/>
  <c r="D374" i="3"/>
  <c r="H374" i="3" s="1"/>
  <c r="R374" i="3"/>
  <c r="D418" i="16" l="1"/>
  <c r="E418" i="16"/>
  <c r="F419" i="16" s="1"/>
  <c r="G420" i="16" s="1"/>
  <c r="H421" i="16" s="1"/>
  <c r="I422" i="16" s="1"/>
  <c r="J423" i="16" s="1"/>
  <c r="K424" i="16" s="1"/>
  <c r="L425" i="16" s="1"/>
  <c r="P419" i="16"/>
  <c r="Q419" i="16"/>
  <c r="R420" i="16" s="1"/>
  <c r="S421" i="16" s="1"/>
  <c r="T422" i="16" s="1"/>
  <c r="C94" i="4"/>
  <c r="M95" i="3"/>
  <c r="AC94" i="3"/>
  <c r="AD94" i="3" s="1"/>
  <c r="K374" i="3"/>
  <c r="L374" i="3" s="1"/>
  <c r="F378" i="3"/>
  <c r="I374" i="3"/>
  <c r="D374" i="4" s="1"/>
  <c r="E374" i="4"/>
  <c r="F374" i="4" s="1"/>
  <c r="E376" i="3"/>
  <c r="J375" i="3"/>
  <c r="D375" i="3"/>
  <c r="H375" i="3" s="1"/>
  <c r="R375" i="3"/>
  <c r="S374" i="3"/>
  <c r="T374" i="3" s="1"/>
  <c r="U374" i="3"/>
  <c r="Q420" i="16" l="1"/>
  <c r="R421" i="16" s="1"/>
  <c r="S422" i="16" s="1"/>
  <c r="T423" i="16" s="1"/>
  <c r="P420" i="16"/>
  <c r="D419" i="16"/>
  <c r="E419" i="16"/>
  <c r="F420" i="16" s="1"/>
  <c r="G421" i="16" s="1"/>
  <c r="H422" i="16" s="1"/>
  <c r="I423" i="16" s="1"/>
  <c r="J424" i="16" s="1"/>
  <c r="K425" i="16" s="1"/>
  <c r="L426" i="16" s="1"/>
  <c r="I375" i="3"/>
  <c r="D375" i="4" s="1"/>
  <c r="E375" i="4"/>
  <c r="F375" i="4" s="1"/>
  <c r="S375" i="3"/>
  <c r="T375" i="3" s="1"/>
  <c r="U375" i="3"/>
  <c r="N95" i="3"/>
  <c r="O95" i="3"/>
  <c r="AI95" i="3"/>
  <c r="K375" i="3"/>
  <c r="L375" i="3" s="1"/>
  <c r="E377" i="3"/>
  <c r="D376" i="3"/>
  <c r="H376" i="3" s="1"/>
  <c r="J376" i="3"/>
  <c r="R376" i="3"/>
  <c r="F379" i="3"/>
  <c r="G94" i="4"/>
  <c r="I94" i="4" s="1"/>
  <c r="J94" i="4" s="1"/>
  <c r="H94" i="4"/>
  <c r="D420" i="16" l="1"/>
  <c r="E420" i="16"/>
  <c r="F421" i="16" s="1"/>
  <c r="G422" i="16" s="1"/>
  <c r="H423" i="16" s="1"/>
  <c r="I424" i="16" s="1"/>
  <c r="J425" i="16" s="1"/>
  <c r="K426" i="16" s="1"/>
  <c r="L427" i="16" s="1"/>
  <c r="P421" i="16"/>
  <c r="Q421" i="16"/>
  <c r="R422" i="16" s="1"/>
  <c r="S423" i="16" s="1"/>
  <c r="T424" i="16" s="1"/>
  <c r="K376" i="3"/>
  <c r="L376" i="3" s="1"/>
  <c r="P95" i="3"/>
  <c r="Q95" i="3" s="1"/>
  <c r="L95" i="4" s="1"/>
  <c r="K94" i="4"/>
  <c r="M94" i="4"/>
  <c r="E376" i="4"/>
  <c r="F376" i="4" s="1"/>
  <c r="I376" i="3"/>
  <c r="D376" i="4" s="1"/>
  <c r="E378" i="3"/>
  <c r="D377" i="3"/>
  <c r="H377" i="3" s="1"/>
  <c r="R377" i="3"/>
  <c r="J377" i="3"/>
  <c r="S376" i="3"/>
  <c r="T376" i="3" s="1"/>
  <c r="U376" i="3"/>
  <c r="F380" i="3"/>
  <c r="P422" i="16" l="1"/>
  <c r="Q422" i="16"/>
  <c r="R423" i="16" s="1"/>
  <c r="S424" i="16" s="1"/>
  <c r="T425" i="16" s="1"/>
  <c r="D421" i="16"/>
  <c r="E421" i="16"/>
  <c r="F422" i="16" s="1"/>
  <c r="G423" i="16" s="1"/>
  <c r="H424" i="16" s="1"/>
  <c r="I425" i="16" s="1"/>
  <c r="J426" i="16" s="1"/>
  <c r="K427" i="16" s="1"/>
  <c r="L428" i="16" s="1"/>
  <c r="V95" i="3"/>
  <c r="W95" i="3" s="1"/>
  <c r="X95" i="3" s="1"/>
  <c r="Y95" i="3" s="1"/>
  <c r="Z95" i="3" s="1"/>
  <c r="AA95" i="3" s="1"/>
  <c r="AB95" i="3" s="1"/>
  <c r="K377" i="3"/>
  <c r="L377" i="3" s="1"/>
  <c r="I377" i="3"/>
  <c r="D377" i="4" s="1"/>
  <c r="E377" i="4"/>
  <c r="F377" i="4" s="1"/>
  <c r="S377" i="3"/>
  <c r="T377" i="3" s="1"/>
  <c r="U377" i="3"/>
  <c r="E379" i="3"/>
  <c r="R378" i="3"/>
  <c r="J378" i="3"/>
  <c r="D378" i="3"/>
  <c r="H378" i="3" s="1"/>
  <c r="F381" i="3"/>
  <c r="D422" i="16" l="1"/>
  <c r="E422" i="16"/>
  <c r="F423" i="16" s="1"/>
  <c r="G424" i="16" s="1"/>
  <c r="H425" i="16" s="1"/>
  <c r="I426" i="16" s="1"/>
  <c r="J427" i="16" s="1"/>
  <c r="K428" i="16" s="1"/>
  <c r="L429" i="16" s="1"/>
  <c r="Q423" i="16"/>
  <c r="R424" i="16" s="1"/>
  <c r="S425" i="16" s="1"/>
  <c r="T426" i="16" s="1"/>
  <c r="P423" i="16"/>
  <c r="M96" i="3"/>
  <c r="AC95" i="3"/>
  <c r="AD95" i="3" s="1"/>
  <c r="C95" i="4"/>
  <c r="E378" i="4"/>
  <c r="F378" i="4" s="1"/>
  <c r="I378" i="3"/>
  <c r="D378" i="4" s="1"/>
  <c r="E380" i="3"/>
  <c r="J379" i="3"/>
  <c r="D379" i="3"/>
  <c r="H379" i="3" s="1"/>
  <c r="R379" i="3"/>
  <c r="K378" i="3"/>
  <c r="L378" i="3" s="1"/>
  <c r="F382" i="3"/>
  <c r="S378" i="3"/>
  <c r="T378" i="3" s="1"/>
  <c r="U378" i="3"/>
  <c r="Q424" i="16" l="1"/>
  <c r="R425" i="16" s="1"/>
  <c r="S426" i="16" s="1"/>
  <c r="T427" i="16" s="1"/>
  <c r="P424" i="16"/>
  <c r="D423" i="16"/>
  <c r="E423" i="16"/>
  <c r="F424" i="16" s="1"/>
  <c r="G425" i="16" s="1"/>
  <c r="H426" i="16" s="1"/>
  <c r="I427" i="16" s="1"/>
  <c r="J428" i="16" s="1"/>
  <c r="K429" i="16" s="1"/>
  <c r="L430" i="16" s="1"/>
  <c r="K379" i="3"/>
  <c r="L379" i="3" s="1"/>
  <c r="F383" i="3"/>
  <c r="S379" i="3"/>
  <c r="T379" i="3" s="1"/>
  <c r="U379" i="3"/>
  <c r="E379" i="4"/>
  <c r="F379" i="4" s="1"/>
  <c r="I379" i="3"/>
  <c r="D379" i="4" s="1"/>
  <c r="E381" i="3"/>
  <c r="R380" i="3"/>
  <c r="D380" i="3"/>
  <c r="H380" i="3" s="1"/>
  <c r="J380" i="3"/>
  <c r="H95" i="4"/>
  <c r="G95" i="4"/>
  <c r="I95" i="4" s="1"/>
  <c r="J95" i="4" s="1"/>
  <c r="N96" i="3"/>
  <c r="AI96" i="3"/>
  <c r="O96" i="3"/>
  <c r="E424" i="16" l="1"/>
  <c r="F425" i="16" s="1"/>
  <c r="G426" i="16" s="1"/>
  <c r="H427" i="16" s="1"/>
  <c r="I428" i="16" s="1"/>
  <c r="J429" i="16" s="1"/>
  <c r="K430" i="16" s="1"/>
  <c r="L431" i="16" s="1"/>
  <c r="D424" i="16"/>
  <c r="Q425" i="16"/>
  <c r="R426" i="16" s="1"/>
  <c r="S427" i="16" s="1"/>
  <c r="T428" i="16" s="1"/>
  <c r="P425" i="16"/>
  <c r="M95" i="4"/>
  <c r="K95" i="4"/>
  <c r="I380" i="3"/>
  <c r="D380" i="4" s="1"/>
  <c r="E380" i="4"/>
  <c r="F380" i="4" s="1"/>
  <c r="K380" i="3"/>
  <c r="L380" i="3" s="1"/>
  <c r="E382" i="3"/>
  <c r="D381" i="3"/>
  <c r="H381" i="3" s="1"/>
  <c r="J381" i="3"/>
  <c r="R381" i="3"/>
  <c r="P96" i="3"/>
  <c r="Q96" i="3" s="1"/>
  <c r="S380" i="3"/>
  <c r="T380" i="3" s="1"/>
  <c r="U380" i="3"/>
  <c r="F384" i="3"/>
  <c r="P426" i="16" l="1"/>
  <c r="Q426" i="16"/>
  <c r="R427" i="16" s="1"/>
  <c r="S428" i="16" s="1"/>
  <c r="T429" i="16" s="1"/>
  <c r="D425" i="16"/>
  <c r="E425" i="16"/>
  <c r="F426" i="16" s="1"/>
  <c r="G427" i="16" s="1"/>
  <c r="H428" i="16" s="1"/>
  <c r="I429" i="16" s="1"/>
  <c r="J430" i="16" s="1"/>
  <c r="K431" i="16" s="1"/>
  <c r="L432" i="16" s="1"/>
  <c r="K381" i="3"/>
  <c r="L381" i="3" s="1"/>
  <c r="F385" i="3"/>
  <c r="L96" i="4"/>
  <c r="V96" i="3"/>
  <c r="S381" i="3"/>
  <c r="T381" i="3" s="1"/>
  <c r="U381" i="3"/>
  <c r="I381" i="3"/>
  <c r="D381" i="4" s="1"/>
  <c r="E381" i="4"/>
  <c r="F381" i="4" s="1"/>
  <c r="E383" i="3"/>
  <c r="D382" i="3"/>
  <c r="H382" i="3" s="1"/>
  <c r="R382" i="3"/>
  <c r="J382" i="3"/>
  <c r="D426" i="16" l="1"/>
  <c r="E426" i="16"/>
  <c r="F427" i="16" s="1"/>
  <c r="G428" i="16" s="1"/>
  <c r="H429" i="16" s="1"/>
  <c r="I430" i="16" s="1"/>
  <c r="J431" i="16" s="1"/>
  <c r="K432" i="16" s="1"/>
  <c r="L433" i="16" s="1"/>
  <c r="Q427" i="16"/>
  <c r="R428" i="16" s="1"/>
  <c r="S429" i="16" s="1"/>
  <c r="T430" i="16" s="1"/>
  <c r="P427" i="16"/>
  <c r="W96" i="3"/>
  <c r="X96" i="3" s="1"/>
  <c r="Y96" i="3" s="1"/>
  <c r="Z96" i="3" s="1"/>
  <c r="AA96" i="3" s="1"/>
  <c r="AB96" i="3" s="1"/>
  <c r="K382" i="3"/>
  <c r="L382" i="3" s="1"/>
  <c r="I382" i="3"/>
  <c r="D382" i="4" s="1"/>
  <c r="E382" i="4"/>
  <c r="F382" i="4" s="1"/>
  <c r="E384" i="3"/>
  <c r="J383" i="3"/>
  <c r="D383" i="3"/>
  <c r="H383" i="3" s="1"/>
  <c r="R383" i="3"/>
  <c r="F386" i="3"/>
  <c r="S382" i="3"/>
  <c r="T382" i="3" s="1"/>
  <c r="U382" i="3"/>
  <c r="Q428" i="16" l="1"/>
  <c r="R429" i="16" s="1"/>
  <c r="S430" i="16" s="1"/>
  <c r="T431" i="16" s="1"/>
  <c r="P428" i="16"/>
  <c r="D427" i="16"/>
  <c r="E427" i="16"/>
  <c r="F428" i="16" s="1"/>
  <c r="G429" i="16" s="1"/>
  <c r="H430" i="16" s="1"/>
  <c r="I431" i="16" s="1"/>
  <c r="J432" i="16" s="1"/>
  <c r="K433" i="16" s="1"/>
  <c r="L434" i="16" s="1"/>
  <c r="S383" i="3"/>
  <c r="T383" i="3" s="1"/>
  <c r="U383" i="3"/>
  <c r="K383" i="3"/>
  <c r="L383" i="3" s="1"/>
  <c r="I383" i="3"/>
  <c r="D383" i="4" s="1"/>
  <c r="E383" i="4"/>
  <c r="F383" i="4" s="1"/>
  <c r="F387" i="3"/>
  <c r="E385" i="3"/>
  <c r="R384" i="3"/>
  <c r="J384" i="3"/>
  <c r="D384" i="3"/>
  <c r="H384" i="3" s="1"/>
  <c r="AC96" i="3"/>
  <c r="AD96" i="3" s="1"/>
  <c r="C96" i="4"/>
  <c r="M97" i="3"/>
  <c r="D428" i="16" l="1"/>
  <c r="E428" i="16"/>
  <c r="F429" i="16" s="1"/>
  <c r="G430" i="16" s="1"/>
  <c r="H431" i="16" s="1"/>
  <c r="I432" i="16" s="1"/>
  <c r="J433" i="16" s="1"/>
  <c r="K434" i="16" s="1"/>
  <c r="L435" i="16" s="1"/>
  <c r="P429" i="16"/>
  <c r="Q429" i="16"/>
  <c r="R430" i="16" s="1"/>
  <c r="S431" i="16" s="1"/>
  <c r="T432" i="16" s="1"/>
  <c r="K384" i="3"/>
  <c r="L384" i="3" s="1"/>
  <c r="E386" i="3"/>
  <c r="R385" i="3"/>
  <c r="D385" i="3"/>
  <c r="H385" i="3" s="1"/>
  <c r="J385" i="3"/>
  <c r="E384" i="4"/>
  <c r="F384" i="4" s="1"/>
  <c r="I384" i="3"/>
  <c r="D384" i="4" s="1"/>
  <c r="F388" i="3"/>
  <c r="N97" i="3"/>
  <c r="O97" i="3"/>
  <c r="AI97" i="3"/>
  <c r="S384" i="3"/>
  <c r="T384" i="3" s="1"/>
  <c r="U384" i="3"/>
  <c r="H96" i="4"/>
  <c r="G96" i="4"/>
  <c r="I96" i="4" s="1"/>
  <c r="J96" i="4" s="1"/>
  <c r="P430" i="16" l="1"/>
  <c r="Q430" i="16"/>
  <c r="R431" i="16" s="1"/>
  <c r="S432" i="16" s="1"/>
  <c r="T433" i="16" s="1"/>
  <c r="D429" i="16"/>
  <c r="E429" i="16"/>
  <c r="F430" i="16" s="1"/>
  <c r="G431" i="16" s="1"/>
  <c r="H432" i="16" s="1"/>
  <c r="I433" i="16" s="1"/>
  <c r="J434" i="16" s="1"/>
  <c r="K435" i="16" s="1"/>
  <c r="L436" i="16" s="1"/>
  <c r="K385" i="3"/>
  <c r="L385" i="3" s="1"/>
  <c r="F389" i="3"/>
  <c r="K96" i="4"/>
  <c r="M96" i="4"/>
  <c r="P97" i="3"/>
  <c r="Q97" i="3" s="1"/>
  <c r="I385" i="3"/>
  <c r="D385" i="4" s="1"/>
  <c r="E385" i="4"/>
  <c r="F385" i="4" s="1"/>
  <c r="U385" i="3"/>
  <c r="S385" i="3"/>
  <c r="T385" i="3" s="1"/>
  <c r="E387" i="3"/>
  <c r="J386" i="3"/>
  <c r="R386" i="3"/>
  <c r="D386" i="3"/>
  <c r="H386" i="3" s="1"/>
  <c r="D430" i="16" l="1"/>
  <c r="E430" i="16"/>
  <c r="F431" i="16" s="1"/>
  <c r="G432" i="16" s="1"/>
  <c r="H433" i="16" s="1"/>
  <c r="I434" i="16" s="1"/>
  <c r="J435" i="16" s="1"/>
  <c r="K436" i="16" s="1"/>
  <c r="L437" i="16" s="1"/>
  <c r="Q431" i="16"/>
  <c r="R432" i="16" s="1"/>
  <c r="S433" i="16" s="1"/>
  <c r="T434" i="16" s="1"/>
  <c r="P431" i="16"/>
  <c r="K386" i="3"/>
  <c r="L386" i="3" s="1"/>
  <c r="E386" i="4"/>
  <c r="F386" i="4" s="1"/>
  <c r="I386" i="3"/>
  <c r="D386" i="4" s="1"/>
  <c r="U386" i="3"/>
  <c r="S386" i="3"/>
  <c r="T386" i="3" s="1"/>
  <c r="E388" i="3"/>
  <c r="J387" i="3"/>
  <c r="D387" i="3"/>
  <c r="H387" i="3" s="1"/>
  <c r="R387" i="3"/>
  <c r="L97" i="4"/>
  <c r="V97" i="3"/>
  <c r="F390" i="3"/>
  <c r="Q432" i="16" l="1"/>
  <c r="R433" i="16" s="1"/>
  <c r="S434" i="16" s="1"/>
  <c r="T435" i="16" s="1"/>
  <c r="P432" i="16"/>
  <c r="D431" i="16"/>
  <c r="E431" i="16"/>
  <c r="F432" i="16" s="1"/>
  <c r="G433" i="16" s="1"/>
  <c r="H434" i="16" s="1"/>
  <c r="I435" i="16" s="1"/>
  <c r="J436" i="16" s="1"/>
  <c r="K437" i="16" s="1"/>
  <c r="L438" i="16" s="1"/>
  <c r="K387" i="3"/>
  <c r="L387" i="3" s="1"/>
  <c r="W97" i="3"/>
  <c r="X97" i="3" s="1"/>
  <c r="Y97" i="3" s="1"/>
  <c r="Z97" i="3" s="1"/>
  <c r="AA97" i="3" s="1"/>
  <c r="AB97" i="3" s="1"/>
  <c r="F391" i="3"/>
  <c r="I387" i="3"/>
  <c r="D387" i="4" s="1"/>
  <c r="E387" i="4"/>
  <c r="F387" i="4" s="1"/>
  <c r="E389" i="3"/>
  <c r="J388" i="3"/>
  <c r="D388" i="3"/>
  <c r="H388" i="3" s="1"/>
  <c r="R388" i="3"/>
  <c r="S387" i="3"/>
  <c r="T387" i="3" s="1"/>
  <c r="U387" i="3"/>
  <c r="D432" i="16" l="1"/>
  <c r="E432" i="16"/>
  <c r="F433" i="16" s="1"/>
  <c r="G434" i="16" s="1"/>
  <c r="H435" i="16" s="1"/>
  <c r="I436" i="16" s="1"/>
  <c r="J437" i="16" s="1"/>
  <c r="K438" i="16" s="1"/>
  <c r="L439" i="16" s="1"/>
  <c r="P433" i="16"/>
  <c r="Q433" i="16"/>
  <c r="R434" i="16" s="1"/>
  <c r="S435" i="16" s="1"/>
  <c r="T436" i="16" s="1"/>
  <c r="S388" i="3"/>
  <c r="T388" i="3" s="1"/>
  <c r="U388" i="3"/>
  <c r="E390" i="3"/>
  <c r="R389" i="3"/>
  <c r="J389" i="3"/>
  <c r="D389" i="3"/>
  <c r="H389" i="3" s="1"/>
  <c r="K388" i="3"/>
  <c r="L388" i="3" s="1"/>
  <c r="I388" i="3"/>
  <c r="D388" i="4" s="1"/>
  <c r="E388" i="4"/>
  <c r="F388" i="4" s="1"/>
  <c r="F392" i="3"/>
  <c r="M98" i="3"/>
  <c r="AC97" i="3"/>
  <c r="AD97" i="3" s="1"/>
  <c r="C97" i="4"/>
  <c r="Q434" i="16" l="1"/>
  <c r="R435" i="16" s="1"/>
  <c r="S436" i="16" s="1"/>
  <c r="T437" i="16" s="1"/>
  <c r="P434" i="16"/>
  <c r="D433" i="16"/>
  <c r="E433" i="16"/>
  <c r="F434" i="16" s="1"/>
  <c r="G435" i="16" s="1"/>
  <c r="H436" i="16" s="1"/>
  <c r="I437" i="16" s="1"/>
  <c r="J438" i="16" s="1"/>
  <c r="K439" i="16" s="1"/>
  <c r="L440" i="16" s="1"/>
  <c r="AI98" i="3"/>
  <c r="O98" i="3"/>
  <c r="N98" i="3"/>
  <c r="K389" i="3"/>
  <c r="L389" i="3" s="1"/>
  <c r="S389" i="3"/>
  <c r="T389" i="3" s="1"/>
  <c r="U389" i="3"/>
  <c r="F393" i="3"/>
  <c r="I389" i="3"/>
  <c r="D389" i="4" s="1"/>
  <c r="E389" i="4"/>
  <c r="F389" i="4" s="1"/>
  <c r="E391" i="3"/>
  <c r="J390" i="3"/>
  <c r="D390" i="3"/>
  <c r="H390" i="3" s="1"/>
  <c r="R390" i="3"/>
  <c r="H97" i="4"/>
  <c r="G97" i="4"/>
  <c r="I97" i="4" s="1"/>
  <c r="J97" i="4" s="1"/>
  <c r="D434" i="16" l="1"/>
  <c r="E434" i="16"/>
  <c r="F435" i="16" s="1"/>
  <c r="G436" i="16" s="1"/>
  <c r="H437" i="16" s="1"/>
  <c r="I438" i="16" s="1"/>
  <c r="J439" i="16" s="1"/>
  <c r="K440" i="16" s="1"/>
  <c r="L441" i="16" s="1"/>
  <c r="Q435" i="16"/>
  <c r="R436" i="16" s="1"/>
  <c r="S437" i="16" s="1"/>
  <c r="T438" i="16" s="1"/>
  <c r="P435" i="16"/>
  <c r="P98" i="3"/>
  <c r="Q98" i="3" s="1"/>
  <c r="L98" i="4" s="1"/>
  <c r="K390" i="3"/>
  <c r="L390" i="3" s="1"/>
  <c r="K97" i="4"/>
  <c r="M97" i="4"/>
  <c r="F394" i="3"/>
  <c r="E392" i="3"/>
  <c r="D391" i="3"/>
  <c r="H391" i="3" s="1"/>
  <c r="R391" i="3"/>
  <c r="J391" i="3"/>
  <c r="U390" i="3"/>
  <c r="S390" i="3"/>
  <c r="T390" i="3" s="1"/>
  <c r="E390" i="4"/>
  <c r="F390" i="4" s="1"/>
  <c r="I390" i="3"/>
  <c r="D390" i="4" s="1"/>
  <c r="P436" i="16" l="1"/>
  <c r="Q436" i="16"/>
  <c r="R437" i="16" s="1"/>
  <c r="S438" i="16" s="1"/>
  <c r="T439" i="16" s="1"/>
  <c r="D435" i="16"/>
  <c r="E435" i="16"/>
  <c r="F436" i="16" s="1"/>
  <c r="G437" i="16" s="1"/>
  <c r="H438" i="16" s="1"/>
  <c r="I439" i="16" s="1"/>
  <c r="J440" i="16" s="1"/>
  <c r="K441" i="16" s="1"/>
  <c r="L442" i="16" s="1"/>
  <c r="V98" i="3"/>
  <c r="W98" i="3" s="1"/>
  <c r="X98" i="3" s="1"/>
  <c r="Y98" i="3" s="1"/>
  <c r="Z98" i="3" s="1"/>
  <c r="AA98" i="3" s="1"/>
  <c r="AB98" i="3" s="1"/>
  <c r="E393" i="3"/>
  <c r="R392" i="3"/>
  <c r="J392" i="3"/>
  <c r="D392" i="3"/>
  <c r="H392" i="3" s="1"/>
  <c r="K391" i="3"/>
  <c r="L391" i="3" s="1"/>
  <c r="S391" i="3"/>
  <c r="T391" i="3" s="1"/>
  <c r="U391" i="3"/>
  <c r="F395" i="3"/>
  <c r="I391" i="3"/>
  <c r="D391" i="4" s="1"/>
  <c r="E391" i="4"/>
  <c r="F391" i="4" s="1"/>
  <c r="D436" i="16" l="1"/>
  <c r="E436" i="16"/>
  <c r="F437" i="16" s="1"/>
  <c r="G438" i="16" s="1"/>
  <c r="H439" i="16" s="1"/>
  <c r="I440" i="16" s="1"/>
  <c r="J441" i="16" s="1"/>
  <c r="K442" i="16" s="1"/>
  <c r="L443" i="16" s="1"/>
  <c r="P437" i="16"/>
  <c r="Q437" i="16"/>
  <c r="R438" i="16" s="1"/>
  <c r="S439" i="16" s="1"/>
  <c r="T440" i="16" s="1"/>
  <c r="K392" i="3"/>
  <c r="L392" i="3" s="1"/>
  <c r="M99" i="3"/>
  <c r="C98" i="4"/>
  <c r="AC98" i="3"/>
  <c r="AD98" i="3" s="1"/>
  <c r="F396" i="3"/>
  <c r="E392" i="4"/>
  <c r="F392" i="4" s="1"/>
  <c r="I392" i="3"/>
  <c r="D392" i="4" s="1"/>
  <c r="S392" i="3"/>
  <c r="T392" i="3" s="1"/>
  <c r="U392" i="3"/>
  <c r="E394" i="3"/>
  <c r="R393" i="3"/>
  <c r="J393" i="3"/>
  <c r="D393" i="3"/>
  <c r="H393" i="3" s="1"/>
  <c r="P438" i="16" l="1"/>
  <c r="Q438" i="16"/>
  <c r="R439" i="16" s="1"/>
  <c r="S440" i="16" s="1"/>
  <c r="T441" i="16" s="1"/>
  <c r="D437" i="16"/>
  <c r="E437" i="16"/>
  <c r="F438" i="16" s="1"/>
  <c r="G439" i="16" s="1"/>
  <c r="H440" i="16" s="1"/>
  <c r="I441" i="16" s="1"/>
  <c r="J442" i="16" s="1"/>
  <c r="K443" i="16" s="1"/>
  <c r="L444" i="16" s="1"/>
  <c r="E395" i="3"/>
  <c r="D394" i="3"/>
  <c r="H394" i="3" s="1"/>
  <c r="J394" i="3"/>
  <c r="R394" i="3"/>
  <c r="F397" i="3"/>
  <c r="H98" i="4"/>
  <c r="G98" i="4"/>
  <c r="I98" i="4" s="1"/>
  <c r="J98" i="4" s="1"/>
  <c r="S393" i="3"/>
  <c r="T393" i="3" s="1"/>
  <c r="U393" i="3"/>
  <c r="I393" i="3"/>
  <c r="D393" i="4" s="1"/>
  <c r="E393" i="4"/>
  <c r="F393" i="4" s="1"/>
  <c r="K393" i="3"/>
  <c r="L393" i="3" s="1"/>
  <c r="O99" i="3"/>
  <c r="AI99" i="3"/>
  <c r="N99" i="3"/>
  <c r="D438" i="16" l="1"/>
  <c r="E438" i="16"/>
  <c r="F439" i="16" s="1"/>
  <c r="G440" i="16" s="1"/>
  <c r="H441" i="16" s="1"/>
  <c r="I442" i="16" s="1"/>
  <c r="J443" i="16" s="1"/>
  <c r="K444" i="16" s="1"/>
  <c r="L445" i="16" s="1"/>
  <c r="P439" i="16"/>
  <c r="Q439" i="16"/>
  <c r="R440" i="16" s="1"/>
  <c r="S441" i="16" s="1"/>
  <c r="T442" i="16" s="1"/>
  <c r="K394" i="3"/>
  <c r="L394" i="3" s="1"/>
  <c r="P99" i="3"/>
  <c r="Q99" i="3" s="1"/>
  <c r="V99" i="3" s="1"/>
  <c r="F398" i="3"/>
  <c r="S394" i="3"/>
  <c r="T394" i="3" s="1"/>
  <c r="U394" i="3"/>
  <c r="K98" i="4"/>
  <c r="M98" i="4"/>
  <c r="E394" i="4"/>
  <c r="F394" i="4" s="1"/>
  <c r="I394" i="3"/>
  <c r="D394" i="4" s="1"/>
  <c r="E396" i="3"/>
  <c r="J395" i="3"/>
  <c r="R395" i="3"/>
  <c r="D395" i="3"/>
  <c r="H395" i="3" s="1"/>
  <c r="L99" i="4" l="1"/>
  <c r="Q440" i="16"/>
  <c r="R441" i="16" s="1"/>
  <c r="S442" i="16" s="1"/>
  <c r="T443" i="16" s="1"/>
  <c r="P440" i="16"/>
  <c r="D439" i="16"/>
  <c r="E439" i="16"/>
  <c r="F440" i="16" s="1"/>
  <c r="G441" i="16" s="1"/>
  <c r="H442" i="16" s="1"/>
  <c r="I443" i="16" s="1"/>
  <c r="J444" i="16" s="1"/>
  <c r="K445" i="16" s="1"/>
  <c r="L446" i="16" s="1"/>
  <c r="E395" i="4"/>
  <c r="F395" i="4" s="1"/>
  <c r="I395" i="3"/>
  <c r="D395" i="4" s="1"/>
  <c r="U395" i="3"/>
  <c r="S395" i="3"/>
  <c r="T395" i="3" s="1"/>
  <c r="W99" i="3"/>
  <c r="X99" i="3" s="1"/>
  <c r="Y99" i="3" s="1"/>
  <c r="Z99" i="3" s="1"/>
  <c r="AA99" i="3" s="1"/>
  <c r="AB99" i="3" s="1"/>
  <c r="F399" i="3"/>
  <c r="K395" i="3"/>
  <c r="L395" i="3" s="1"/>
  <c r="E397" i="3"/>
  <c r="J396" i="3"/>
  <c r="R396" i="3"/>
  <c r="D396" i="3"/>
  <c r="H396" i="3" s="1"/>
  <c r="E440" i="16" l="1"/>
  <c r="F441" i="16" s="1"/>
  <c r="G442" i="16" s="1"/>
  <c r="H443" i="16" s="1"/>
  <c r="I444" i="16" s="1"/>
  <c r="J445" i="16" s="1"/>
  <c r="K446" i="16" s="1"/>
  <c r="L447" i="16" s="1"/>
  <c r="D440" i="16"/>
  <c r="P441" i="16"/>
  <c r="Q441" i="16"/>
  <c r="R442" i="16" s="1"/>
  <c r="S443" i="16" s="1"/>
  <c r="T444" i="16" s="1"/>
  <c r="I396" i="3"/>
  <c r="D396" i="4" s="1"/>
  <c r="E396" i="4"/>
  <c r="F396" i="4" s="1"/>
  <c r="E398" i="3"/>
  <c r="D397" i="3"/>
  <c r="H397" i="3" s="1"/>
  <c r="J397" i="3"/>
  <c r="R397" i="3"/>
  <c r="F400" i="3"/>
  <c r="S396" i="3"/>
  <c r="T396" i="3" s="1"/>
  <c r="U396" i="3"/>
  <c r="M100" i="3"/>
  <c r="C99" i="4"/>
  <c r="AC99" i="3"/>
  <c r="AD99" i="3" s="1"/>
  <c r="K396" i="3"/>
  <c r="L396" i="3" s="1"/>
  <c r="P442" i="16" l="1"/>
  <c r="Q442" i="16"/>
  <c r="R443" i="16" s="1"/>
  <c r="S444" i="16" s="1"/>
  <c r="T445" i="16" s="1"/>
  <c r="D441" i="16"/>
  <c r="E441" i="16"/>
  <c r="F442" i="16" s="1"/>
  <c r="G443" i="16" s="1"/>
  <c r="H444" i="16" s="1"/>
  <c r="I445" i="16" s="1"/>
  <c r="J446" i="16" s="1"/>
  <c r="K447" i="16" s="1"/>
  <c r="L448" i="16" s="1"/>
  <c r="H99" i="4"/>
  <c r="G99" i="4"/>
  <c r="I99" i="4" s="1"/>
  <c r="J99" i="4" s="1"/>
  <c r="AI100" i="3"/>
  <c r="O100" i="3"/>
  <c r="N100" i="3"/>
  <c r="F401" i="3"/>
  <c r="E397" i="4"/>
  <c r="F397" i="4" s="1"/>
  <c r="I397" i="3"/>
  <c r="D397" i="4" s="1"/>
  <c r="S397" i="3"/>
  <c r="T397" i="3" s="1"/>
  <c r="U397" i="3"/>
  <c r="K397" i="3"/>
  <c r="L397" i="3" s="1"/>
  <c r="E399" i="3"/>
  <c r="J398" i="3"/>
  <c r="D398" i="3"/>
  <c r="H398" i="3" s="1"/>
  <c r="R398" i="3"/>
  <c r="D442" i="16" l="1"/>
  <c r="E442" i="16"/>
  <c r="F443" i="16" s="1"/>
  <c r="G444" i="16" s="1"/>
  <c r="H445" i="16" s="1"/>
  <c r="I446" i="16" s="1"/>
  <c r="J447" i="16" s="1"/>
  <c r="K448" i="16" s="1"/>
  <c r="L449" i="16" s="1"/>
  <c r="Q443" i="16"/>
  <c r="R444" i="16" s="1"/>
  <c r="S445" i="16" s="1"/>
  <c r="T446" i="16" s="1"/>
  <c r="P443" i="16"/>
  <c r="P100" i="3"/>
  <c r="Q100" i="3" s="1"/>
  <c r="V100" i="3" s="1"/>
  <c r="K398" i="3"/>
  <c r="L398" i="3" s="1"/>
  <c r="F402" i="3"/>
  <c r="S398" i="3"/>
  <c r="T398" i="3" s="1"/>
  <c r="U398" i="3"/>
  <c r="K99" i="4"/>
  <c r="M99" i="4"/>
  <c r="I398" i="3"/>
  <c r="D398" i="4" s="1"/>
  <c r="E398" i="4"/>
  <c r="F398" i="4" s="1"/>
  <c r="E400" i="3"/>
  <c r="J399" i="3"/>
  <c r="D399" i="3"/>
  <c r="H399" i="3" s="1"/>
  <c r="R399" i="3"/>
  <c r="P444" i="16" l="1"/>
  <c r="Q444" i="16"/>
  <c r="R445" i="16" s="1"/>
  <c r="S446" i="16" s="1"/>
  <c r="T447" i="16" s="1"/>
  <c r="E443" i="16"/>
  <c r="F444" i="16" s="1"/>
  <c r="G445" i="16" s="1"/>
  <c r="H446" i="16" s="1"/>
  <c r="I447" i="16" s="1"/>
  <c r="J448" i="16" s="1"/>
  <c r="K449" i="16" s="1"/>
  <c r="L450" i="16" s="1"/>
  <c r="D443" i="16"/>
  <c r="L100" i="4"/>
  <c r="U399" i="3"/>
  <c r="S399" i="3"/>
  <c r="T399" i="3" s="1"/>
  <c r="I399" i="3"/>
  <c r="D399" i="4" s="1"/>
  <c r="E399" i="4"/>
  <c r="F399" i="4" s="1"/>
  <c r="W100" i="3"/>
  <c r="X100" i="3" s="1"/>
  <c r="Y100" i="3" s="1"/>
  <c r="Z100" i="3" s="1"/>
  <c r="AA100" i="3" s="1"/>
  <c r="AB100" i="3" s="1"/>
  <c r="E401" i="3"/>
  <c r="R400" i="3"/>
  <c r="J400" i="3"/>
  <c r="D400" i="3"/>
  <c r="H400" i="3" s="1"/>
  <c r="F403" i="3"/>
  <c r="K399" i="3"/>
  <c r="L399" i="3" s="1"/>
  <c r="E444" i="16" l="1"/>
  <c r="F445" i="16" s="1"/>
  <c r="G446" i="16" s="1"/>
  <c r="H447" i="16" s="1"/>
  <c r="I448" i="16" s="1"/>
  <c r="J449" i="16" s="1"/>
  <c r="K450" i="16" s="1"/>
  <c r="L451" i="16" s="1"/>
  <c r="D444" i="16"/>
  <c r="P445" i="16"/>
  <c r="Q445" i="16"/>
  <c r="R446" i="16" s="1"/>
  <c r="S447" i="16" s="1"/>
  <c r="T448" i="16" s="1"/>
  <c r="AC100" i="3"/>
  <c r="AD100" i="3" s="1"/>
  <c r="M101" i="3"/>
  <c r="C100" i="4"/>
  <c r="E400" i="4"/>
  <c r="F400" i="4" s="1"/>
  <c r="I400" i="3"/>
  <c r="D400" i="4" s="1"/>
  <c r="S400" i="3"/>
  <c r="T400" i="3" s="1"/>
  <c r="U400" i="3"/>
  <c r="F404" i="3"/>
  <c r="K400" i="3"/>
  <c r="L400" i="3" s="1"/>
  <c r="E402" i="3"/>
  <c r="R401" i="3"/>
  <c r="J401" i="3"/>
  <c r="D401" i="3"/>
  <c r="H401" i="3" s="1"/>
  <c r="P446" i="16" l="1"/>
  <c r="Q446" i="16"/>
  <c r="R447" i="16" s="1"/>
  <c r="S448" i="16" s="1"/>
  <c r="T449" i="16" s="1"/>
  <c r="D445" i="16"/>
  <c r="E445" i="16"/>
  <c r="F446" i="16" s="1"/>
  <c r="G447" i="16" s="1"/>
  <c r="H448" i="16" s="1"/>
  <c r="I449" i="16" s="1"/>
  <c r="J450" i="16" s="1"/>
  <c r="K451" i="16" s="1"/>
  <c r="L452" i="16" s="1"/>
  <c r="K401" i="3"/>
  <c r="L401" i="3" s="1"/>
  <c r="S401" i="3"/>
  <c r="T401" i="3" s="1"/>
  <c r="U401" i="3"/>
  <c r="N101" i="3"/>
  <c r="O101" i="3"/>
  <c r="AI101" i="3"/>
  <c r="E403" i="3"/>
  <c r="R402" i="3"/>
  <c r="D402" i="3"/>
  <c r="H402" i="3" s="1"/>
  <c r="J402" i="3"/>
  <c r="F405" i="3"/>
  <c r="G100" i="4"/>
  <c r="I100" i="4" s="1"/>
  <c r="J100" i="4" s="1"/>
  <c r="H100" i="4"/>
  <c r="E401" i="4"/>
  <c r="F401" i="4" s="1"/>
  <c r="I401" i="3"/>
  <c r="D401" i="4" s="1"/>
  <c r="D446" i="16" l="1"/>
  <c r="E446" i="16"/>
  <c r="F447" i="16" s="1"/>
  <c r="G448" i="16" s="1"/>
  <c r="H449" i="16" s="1"/>
  <c r="I450" i="16" s="1"/>
  <c r="J451" i="16" s="1"/>
  <c r="K452" i="16" s="1"/>
  <c r="L453" i="16" s="1"/>
  <c r="P447" i="16"/>
  <c r="Q447" i="16"/>
  <c r="R448" i="16" s="1"/>
  <c r="S449" i="16" s="1"/>
  <c r="T450" i="16" s="1"/>
  <c r="E402" i="4"/>
  <c r="F402" i="4" s="1"/>
  <c r="I402" i="3"/>
  <c r="D402" i="4" s="1"/>
  <c r="K402" i="3"/>
  <c r="L402" i="3" s="1"/>
  <c r="P101" i="3"/>
  <c r="Q101" i="3" s="1"/>
  <c r="F406" i="3"/>
  <c r="S402" i="3"/>
  <c r="T402" i="3" s="1"/>
  <c r="U402" i="3"/>
  <c r="E404" i="3"/>
  <c r="R403" i="3"/>
  <c r="D403" i="3"/>
  <c r="H403" i="3" s="1"/>
  <c r="J403" i="3"/>
  <c r="M100" i="4"/>
  <c r="K100" i="4"/>
  <c r="Q448" i="16" l="1"/>
  <c r="R449" i="16" s="1"/>
  <c r="S450" i="16" s="1"/>
  <c r="T451" i="16" s="1"/>
  <c r="P448" i="16"/>
  <c r="D447" i="16"/>
  <c r="E447" i="16"/>
  <c r="F448" i="16" s="1"/>
  <c r="G449" i="16" s="1"/>
  <c r="H450" i="16" s="1"/>
  <c r="I451" i="16" s="1"/>
  <c r="J452" i="16" s="1"/>
  <c r="K453" i="16" s="1"/>
  <c r="L454" i="16" s="1"/>
  <c r="K403" i="3"/>
  <c r="L403" i="3" s="1"/>
  <c r="E405" i="3"/>
  <c r="J404" i="3"/>
  <c r="R404" i="3"/>
  <c r="D404" i="3"/>
  <c r="H404" i="3" s="1"/>
  <c r="S403" i="3"/>
  <c r="T403" i="3" s="1"/>
  <c r="U403" i="3"/>
  <c r="F407" i="3"/>
  <c r="E403" i="4"/>
  <c r="F403" i="4" s="1"/>
  <c r="I403" i="3"/>
  <c r="D403" i="4" s="1"/>
  <c r="L101" i="4"/>
  <c r="V101" i="3"/>
  <c r="E448" i="16" l="1"/>
  <c r="F449" i="16" s="1"/>
  <c r="G450" i="16" s="1"/>
  <c r="H451" i="16" s="1"/>
  <c r="I452" i="16" s="1"/>
  <c r="J453" i="16" s="1"/>
  <c r="K454" i="16" s="1"/>
  <c r="L455" i="16" s="1"/>
  <c r="D448" i="16"/>
  <c r="P449" i="16"/>
  <c r="Q449" i="16"/>
  <c r="R450" i="16" s="1"/>
  <c r="S451" i="16" s="1"/>
  <c r="T452" i="16" s="1"/>
  <c r="I404" i="3"/>
  <c r="D404" i="4" s="1"/>
  <c r="E404" i="4"/>
  <c r="F404" i="4" s="1"/>
  <c r="W101" i="3"/>
  <c r="X101" i="3" s="1"/>
  <c r="Y101" i="3" s="1"/>
  <c r="Z101" i="3" s="1"/>
  <c r="AA101" i="3" s="1"/>
  <c r="AB101" i="3" s="1"/>
  <c r="F408" i="3"/>
  <c r="S404" i="3"/>
  <c r="T404" i="3" s="1"/>
  <c r="U404" i="3"/>
  <c r="K404" i="3"/>
  <c r="L404" i="3" s="1"/>
  <c r="E406" i="3"/>
  <c r="D405" i="3"/>
  <c r="H405" i="3" s="1"/>
  <c r="R405" i="3"/>
  <c r="J405" i="3"/>
  <c r="P450" i="16" l="1"/>
  <c r="Q450" i="16"/>
  <c r="R451" i="16" s="1"/>
  <c r="S452" i="16" s="1"/>
  <c r="T453" i="16" s="1"/>
  <c r="E449" i="16"/>
  <c r="F450" i="16" s="1"/>
  <c r="G451" i="16" s="1"/>
  <c r="H452" i="16" s="1"/>
  <c r="I453" i="16" s="1"/>
  <c r="J454" i="16" s="1"/>
  <c r="K455" i="16" s="1"/>
  <c r="L456" i="16" s="1"/>
  <c r="D449" i="16"/>
  <c r="E407" i="3"/>
  <c r="D406" i="3"/>
  <c r="H406" i="3" s="1"/>
  <c r="R406" i="3"/>
  <c r="J406" i="3"/>
  <c r="U405" i="3"/>
  <c r="S405" i="3"/>
  <c r="T405" i="3" s="1"/>
  <c r="M102" i="3"/>
  <c r="C101" i="4"/>
  <c r="AC101" i="3"/>
  <c r="AD101" i="3" s="1"/>
  <c r="E405" i="4"/>
  <c r="F405" i="4" s="1"/>
  <c r="I405" i="3"/>
  <c r="D405" i="4" s="1"/>
  <c r="F409" i="3"/>
  <c r="K405" i="3"/>
  <c r="L405" i="3" s="1"/>
  <c r="D450" i="16" l="1"/>
  <c r="E450" i="16"/>
  <c r="F451" i="16" s="1"/>
  <c r="G452" i="16" s="1"/>
  <c r="H453" i="16" s="1"/>
  <c r="I454" i="16" s="1"/>
  <c r="J455" i="16" s="1"/>
  <c r="K456" i="16" s="1"/>
  <c r="L457" i="16" s="1"/>
  <c r="P451" i="16"/>
  <c r="Q451" i="16"/>
  <c r="R452" i="16" s="1"/>
  <c r="S453" i="16" s="1"/>
  <c r="T454" i="16" s="1"/>
  <c r="K406" i="3"/>
  <c r="L406" i="3" s="1"/>
  <c r="G101" i="4"/>
  <c r="I101" i="4" s="1"/>
  <c r="J101" i="4" s="1"/>
  <c r="H101" i="4"/>
  <c r="N102" i="3"/>
  <c r="O102" i="3"/>
  <c r="AI102" i="3"/>
  <c r="U406" i="3"/>
  <c r="S406" i="3"/>
  <c r="T406" i="3" s="1"/>
  <c r="E406" i="4"/>
  <c r="F406" i="4" s="1"/>
  <c r="I406" i="3"/>
  <c r="D406" i="4" s="1"/>
  <c r="F410" i="3"/>
  <c r="E408" i="3"/>
  <c r="R407" i="3"/>
  <c r="D407" i="3"/>
  <c r="H407" i="3" s="1"/>
  <c r="J407" i="3"/>
  <c r="P452" i="16" l="1"/>
  <c r="Q452" i="16"/>
  <c r="R453" i="16" s="1"/>
  <c r="S454" i="16" s="1"/>
  <c r="T455" i="16" s="1"/>
  <c r="D451" i="16"/>
  <c r="E451" i="16"/>
  <c r="F452" i="16" s="1"/>
  <c r="G453" i="16" s="1"/>
  <c r="H454" i="16" s="1"/>
  <c r="I455" i="16" s="1"/>
  <c r="J456" i="16" s="1"/>
  <c r="K457" i="16" s="1"/>
  <c r="L458" i="16" s="1"/>
  <c r="K407" i="3"/>
  <c r="L407" i="3" s="1"/>
  <c r="I407" i="3"/>
  <c r="D407" i="4" s="1"/>
  <c r="E407" i="4"/>
  <c r="F407" i="4" s="1"/>
  <c r="F411" i="3"/>
  <c r="P102" i="3"/>
  <c r="Q102" i="3" s="1"/>
  <c r="U407" i="3"/>
  <c r="S407" i="3"/>
  <c r="T407" i="3" s="1"/>
  <c r="E409" i="3"/>
  <c r="J408" i="3"/>
  <c r="R408" i="3"/>
  <c r="D408" i="3"/>
  <c r="H408" i="3" s="1"/>
  <c r="M101" i="4"/>
  <c r="K101" i="4"/>
  <c r="D452" i="16" l="1"/>
  <c r="E452" i="16"/>
  <c r="F453" i="16" s="1"/>
  <c r="G454" i="16" s="1"/>
  <c r="H455" i="16" s="1"/>
  <c r="I456" i="16" s="1"/>
  <c r="J457" i="16" s="1"/>
  <c r="K458" i="16" s="1"/>
  <c r="L459" i="16" s="1"/>
  <c r="P453" i="16"/>
  <c r="Q453" i="16"/>
  <c r="R454" i="16" s="1"/>
  <c r="S455" i="16" s="1"/>
  <c r="T456" i="16" s="1"/>
  <c r="I408" i="3"/>
  <c r="D408" i="4" s="1"/>
  <c r="E408" i="4"/>
  <c r="F408" i="4" s="1"/>
  <c r="S408" i="3"/>
  <c r="T408" i="3" s="1"/>
  <c r="U408" i="3"/>
  <c r="E410" i="3"/>
  <c r="J409" i="3"/>
  <c r="R409" i="3"/>
  <c r="D409" i="3"/>
  <c r="H409" i="3" s="1"/>
  <c r="K408" i="3"/>
  <c r="L408" i="3" s="1"/>
  <c r="L102" i="4"/>
  <c r="V102" i="3"/>
  <c r="F412" i="3"/>
  <c r="Q454" i="16" l="1"/>
  <c r="R455" i="16" s="1"/>
  <c r="S456" i="16" s="1"/>
  <c r="T457" i="16" s="1"/>
  <c r="P454" i="16"/>
  <c r="D453" i="16"/>
  <c r="E453" i="16"/>
  <c r="F454" i="16" s="1"/>
  <c r="G455" i="16" s="1"/>
  <c r="H456" i="16" s="1"/>
  <c r="I457" i="16" s="1"/>
  <c r="J458" i="16" s="1"/>
  <c r="K459" i="16" s="1"/>
  <c r="L460" i="16" s="1"/>
  <c r="I409" i="3"/>
  <c r="D409" i="4" s="1"/>
  <c r="E409" i="4"/>
  <c r="F409" i="4" s="1"/>
  <c r="S409" i="3"/>
  <c r="T409" i="3" s="1"/>
  <c r="U409" i="3"/>
  <c r="F413" i="3"/>
  <c r="W102" i="3"/>
  <c r="X102" i="3" s="1"/>
  <c r="Y102" i="3" s="1"/>
  <c r="Z102" i="3" s="1"/>
  <c r="AA102" i="3" s="1"/>
  <c r="AB102" i="3" s="1"/>
  <c r="K409" i="3"/>
  <c r="L409" i="3" s="1"/>
  <c r="E411" i="3"/>
  <c r="R410" i="3"/>
  <c r="D410" i="3"/>
  <c r="H410" i="3" s="1"/>
  <c r="J410" i="3"/>
  <c r="E454" i="16" l="1"/>
  <c r="F455" i="16" s="1"/>
  <c r="G456" i="16" s="1"/>
  <c r="H457" i="16" s="1"/>
  <c r="I458" i="16" s="1"/>
  <c r="J459" i="16" s="1"/>
  <c r="K460" i="16" s="1"/>
  <c r="L461" i="16" s="1"/>
  <c r="D454" i="16"/>
  <c r="P455" i="16"/>
  <c r="Q455" i="16"/>
  <c r="R456" i="16" s="1"/>
  <c r="S457" i="16" s="1"/>
  <c r="T458" i="16" s="1"/>
  <c r="AC102" i="3"/>
  <c r="AD102" i="3" s="1"/>
  <c r="M103" i="3"/>
  <c r="C102" i="4"/>
  <c r="S410" i="3"/>
  <c r="T410" i="3" s="1"/>
  <c r="U410" i="3"/>
  <c r="E412" i="3"/>
  <c r="R411" i="3"/>
  <c r="D411" i="3"/>
  <c r="H411" i="3" s="1"/>
  <c r="J411" i="3"/>
  <c r="E410" i="4"/>
  <c r="F410" i="4" s="1"/>
  <c r="I410" i="3"/>
  <c r="D410" i="4" s="1"/>
  <c r="F414" i="3"/>
  <c r="K410" i="3"/>
  <c r="L410" i="3" s="1"/>
  <c r="P456" i="16" l="1"/>
  <c r="Q456" i="16"/>
  <c r="R457" i="16" s="1"/>
  <c r="S458" i="16" s="1"/>
  <c r="T459" i="16" s="1"/>
  <c r="E455" i="16"/>
  <c r="F456" i="16" s="1"/>
  <c r="G457" i="16" s="1"/>
  <c r="H458" i="16" s="1"/>
  <c r="I459" i="16" s="1"/>
  <c r="J460" i="16" s="1"/>
  <c r="K461" i="16" s="1"/>
  <c r="L462" i="16" s="1"/>
  <c r="D455" i="16"/>
  <c r="K411" i="3"/>
  <c r="L411" i="3" s="1"/>
  <c r="S411" i="3"/>
  <c r="T411" i="3" s="1"/>
  <c r="U411" i="3"/>
  <c r="F415" i="3"/>
  <c r="I411" i="3"/>
  <c r="D411" i="4" s="1"/>
  <c r="E411" i="4"/>
  <c r="F411" i="4" s="1"/>
  <c r="E413" i="3"/>
  <c r="R412" i="3"/>
  <c r="D412" i="3"/>
  <c r="H412" i="3" s="1"/>
  <c r="J412" i="3"/>
  <c r="G102" i="4"/>
  <c r="I102" i="4" s="1"/>
  <c r="J102" i="4" s="1"/>
  <c r="H102" i="4"/>
  <c r="O103" i="3"/>
  <c r="N103" i="3"/>
  <c r="AI103" i="3"/>
  <c r="E456" i="16" l="1"/>
  <c r="F457" i="16" s="1"/>
  <c r="G458" i="16" s="1"/>
  <c r="H459" i="16" s="1"/>
  <c r="I460" i="16" s="1"/>
  <c r="J461" i="16" s="1"/>
  <c r="K462" i="16" s="1"/>
  <c r="L463" i="16" s="1"/>
  <c r="D456" i="16"/>
  <c r="P457" i="16"/>
  <c r="Q457" i="16"/>
  <c r="R458" i="16" s="1"/>
  <c r="S459" i="16" s="1"/>
  <c r="T460" i="16" s="1"/>
  <c r="P103" i="3"/>
  <c r="Q103" i="3" s="1"/>
  <c r="V103" i="3" s="1"/>
  <c r="I412" i="3"/>
  <c r="D412" i="4" s="1"/>
  <c r="E412" i="4"/>
  <c r="F412" i="4" s="1"/>
  <c r="K102" i="4"/>
  <c r="M102" i="4"/>
  <c r="F416" i="3"/>
  <c r="K412" i="3"/>
  <c r="L412" i="3" s="1"/>
  <c r="S412" i="3"/>
  <c r="T412" i="3" s="1"/>
  <c r="U412" i="3"/>
  <c r="E414" i="3"/>
  <c r="R413" i="3"/>
  <c r="D413" i="3"/>
  <c r="H413" i="3" s="1"/>
  <c r="J413" i="3"/>
  <c r="L103" i="4" l="1"/>
  <c r="P458" i="16"/>
  <c r="Q458" i="16"/>
  <c r="R459" i="16" s="1"/>
  <c r="S460" i="16" s="1"/>
  <c r="T461" i="16" s="1"/>
  <c r="E457" i="16"/>
  <c r="F458" i="16" s="1"/>
  <c r="G459" i="16" s="1"/>
  <c r="H460" i="16" s="1"/>
  <c r="I461" i="16" s="1"/>
  <c r="J462" i="16" s="1"/>
  <c r="K463" i="16" s="1"/>
  <c r="L464" i="16" s="1"/>
  <c r="D457" i="16"/>
  <c r="E415" i="3"/>
  <c r="D414" i="3"/>
  <c r="H414" i="3" s="1"/>
  <c r="R414" i="3"/>
  <c r="J414" i="3"/>
  <c r="I413" i="3"/>
  <c r="D413" i="4" s="1"/>
  <c r="E413" i="4"/>
  <c r="F413" i="4" s="1"/>
  <c r="S413" i="3"/>
  <c r="T413" i="3" s="1"/>
  <c r="U413" i="3"/>
  <c r="F417" i="3"/>
  <c r="W103" i="3"/>
  <c r="X103" i="3" s="1"/>
  <c r="Y103" i="3" s="1"/>
  <c r="Z103" i="3" s="1"/>
  <c r="AA103" i="3" s="1"/>
  <c r="AB103" i="3" s="1"/>
  <c r="K413" i="3"/>
  <c r="L413" i="3" s="1"/>
  <c r="E458" i="16" l="1"/>
  <c r="F459" i="16" s="1"/>
  <c r="G460" i="16" s="1"/>
  <c r="H461" i="16" s="1"/>
  <c r="I462" i="16" s="1"/>
  <c r="J463" i="16" s="1"/>
  <c r="K464" i="16" s="1"/>
  <c r="L465" i="16" s="1"/>
  <c r="D458" i="16"/>
  <c r="P459" i="16"/>
  <c r="Q459" i="16"/>
  <c r="R460" i="16" s="1"/>
  <c r="S461" i="16" s="1"/>
  <c r="T462" i="16" s="1"/>
  <c r="K414" i="3"/>
  <c r="L414" i="3" s="1"/>
  <c r="AC103" i="3"/>
  <c r="AD103" i="3" s="1"/>
  <c r="M104" i="3"/>
  <c r="C103" i="4"/>
  <c r="F418" i="3"/>
  <c r="U414" i="3"/>
  <c r="S414" i="3"/>
  <c r="T414" i="3" s="1"/>
  <c r="I414" i="3"/>
  <c r="D414" i="4" s="1"/>
  <c r="E414" i="4"/>
  <c r="F414" i="4" s="1"/>
  <c r="E416" i="3"/>
  <c r="D415" i="3"/>
  <c r="H415" i="3" s="1"/>
  <c r="R415" i="3"/>
  <c r="J415" i="3"/>
  <c r="P460" i="16" l="1"/>
  <c r="Q460" i="16"/>
  <c r="R461" i="16" s="1"/>
  <c r="S462" i="16" s="1"/>
  <c r="T463" i="16" s="1"/>
  <c r="E459" i="16"/>
  <c r="F460" i="16" s="1"/>
  <c r="G461" i="16" s="1"/>
  <c r="H462" i="16" s="1"/>
  <c r="I463" i="16" s="1"/>
  <c r="J464" i="16" s="1"/>
  <c r="K465" i="16" s="1"/>
  <c r="L466" i="16" s="1"/>
  <c r="D459" i="16"/>
  <c r="K415" i="3"/>
  <c r="L415" i="3" s="1"/>
  <c r="E417" i="3"/>
  <c r="J416" i="3"/>
  <c r="R416" i="3"/>
  <c r="D416" i="3"/>
  <c r="H416" i="3" s="1"/>
  <c r="F419" i="3"/>
  <c r="S415" i="3"/>
  <c r="T415" i="3" s="1"/>
  <c r="U415" i="3"/>
  <c r="N104" i="3"/>
  <c r="O104" i="3"/>
  <c r="AI104" i="3"/>
  <c r="G103" i="4"/>
  <c r="I103" i="4" s="1"/>
  <c r="J103" i="4" s="1"/>
  <c r="H103" i="4"/>
  <c r="I415" i="3"/>
  <c r="D415" i="4" s="1"/>
  <c r="E415" i="4"/>
  <c r="F415" i="4" s="1"/>
  <c r="E460" i="16" l="1"/>
  <c r="F461" i="16" s="1"/>
  <c r="G462" i="16" s="1"/>
  <c r="H463" i="16" s="1"/>
  <c r="I464" i="16" s="1"/>
  <c r="J465" i="16" s="1"/>
  <c r="K466" i="16" s="1"/>
  <c r="L467" i="16" s="1"/>
  <c r="D460" i="16"/>
  <c r="P461" i="16"/>
  <c r="Q461" i="16"/>
  <c r="R462" i="16" s="1"/>
  <c r="S463" i="16" s="1"/>
  <c r="T464" i="16" s="1"/>
  <c r="P104" i="3"/>
  <c r="Q104" i="3" s="1"/>
  <c r="L104" i="4" s="1"/>
  <c r="U416" i="3"/>
  <c r="S416" i="3"/>
  <c r="T416" i="3" s="1"/>
  <c r="K416" i="3"/>
  <c r="L416" i="3" s="1"/>
  <c r="F420" i="3"/>
  <c r="E418" i="3"/>
  <c r="R417" i="3"/>
  <c r="D417" i="3"/>
  <c r="H417" i="3" s="1"/>
  <c r="J417" i="3"/>
  <c r="E416" i="4"/>
  <c r="F416" i="4" s="1"/>
  <c r="I416" i="3"/>
  <c r="D416" i="4" s="1"/>
  <c r="M103" i="4"/>
  <c r="K103" i="4"/>
  <c r="Q462" i="16" l="1"/>
  <c r="R463" i="16" s="1"/>
  <c r="S464" i="16" s="1"/>
  <c r="T465" i="16" s="1"/>
  <c r="P462" i="16"/>
  <c r="D461" i="16"/>
  <c r="E461" i="16"/>
  <c r="F462" i="16" s="1"/>
  <c r="G463" i="16" s="1"/>
  <c r="H464" i="16" s="1"/>
  <c r="I465" i="16" s="1"/>
  <c r="J466" i="16" s="1"/>
  <c r="K467" i="16" s="1"/>
  <c r="L468" i="16" s="1"/>
  <c r="V104" i="3"/>
  <c r="W104" i="3" s="1"/>
  <c r="X104" i="3" s="1"/>
  <c r="Y104" i="3" s="1"/>
  <c r="Z104" i="3" s="1"/>
  <c r="AA104" i="3" s="1"/>
  <c r="AB104" i="3" s="1"/>
  <c r="E417" i="4"/>
  <c r="F417" i="4" s="1"/>
  <c r="I417" i="3"/>
  <c r="D417" i="4" s="1"/>
  <c r="K417" i="3"/>
  <c r="L417" i="3" s="1"/>
  <c r="E419" i="3"/>
  <c r="J418" i="3"/>
  <c r="R418" i="3"/>
  <c r="D418" i="3"/>
  <c r="H418" i="3" s="1"/>
  <c r="S417" i="3"/>
  <c r="T417" i="3" s="1"/>
  <c r="U417" i="3"/>
  <c r="F421" i="3"/>
  <c r="D462" i="16" l="1"/>
  <c r="E462" i="16"/>
  <c r="F463" i="16" s="1"/>
  <c r="G464" i="16" s="1"/>
  <c r="H465" i="16" s="1"/>
  <c r="I466" i="16" s="1"/>
  <c r="J467" i="16" s="1"/>
  <c r="K468" i="16" s="1"/>
  <c r="L469" i="16" s="1"/>
  <c r="P463" i="16"/>
  <c r="Q463" i="16"/>
  <c r="R464" i="16" s="1"/>
  <c r="S465" i="16" s="1"/>
  <c r="T466" i="16" s="1"/>
  <c r="M105" i="3"/>
  <c r="C104" i="4"/>
  <c r="AC104" i="3"/>
  <c r="AD104" i="3" s="1"/>
  <c r="E418" i="4"/>
  <c r="F418" i="4" s="1"/>
  <c r="I418" i="3"/>
  <c r="D418" i="4" s="1"/>
  <c r="S418" i="3"/>
  <c r="T418" i="3" s="1"/>
  <c r="U418" i="3"/>
  <c r="E420" i="3"/>
  <c r="D419" i="3"/>
  <c r="H419" i="3" s="1"/>
  <c r="R419" i="3"/>
  <c r="J419" i="3"/>
  <c r="F422" i="3"/>
  <c r="K418" i="3"/>
  <c r="L418" i="3" s="1"/>
  <c r="P464" i="16" l="1"/>
  <c r="Q464" i="16"/>
  <c r="R465" i="16" s="1"/>
  <c r="S466" i="16" s="1"/>
  <c r="T467" i="16" s="1"/>
  <c r="D463" i="16"/>
  <c r="E463" i="16"/>
  <c r="F464" i="16" s="1"/>
  <c r="G465" i="16" s="1"/>
  <c r="H466" i="16" s="1"/>
  <c r="I467" i="16" s="1"/>
  <c r="J468" i="16" s="1"/>
  <c r="K469" i="16" s="1"/>
  <c r="L470" i="16" s="1"/>
  <c r="F423" i="3"/>
  <c r="K419" i="3"/>
  <c r="L419" i="3" s="1"/>
  <c r="E421" i="3"/>
  <c r="D420" i="3"/>
  <c r="H420" i="3" s="1"/>
  <c r="J420" i="3"/>
  <c r="R420" i="3"/>
  <c r="S419" i="3"/>
  <c r="T419" i="3" s="1"/>
  <c r="U419" i="3"/>
  <c r="N105" i="3"/>
  <c r="O105" i="3"/>
  <c r="AI105" i="3"/>
  <c r="I419" i="3"/>
  <c r="D419" i="4" s="1"/>
  <c r="E419" i="4"/>
  <c r="F419" i="4" s="1"/>
  <c r="H104" i="4"/>
  <c r="G104" i="4"/>
  <c r="I104" i="4" s="1"/>
  <c r="J104" i="4" s="1"/>
  <c r="E464" i="16" l="1"/>
  <c r="F465" i="16" s="1"/>
  <c r="G466" i="16" s="1"/>
  <c r="H467" i="16" s="1"/>
  <c r="I468" i="16" s="1"/>
  <c r="J469" i="16" s="1"/>
  <c r="K470" i="16" s="1"/>
  <c r="L471" i="16" s="1"/>
  <c r="D464" i="16"/>
  <c r="P465" i="16"/>
  <c r="Q465" i="16"/>
  <c r="R466" i="16" s="1"/>
  <c r="S467" i="16" s="1"/>
  <c r="T468" i="16" s="1"/>
  <c r="K420" i="3"/>
  <c r="L420" i="3" s="1"/>
  <c r="P105" i="3"/>
  <c r="Q105" i="3" s="1"/>
  <c r="E420" i="4"/>
  <c r="F420" i="4" s="1"/>
  <c r="I420" i="3"/>
  <c r="D420" i="4" s="1"/>
  <c r="S420" i="3"/>
  <c r="T420" i="3" s="1"/>
  <c r="U420" i="3"/>
  <c r="E422" i="3"/>
  <c r="R421" i="3"/>
  <c r="J421" i="3"/>
  <c r="D421" i="3"/>
  <c r="H421" i="3" s="1"/>
  <c r="M104" i="4"/>
  <c r="K104" i="4"/>
  <c r="F424" i="3"/>
  <c r="P466" i="16" l="1"/>
  <c r="Q466" i="16"/>
  <c r="R467" i="16" s="1"/>
  <c r="S468" i="16" s="1"/>
  <c r="T469" i="16" s="1"/>
  <c r="E465" i="16"/>
  <c r="F466" i="16" s="1"/>
  <c r="G467" i="16" s="1"/>
  <c r="H468" i="16" s="1"/>
  <c r="I469" i="16" s="1"/>
  <c r="J470" i="16" s="1"/>
  <c r="K471" i="16" s="1"/>
  <c r="L472" i="16" s="1"/>
  <c r="D465" i="16"/>
  <c r="U421" i="3"/>
  <c r="S421" i="3"/>
  <c r="T421" i="3" s="1"/>
  <c r="E423" i="3"/>
  <c r="R422" i="3"/>
  <c r="J422" i="3"/>
  <c r="D422" i="3"/>
  <c r="H422" i="3" s="1"/>
  <c r="I421" i="3"/>
  <c r="D421" i="4" s="1"/>
  <c r="E421" i="4"/>
  <c r="F421" i="4" s="1"/>
  <c r="F425" i="3"/>
  <c r="K421" i="3"/>
  <c r="L421" i="3" s="1"/>
  <c r="L105" i="4"/>
  <c r="V105" i="3"/>
  <c r="D466" i="16" l="1"/>
  <c r="E466" i="16"/>
  <c r="F467" i="16" s="1"/>
  <c r="G468" i="16" s="1"/>
  <c r="H469" i="16" s="1"/>
  <c r="I470" i="16" s="1"/>
  <c r="J471" i="16" s="1"/>
  <c r="K472" i="16" s="1"/>
  <c r="L473" i="16" s="1"/>
  <c r="P467" i="16"/>
  <c r="Q467" i="16"/>
  <c r="R468" i="16" s="1"/>
  <c r="S469" i="16" s="1"/>
  <c r="T470" i="16" s="1"/>
  <c r="F426" i="3"/>
  <c r="E422" i="4"/>
  <c r="F422" i="4" s="1"/>
  <c r="I422" i="3"/>
  <c r="D422" i="4" s="1"/>
  <c r="U422" i="3"/>
  <c r="S422" i="3"/>
  <c r="T422" i="3" s="1"/>
  <c r="K422" i="3"/>
  <c r="L422" i="3" s="1"/>
  <c r="E424" i="3"/>
  <c r="D423" i="3"/>
  <c r="H423" i="3" s="1"/>
  <c r="R423" i="3"/>
  <c r="J423" i="3"/>
  <c r="W105" i="3"/>
  <c r="X105" i="3" s="1"/>
  <c r="Y105" i="3" s="1"/>
  <c r="Z105" i="3" s="1"/>
  <c r="AA105" i="3" s="1"/>
  <c r="AB105" i="3" s="1"/>
  <c r="P468" i="16" l="1"/>
  <c r="Q468" i="16"/>
  <c r="R469" i="16" s="1"/>
  <c r="S470" i="16" s="1"/>
  <c r="T471" i="16" s="1"/>
  <c r="D467" i="16"/>
  <c r="E467" i="16"/>
  <c r="F468" i="16" s="1"/>
  <c r="G469" i="16" s="1"/>
  <c r="H470" i="16" s="1"/>
  <c r="I471" i="16" s="1"/>
  <c r="J472" i="16" s="1"/>
  <c r="K473" i="16" s="1"/>
  <c r="L474" i="16" s="1"/>
  <c r="K423" i="3"/>
  <c r="L423" i="3" s="1"/>
  <c r="M106" i="3"/>
  <c r="AC105" i="3"/>
  <c r="AD105" i="3" s="1"/>
  <c r="C105" i="4"/>
  <c r="U423" i="3"/>
  <c r="S423" i="3"/>
  <c r="T423" i="3" s="1"/>
  <c r="I423" i="3"/>
  <c r="D423" i="4" s="1"/>
  <c r="E423" i="4"/>
  <c r="F423" i="4" s="1"/>
  <c r="E425" i="3"/>
  <c r="R424" i="3"/>
  <c r="D424" i="3"/>
  <c r="H424" i="3" s="1"/>
  <c r="J424" i="3"/>
  <c r="F427" i="3"/>
  <c r="D468" i="16" l="1"/>
  <c r="E468" i="16"/>
  <c r="F469" i="16" s="1"/>
  <c r="G470" i="16" s="1"/>
  <c r="H471" i="16" s="1"/>
  <c r="I472" i="16" s="1"/>
  <c r="J473" i="16" s="1"/>
  <c r="K474" i="16" s="1"/>
  <c r="L475" i="16" s="1"/>
  <c r="P469" i="16"/>
  <c r="Q469" i="16"/>
  <c r="R470" i="16" s="1"/>
  <c r="S471" i="16" s="1"/>
  <c r="T472" i="16" s="1"/>
  <c r="K424" i="3"/>
  <c r="L424" i="3" s="1"/>
  <c r="E426" i="3"/>
  <c r="D425" i="3"/>
  <c r="H425" i="3" s="1"/>
  <c r="J425" i="3"/>
  <c r="R425" i="3"/>
  <c r="E424" i="4"/>
  <c r="F424" i="4" s="1"/>
  <c r="I424" i="3"/>
  <c r="D424" i="4" s="1"/>
  <c r="F428" i="3"/>
  <c r="S424" i="3"/>
  <c r="T424" i="3" s="1"/>
  <c r="U424" i="3"/>
  <c r="H105" i="4"/>
  <c r="G105" i="4"/>
  <c r="I105" i="4" s="1"/>
  <c r="J105" i="4" s="1"/>
  <c r="N106" i="3"/>
  <c r="O106" i="3"/>
  <c r="AI106" i="3"/>
  <c r="Q470" i="16" l="1"/>
  <c r="R471" i="16" s="1"/>
  <c r="S472" i="16" s="1"/>
  <c r="T473" i="16" s="1"/>
  <c r="P470" i="16"/>
  <c r="D469" i="16"/>
  <c r="E469" i="16"/>
  <c r="F470" i="16" s="1"/>
  <c r="G471" i="16" s="1"/>
  <c r="H472" i="16" s="1"/>
  <c r="I473" i="16" s="1"/>
  <c r="J474" i="16" s="1"/>
  <c r="K475" i="16" s="1"/>
  <c r="L476" i="16" s="1"/>
  <c r="K425" i="3"/>
  <c r="L425" i="3" s="1"/>
  <c r="F429" i="3"/>
  <c r="I425" i="3"/>
  <c r="D425" i="4" s="1"/>
  <c r="E425" i="4"/>
  <c r="F425" i="4" s="1"/>
  <c r="E427" i="3"/>
  <c r="J426" i="3"/>
  <c r="R426" i="3"/>
  <c r="D426" i="3"/>
  <c r="H426" i="3" s="1"/>
  <c r="K105" i="4"/>
  <c r="M105" i="4"/>
  <c r="S425" i="3"/>
  <c r="T425" i="3" s="1"/>
  <c r="U425" i="3"/>
  <c r="P106" i="3"/>
  <c r="Q106" i="3" s="1"/>
  <c r="D470" i="16" l="1"/>
  <c r="E470" i="16"/>
  <c r="F471" i="16" s="1"/>
  <c r="G472" i="16" s="1"/>
  <c r="H473" i="16" s="1"/>
  <c r="I474" i="16" s="1"/>
  <c r="J475" i="16" s="1"/>
  <c r="K476" i="16" s="1"/>
  <c r="L477" i="16" s="1"/>
  <c r="P471" i="16"/>
  <c r="Q471" i="16"/>
  <c r="R472" i="16" s="1"/>
  <c r="S473" i="16" s="1"/>
  <c r="T474" i="16" s="1"/>
  <c r="U426" i="3"/>
  <c r="S426" i="3"/>
  <c r="T426" i="3" s="1"/>
  <c r="E428" i="3"/>
  <c r="R427" i="3"/>
  <c r="D427" i="3"/>
  <c r="H427" i="3" s="1"/>
  <c r="J427" i="3"/>
  <c r="L106" i="4"/>
  <c r="V106" i="3"/>
  <c r="E426" i="4"/>
  <c r="F426" i="4" s="1"/>
  <c r="I426" i="3"/>
  <c r="D426" i="4" s="1"/>
  <c r="K426" i="3"/>
  <c r="L426" i="3" s="1"/>
  <c r="F430" i="3"/>
  <c r="P472" i="16" l="1"/>
  <c r="Q472" i="16"/>
  <c r="R473" i="16" s="1"/>
  <c r="S474" i="16" s="1"/>
  <c r="T475" i="16" s="1"/>
  <c r="D471" i="16"/>
  <c r="E471" i="16"/>
  <c r="F472" i="16" s="1"/>
  <c r="G473" i="16" s="1"/>
  <c r="H474" i="16" s="1"/>
  <c r="I475" i="16" s="1"/>
  <c r="J476" i="16" s="1"/>
  <c r="K477" i="16" s="1"/>
  <c r="L478" i="16" s="1"/>
  <c r="W106" i="3"/>
  <c r="X106" i="3" s="1"/>
  <c r="Y106" i="3" s="1"/>
  <c r="Z106" i="3" s="1"/>
  <c r="AA106" i="3" s="1"/>
  <c r="AB106" i="3" s="1"/>
  <c r="K427" i="3"/>
  <c r="L427" i="3" s="1"/>
  <c r="E429" i="3"/>
  <c r="J428" i="3"/>
  <c r="R428" i="3"/>
  <c r="D428" i="3"/>
  <c r="H428" i="3" s="1"/>
  <c r="F431" i="3"/>
  <c r="I427" i="3"/>
  <c r="D427" i="4" s="1"/>
  <c r="E427" i="4"/>
  <c r="F427" i="4" s="1"/>
  <c r="U427" i="3"/>
  <c r="S427" i="3"/>
  <c r="T427" i="3" s="1"/>
  <c r="D472" i="16" l="1"/>
  <c r="E472" i="16"/>
  <c r="F473" i="16" s="1"/>
  <c r="G474" i="16" s="1"/>
  <c r="H475" i="16" s="1"/>
  <c r="I476" i="16" s="1"/>
  <c r="J477" i="16" s="1"/>
  <c r="K478" i="16" s="1"/>
  <c r="L479" i="16" s="1"/>
  <c r="P473" i="16"/>
  <c r="Q473" i="16"/>
  <c r="R474" i="16" s="1"/>
  <c r="S475" i="16" s="1"/>
  <c r="T476" i="16" s="1"/>
  <c r="F432" i="3"/>
  <c r="S428" i="3"/>
  <c r="T428" i="3" s="1"/>
  <c r="U428" i="3"/>
  <c r="I428" i="3"/>
  <c r="D428" i="4" s="1"/>
  <c r="E428" i="4"/>
  <c r="F428" i="4" s="1"/>
  <c r="E430" i="3"/>
  <c r="J429" i="3"/>
  <c r="R429" i="3"/>
  <c r="D429" i="3"/>
  <c r="H429" i="3" s="1"/>
  <c r="K428" i="3"/>
  <c r="L428" i="3" s="1"/>
  <c r="M107" i="3"/>
  <c r="C106" i="4"/>
  <c r="AC106" i="3"/>
  <c r="AD106" i="3" s="1"/>
  <c r="P474" i="16" l="1"/>
  <c r="Q474" i="16"/>
  <c r="R475" i="16" s="1"/>
  <c r="S476" i="16" s="1"/>
  <c r="T477" i="16" s="1"/>
  <c r="E473" i="16"/>
  <c r="F474" i="16" s="1"/>
  <c r="G475" i="16" s="1"/>
  <c r="H476" i="16" s="1"/>
  <c r="I477" i="16" s="1"/>
  <c r="J478" i="16" s="1"/>
  <c r="K479" i="16" s="1"/>
  <c r="L480" i="16" s="1"/>
  <c r="D473" i="16"/>
  <c r="I429" i="3"/>
  <c r="D429" i="4" s="1"/>
  <c r="E429" i="4"/>
  <c r="F429" i="4" s="1"/>
  <c r="U429" i="3"/>
  <c r="S429" i="3"/>
  <c r="T429" i="3" s="1"/>
  <c r="O107" i="3"/>
  <c r="AI107" i="3"/>
  <c r="N107" i="3"/>
  <c r="K429" i="3"/>
  <c r="L429" i="3" s="1"/>
  <c r="E431" i="3"/>
  <c r="R430" i="3"/>
  <c r="J430" i="3"/>
  <c r="D430" i="3"/>
  <c r="H430" i="3" s="1"/>
  <c r="H106" i="4"/>
  <c r="G106" i="4"/>
  <c r="I106" i="4" s="1"/>
  <c r="J106" i="4" s="1"/>
  <c r="F433" i="3"/>
  <c r="D474" i="16" l="1"/>
  <c r="E474" i="16"/>
  <c r="F475" i="16" s="1"/>
  <c r="G476" i="16" s="1"/>
  <c r="H477" i="16" s="1"/>
  <c r="I478" i="16" s="1"/>
  <c r="J479" i="16" s="1"/>
  <c r="K480" i="16" s="1"/>
  <c r="L481" i="16" s="1"/>
  <c r="P475" i="16"/>
  <c r="Q475" i="16"/>
  <c r="R476" i="16" s="1"/>
  <c r="S477" i="16" s="1"/>
  <c r="T478" i="16" s="1"/>
  <c r="P107" i="3"/>
  <c r="Q107" i="3" s="1"/>
  <c r="V107" i="3" s="1"/>
  <c r="I430" i="3"/>
  <c r="D430" i="4" s="1"/>
  <c r="E430" i="4"/>
  <c r="F430" i="4" s="1"/>
  <c r="E432" i="3"/>
  <c r="J431" i="3"/>
  <c r="D431" i="3"/>
  <c r="H431" i="3" s="1"/>
  <c r="R431" i="3"/>
  <c r="U430" i="3"/>
  <c r="S430" i="3"/>
  <c r="T430" i="3" s="1"/>
  <c r="F434" i="3"/>
  <c r="M106" i="4"/>
  <c r="K106" i="4"/>
  <c r="K430" i="3"/>
  <c r="L430" i="3" s="1"/>
  <c r="P476" i="16" l="1"/>
  <c r="Q476" i="16"/>
  <c r="R477" i="16" s="1"/>
  <c r="S478" i="16" s="1"/>
  <c r="T479" i="16" s="1"/>
  <c r="L107" i="4"/>
  <c r="D475" i="16"/>
  <c r="E475" i="16"/>
  <c r="F476" i="16" s="1"/>
  <c r="G477" i="16" s="1"/>
  <c r="H478" i="16" s="1"/>
  <c r="I479" i="16" s="1"/>
  <c r="J480" i="16" s="1"/>
  <c r="K481" i="16" s="1"/>
  <c r="L482" i="16" s="1"/>
  <c r="F435" i="3"/>
  <c r="E431" i="4"/>
  <c r="F431" i="4" s="1"/>
  <c r="I431" i="3"/>
  <c r="D431" i="4" s="1"/>
  <c r="K431" i="3"/>
  <c r="L431" i="3" s="1"/>
  <c r="W107" i="3"/>
  <c r="X107" i="3" s="1"/>
  <c r="Y107" i="3" s="1"/>
  <c r="Z107" i="3" s="1"/>
  <c r="AA107" i="3" s="1"/>
  <c r="AB107" i="3" s="1"/>
  <c r="U431" i="3"/>
  <c r="S431" i="3"/>
  <c r="T431" i="3" s="1"/>
  <c r="E433" i="3"/>
  <c r="R432" i="3"/>
  <c r="D432" i="3"/>
  <c r="H432" i="3" s="1"/>
  <c r="J432" i="3"/>
  <c r="E476" i="16" l="1"/>
  <c r="F477" i="16" s="1"/>
  <c r="G478" i="16" s="1"/>
  <c r="H479" i="16" s="1"/>
  <c r="I480" i="16" s="1"/>
  <c r="J481" i="16" s="1"/>
  <c r="K482" i="16" s="1"/>
  <c r="L483" i="16" s="1"/>
  <c r="D476" i="16"/>
  <c r="Q477" i="16"/>
  <c r="R478" i="16" s="1"/>
  <c r="S479" i="16" s="1"/>
  <c r="T480" i="16" s="1"/>
  <c r="P477" i="16"/>
  <c r="K432" i="3"/>
  <c r="L432" i="3" s="1"/>
  <c r="C107" i="4"/>
  <c r="AC107" i="3"/>
  <c r="AD107" i="3" s="1"/>
  <c r="M108" i="3"/>
  <c r="U432" i="3"/>
  <c r="S432" i="3"/>
  <c r="T432" i="3" s="1"/>
  <c r="E434" i="3"/>
  <c r="R433" i="3"/>
  <c r="J433" i="3"/>
  <c r="D433" i="3"/>
  <c r="H433" i="3" s="1"/>
  <c r="F436" i="3"/>
  <c r="E432" i="4"/>
  <c r="F432" i="4" s="1"/>
  <c r="I432" i="3"/>
  <c r="D432" i="4" s="1"/>
  <c r="Q478" i="16" l="1"/>
  <c r="R479" i="16" s="1"/>
  <c r="S480" i="16" s="1"/>
  <c r="T481" i="16" s="1"/>
  <c r="P478" i="16"/>
  <c r="D477" i="16"/>
  <c r="E477" i="16"/>
  <c r="F478" i="16" s="1"/>
  <c r="G479" i="16" s="1"/>
  <c r="H480" i="16" s="1"/>
  <c r="I481" i="16" s="1"/>
  <c r="J482" i="16" s="1"/>
  <c r="K483" i="16" s="1"/>
  <c r="L484" i="16" s="1"/>
  <c r="E433" i="4"/>
  <c r="F433" i="4" s="1"/>
  <c r="I433" i="3"/>
  <c r="D433" i="4" s="1"/>
  <c r="K433" i="3"/>
  <c r="L433" i="3" s="1"/>
  <c r="F437" i="3"/>
  <c r="U433" i="3"/>
  <c r="S433" i="3"/>
  <c r="T433" i="3" s="1"/>
  <c r="E435" i="3"/>
  <c r="J434" i="3"/>
  <c r="D434" i="3"/>
  <c r="H434" i="3" s="1"/>
  <c r="R434" i="3"/>
  <c r="AI108" i="3"/>
  <c r="N108" i="3"/>
  <c r="O108" i="3"/>
  <c r="H107" i="4"/>
  <c r="G107" i="4"/>
  <c r="I107" i="4" s="1"/>
  <c r="J107" i="4" s="1"/>
  <c r="D478" i="16" l="1"/>
  <c r="E478" i="16"/>
  <c r="F479" i="16" s="1"/>
  <c r="G480" i="16" s="1"/>
  <c r="H481" i="16" s="1"/>
  <c r="I482" i="16" s="1"/>
  <c r="J483" i="16" s="1"/>
  <c r="K484" i="16" s="1"/>
  <c r="L485" i="16" s="1"/>
  <c r="P479" i="16"/>
  <c r="Q479" i="16"/>
  <c r="R480" i="16" s="1"/>
  <c r="S481" i="16" s="1"/>
  <c r="T482" i="16" s="1"/>
  <c r="U434" i="3"/>
  <c r="S434" i="3"/>
  <c r="T434" i="3" s="1"/>
  <c r="M107" i="4"/>
  <c r="K107" i="4"/>
  <c r="K434" i="3"/>
  <c r="L434" i="3" s="1"/>
  <c r="I434" i="3"/>
  <c r="D434" i="4" s="1"/>
  <c r="E434" i="4"/>
  <c r="F434" i="4" s="1"/>
  <c r="E436" i="3"/>
  <c r="J435" i="3"/>
  <c r="R435" i="3"/>
  <c r="D435" i="3"/>
  <c r="H435" i="3" s="1"/>
  <c r="F438" i="3"/>
  <c r="P108" i="3"/>
  <c r="Q108" i="3" s="1"/>
  <c r="P480" i="16" l="1"/>
  <c r="Q480" i="16"/>
  <c r="R481" i="16" s="1"/>
  <c r="S482" i="16" s="1"/>
  <c r="T483" i="16" s="1"/>
  <c r="D479" i="16"/>
  <c r="E479" i="16"/>
  <c r="F480" i="16" s="1"/>
  <c r="G481" i="16" s="1"/>
  <c r="H482" i="16" s="1"/>
  <c r="I483" i="16" s="1"/>
  <c r="J484" i="16" s="1"/>
  <c r="K485" i="16" s="1"/>
  <c r="L486" i="16" s="1"/>
  <c r="F439" i="3"/>
  <c r="K435" i="3"/>
  <c r="L435" i="3" s="1"/>
  <c r="L108" i="4"/>
  <c r="V108" i="3"/>
  <c r="S435" i="3"/>
  <c r="T435" i="3" s="1"/>
  <c r="U435" i="3"/>
  <c r="E437" i="3"/>
  <c r="R436" i="3"/>
  <c r="J436" i="3"/>
  <c r="D436" i="3"/>
  <c r="H436" i="3" s="1"/>
  <c r="I435" i="3"/>
  <c r="D435" i="4" s="1"/>
  <c r="E435" i="4"/>
  <c r="F435" i="4" s="1"/>
  <c r="E480" i="16" l="1"/>
  <c r="F481" i="16" s="1"/>
  <c r="G482" i="16" s="1"/>
  <c r="H483" i="16" s="1"/>
  <c r="I484" i="16" s="1"/>
  <c r="J485" i="16" s="1"/>
  <c r="K486" i="16" s="1"/>
  <c r="L487" i="16" s="1"/>
  <c r="D480" i="16"/>
  <c r="P481" i="16"/>
  <c r="Q481" i="16"/>
  <c r="R482" i="16" s="1"/>
  <c r="S483" i="16" s="1"/>
  <c r="T484" i="16" s="1"/>
  <c r="S436" i="3"/>
  <c r="T436" i="3" s="1"/>
  <c r="U436" i="3"/>
  <c r="K436" i="3"/>
  <c r="L436" i="3" s="1"/>
  <c r="I436" i="3"/>
  <c r="D436" i="4" s="1"/>
  <c r="E436" i="4"/>
  <c r="F436" i="4" s="1"/>
  <c r="E438" i="3"/>
  <c r="D437" i="3"/>
  <c r="H437" i="3" s="1"/>
  <c r="R437" i="3"/>
  <c r="J437" i="3"/>
  <c r="W108" i="3"/>
  <c r="X108" i="3" s="1"/>
  <c r="Y108" i="3" s="1"/>
  <c r="Z108" i="3" s="1"/>
  <c r="AA108" i="3" s="1"/>
  <c r="AB108" i="3" s="1"/>
  <c r="F440" i="3"/>
  <c r="P482" i="16" l="1"/>
  <c r="Q482" i="16"/>
  <c r="R483" i="16" s="1"/>
  <c r="S484" i="16" s="1"/>
  <c r="T485" i="16" s="1"/>
  <c r="E481" i="16"/>
  <c r="F482" i="16" s="1"/>
  <c r="G483" i="16" s="1"/>
  <c r="H484" i="16" s="1"/>
  <c r="I485" i="16" s="1"/>
  <c r="J486" i="16" s="1"/>
  <c r="K487" i="16" s="1"/>
  <c r="L488" i="16" s="1"/>
  <c r="D481" i="16"/>
  <c r="K437" i="3"/>
  <c r="L437" i="3" s="1"/>
  <c r="C108" i="4"/>
  <c r="AC108" i="3"/>
  <c r="AD108" i="3" s="1"/>
  <c r="M109" i="3"/>
  <c r="F441" i="3"/>
  <c r="E437" i="4"/>
  <c r="F437" i="4" s="1"/>
  <c r="I437" i="3"/>
  <c r="D437" i="4" s="1"/>
  <c r="E439" i="3"/>
  <c r="D438" i="3"/>
  <c r="H438" i="3" s="1"/>
  <c r="J438" i="3"/>
  <c r="R438" i="3"/>
  <c r="S437" i="3"/>
  <c r="T437" i="3" s="1"/>
  <c r="U437" i="3"/>
  <c r="E482" i="16" l="1"/>
  <c r="F483" i="16" s="1"/>
  <c r="G484" i="16" s="1"/>
  <c r="H485" i="16" s="1"/>
  <c r="I486" i="16" s="1"/>
  <c r="J487" i="16" s="1"/>
  <c r="K488" i="16" s="1"/>
  <c r="L489" i="16" s="1"/>
  <c r="D482" i="16"/>
  <c r="P483" i="16"/>
  <c r="Q483" i="16"/>
  <c r="R484" i="16" s="1"/>
  <c r="S485" i="16" s="1"/>
  <c r="T486" i="16" s="1"/>
  <c r="U438" i="3"/>
  <c r="S438" i="3"/>
  <c r="T438" i="3" s="1"/>
  <c r="E440" i="3"/>
  <c r="R439" i="3"/>
  <c r="D439" i="3"/>
  <c r="H439" i="3" s="1"/>
  <c r="J439" i="3"/>
  <c r="K438" i="3"/>
  <c r="L438" i="3" s="1"/>
  <c r="E438" i="4"/>
  <c r="F438" i="4" s="1"/>
  <c r="I438" i="3"/>
  <c r="D438" i="4" s="1"/>
  <c r="F442" i="3"/>
  <c r="AI109" i="3"/>
  <c r="N109" i="3"/>
  <c r="O109" i="3"/>
  <c r="G108" i="4"/>
  <c r="I108" i="4" s="1"/>
  <c r="J108" i="4" s="1"/>
  <c r="H108" i="4"/>
  <c r="P484" i="16" l="1"/>
  <c r="Q484" i="16"/>
  <c r="R485" i="16" s="1"/>
  <c r="S486" i="16" s="1"/>
  <c r="T487" i="16" s="1"/>
  <c r="D483" i="16"/>
  <c r="E483" i="16"/>
  <c r="F484" i="16" s="1"/>
  <c r="G485" i="16" s="1"/>
  <c r="H486" i="16" s="1"/>
  <c r="I487" i="16" s="1"/>
  <c r="J488" i="16" s="1"/>
  <c r="K489" i="16" s="1"/>
  <c r="L490" i="16" s="1"/>
  <c r="P109" i="3"/>
  <c r="Q109" i="3" s="1"/>
  <c r="L109" i="4" s="1"/>
  <c r="K439" i="3"/>
  <c r="L439" i="3" s="1"/>
  <c r="I439" i="3"/>
  <c r="D439" i="4" s="1"/>
  <c r="E439" i="4"/>
  <c r="F439" i="4" s="1"/>
  <c r="S439" i="3"/>
  <c r="T439" i="3" s="1"/>
  <c r="U439" i="3"/>
  <c r="K108" i="4"/>
  <c r="M108" i="4"/>
  <c r="F443" i="3"/>
  <c r="E441" i="3"/>
  <c r="R440" i="3"/>
  <c r="J440" i="3"/>
  <c r="D440" i="3"/>
  <c r="H440" i="3" s="1"/>
  <c r="D484" i="16" l="1"/>
  <c r="E484" i="16"/>
  <c r="F485" i="16" s="1"/>
  <c r="G486" i="16" s="1"/>
  <c r="H487" i="16" s="1"/>
  <c r="I488" i="16" s="1"/>
  <c r="J489" i="16" s="1"/>
  <c r="K490" i="16" s="1"/>
  <c r="L491" i="16" s="1"/>
  <c r="V109" i="3"/>
  <c r="W109" i="3" s="1"/>
  <c r="X109" i="3" s="1"/>
  <c r="Y109" i="3" s="1"/>
  <c r="Z109" i="3" s="1"/>
  <c r="AA109" i="3" s="1"/>
  <c r="AB109" i="3" s="1"/>
  <c r="P485" i="16"/>
  <c r="Q485" i="16"/>
  <c r="R486" i="16" s="1"/>
  <c r="S487" i="16" s="1"/>
  <c r="T488" i="16" s="1"/>
  <c r="F444" i="3"/>
  <c r="E442" i="3"/>
  <c r="D441" i="3"/>
  <c r="H441" i="3" s="1"/>
  <c r="J441" i="3"/>
  <c r="R441" i="3"/>
  <c r="I440" i="3"/>
  <c r="D440" i="4" s="1"/>
  <c r="E440" i="4"/>
  <c r="F440" i="4" s="1"/>
  <c r="S440" i="3"/>
  <c r="T440" i="3" s="1"/>
  <c r="U440" i="3"/>
  <c r="K440" i="3"/>
  <c r="L440" i="3" s="1"/>
  <c r="Q486" i="16" l="1"/>
  <c r="R487" i="16" s="1"/>
  <c r="S488" i="16" s="1"/>
  <c r="T489" i="16" s="1"/>
  <c r="P486" i="16"/>
  <c r="E485" i="16"/>
  <c r="F486" i="16" s="1"/>
  <c r="G487" i="16" s="1"/>
  <c r="H488" i="16" s="1"/>
  <c r="I489" i="16" s="1"/>
  <c r="J490" i="16" s="1"/>
  <c r="K491" i="16" s="1"/>
  <c r="L492" i="16" s="1"/>
  <c r="D485" i="16"/>
  <c r="M110" i="3"/>
  <c r="C109" i="4"/>
  <c r="AC109" i="3"/>
  <c r="AD109" i="3" s="1"/>
  <c r="I441" i="3"/>
  <c r="D441" i="4" s="1"/>
  <c r="E441" i="4"/>
  <c r="F441" i="4" s="1"/>
  <c r="K441" i="3"/>
  <c r="L441" i="3" s="1"/>
  <c r="S441" i="3"/>
  <c r="T441" i="3" s="1"/>
  <c r="U441" i="3"/>
  <c r="E443" i="3"/>
  <c r="D442" i="3"/>
  <c r="H442" i="3" s="1"/>
  <c r="J442" i="3"/>
  <c r="R442" i="3"/>
  <c r="F445" i="3"/>
  <c r="E486" i="16" l="1"/>
  <c r="F487" i="16" s="1"/>
  <c r="G488" i="16" s="1"/>
  <c r="H489" i="16" s="1"/>
  <c r="I490" i="16" s="1"/>
  <c r="J491" i="16" s="1"/>
  <c r="K492" i="16" s="1"/>
  <c r="L493" i="16" s="1"/>
  <c r="D486" i="16"/>
  <c r="P487" i="16"/>
  <c r="Q487" i="16"/>
  <c r="R488" i="16" s="1"/>
  <c r="S489" i="16" s="1"/>
  <c r="T490" i="16" s="1"/>
  <c r="F446" i="3"/>
  <c r="S442" i="3"/>
  <c r="T442" i="3" s="1"/>
  <c r="U442" i="3"/>
  <c r="K442" i="3"/>
  <c r="L442" i="3" s="1"/>
  <c r="I442" i="3"/>
  <c r="D442" i="4" s="1"/>
  <c r="E442" i="4"/>
  <c r="F442" i="4" s="1"/>
  <c r="E444" i="3"/>
  <c r="J443" i="3"/>
  <c r="D443" i="3"/>
  <c r="H443" i="3" s="1"/>
  <c r="R443" i="3"/>
  <c r="G109" i="4"/>
  <c r="I109" i="4" s="1"/>
  <c r="J109" i="4" s="1"/>
  <c r="H109" i="4"/>
  <c r="AI110" i="3"/>
  <c r="N110" i="3"/>
  <c r="O110" i="3"/>
  <c r="P488" i="16" l="1"/>
  <c r="Q488" i="16"/>
  <c r="R489" i="16" s="1"/>
  <c r="S490" i="16" s="1"/>
  <c r="T491" i="16" s="1"/>
  <c r="E487" i="16"/>
  <c r="F488" i="16" s="1"/>
  <c r="G489" i="16" s="1"/>
  <c r="H490" i="16" s="1"/>
  <c r="I491" i="16" s="1"/>
  <c r="J492" i="16" s="1"/>
  <c r="K493" i="16" s="1"/>
  <c r="L494" i="16" s="1"/>
  <c r="D487" i="16"/>
  <c r="P110" i="3"/>
  <c r="Q110" i="3" s="1"/>
  <c r="L110" i="4" s="1"/>
  <c r="U443" i="3"/>
  <c r="S443" i="3"/>
  <c r="T443" i="3" s="1"/>
  <c r="K443" i="3"/>
  <c r="L443" i="3" s="1"/>
  <c r="E443" i="4"/>
  <c r="F443" i="4" s="1"/>
  <c r="I443" i="3"/>
  <c r="D443" i="4" s="1"/>
  <c r="E445" i="3"/>
  <c r="R444" i="3"/>
  <c r="J444" i="3"/>
  <c r="D444" i="3"/>
  <c r="H444" i="3" s="1"/>
  <c r="F447" i="3"/>
  <c r="M109" i="4"/>
  <c r="K109" i="4"/>
  <c r="E488" i="16" l="1"/>
  <c r="F489" i="16" s="1"/>
  <c r="G490" i="16" s="1"/>
  <c r="H491" i="16" s="1"/>
  <c r="I492" i="16" s="1"/>
  <c r="J493" i="16" s="1"/>
  <c r="K494" i="16" s="1"/>
  <c r="L495" i="16" s="1"/>
  <c r="D488" i="16"/>
  <c r="P489" i="16"/>
  <c r="Q489" i="16"/>
  <c r="R490" i="16" s="1"/>
  <c r="S491" i="16" s="1"/>
  <c r="T492" i="16" s="1"/>
  <c r="V110" i="3"/>
  <c r="W110" i="3" s="1"/>
  <c r="X110" i="3" s="1"/>
  <c r="Y110" i="3" s="1"/>
  <c r="Z110" i="3" s="1"/>
  <c r="AA110" i="3" s="1"/>
  <c r="AB110" i="3" s="1"/>
  <c r="K444" i="3"/>
  <c r="L444" i="3" s="1"/>
  <c r="F448" i="3"/>
  <c r="I444" i="3"/>
  <c r="D444" i="4" s="1"/>
  <c r="E444" i="4"/>
  <c r="F444" i="4" s="1"/>
  <c r="E446" i="3"/>
  <c r="D445" i="3"/>
  <c r="H445" i="3" s="1"/>
  <c r="J445" i="3"/>
  <c r="R445" i="3"/>
  <c r="S444" i="3"/>
  <c r="T444" i="3" s="1"/>
  <c r="U444" i="3"/>
  <c r="P490" i="16" l="1"/>
  <c r="Q490" i="16"/>
  <c r="R491" i="16" s="1"/>
  <c r="S492" i="16" s="1"/>
  <c r="T493" i="16" s="1"/>
  <c r="D489" i="16"/>
  <c r="E489" i="16"/>
  <c r="F490" i="16" s="1"/>
  <c r="G491" i="16" s="1"/>
  <c r="H492" i="16" s="1"/>
  <c r="I493" i="16" s="1"/>
  <c r="J494" i="16" s="1"/>
  <c r="K495" i="16" s="1"/>
  <c r="L496" i="16" s="1"/>
  <c r="E445" i="4"/>
  <c r="F445" i="4" s="1"/>
  <c r="I445" i="3"/>
  <c r="D445" i="4" s="1"/>
  <c r="AC110" i="3"/>
  <c r="AD110" i="3" s="1"/>
  <c r="C110" i="4"/>
  <c r="M111" i="3"/>
  <c r="K445" i="3"/>
  <c r="L445" i="3" s="1"/>
  <c r="S445" i="3"/>
  <c r="T445" i="3" s="1"/>
  <c r="U445" i="3"/>
  <c r="E447" i="3"/>
  <c r="J446" i="3"/>
  <c r="D446" i="3"/>
  <c r="H446" i="3" s="1"/>
  <c r="R446" i="3"/>
  <c r="F449" i="3"/>
  <c r="E490" i="16" l="1"/>
  <c r="F491" i="16" s="1"/>
  <c r="G492" i="16" s="1"/>
  <c r="H493" i="16" s="1"/>
  <c r="I494" i="16" s="1"/>
  <c r="J495" i="16" s="1"/>
  <c r="K496" i="16" s="1"/>
  <c r="L497" i="16" s="1"/>
  <c r="D490" i="16"/>
  <c r="P491" i="16"/>
  <c r="Q491" i="16"/>
  <c r="R492" i="16" s="1"/>
  <c r="S493" i="16" s="1"/>
  <c r="T494" i="16" s="1"/>
  <c r="F450" i="3"/>
  <c r="K446" i="3"/>
  <c r="L446" i="3" s="1"/>
  <c r="O111" i="3"/>
  <c r="AI111" i="3"/>
  <c r="N111" i="3"/>
  <c r="E446" i="4"/>
  <c r="F446" i="4" s="1"/>
  <c r="I446" i="3"/>
  <c r="D446" i="4" s="1"/>
  <c r="E448" i="3"/>
  <c r="R447" i="3"/>
  <c r="D447" i="3"/>
  <c r="H447" i="3" s="1"/>
  <c r="J447" i="3"/>
  <c r="G110" i="4"/>
  <c r="I110" i="4" s="1"/>
  <c r="J110" i="4" s="1"/>
  <c r="H110" i="4"/>
  <c r="U446" i="3"/>
  <c r="S446" i="3"/>
  <c r="T446" i="3" s="1"/>
  <c r="P492" i="16" l="1"/>
  <c r="Q492" i="16"/>
  <c r="R493" i="16" s="1"/>
  <c r="S494" i="16" s="1"/>
  <c r="T495" i="16" s="1"/>
  <c r="E491" i="16"/>
  <c r="F492" i="16" s="1"/>
  <c r="G493" i="16" s="1"/>
  <c r="H494" i="16" s="1"/>
  <c r="I495" i="16" s="1"/>
  <c r="J496" i="16" s="1"/>
  <c r="K497" i="16" s="1"/>
  <c r="L498" i="16" s="1"/>
  <c r="D491" i="16"/>
  <c r="P111" i="3"/>
  <c r="Q111" i="3" s="1"/>
  <c r="L111" i="4" s="1"/>
  <c r="E449" i="3"/>
  <c r="R448" i="3"/>
  <c r="J448" i="3"/>
  <c r="D448" i="3"/>
  <c r="H448" i="3" s="1"/>
  <c r="K447" i="3"/>
  <c r="L447" i="3" s="1"/>
  <c r="I447" i="3"/>
  <c r="D447" i="4" s="1"/>
  <c r="E447" i="4"/>
  <c r="F447" i="4" s="1"/>
  <c r="F451" i="3"/>
  <c r="U447" i="3"/>
  <c r="S447" i="3"/>
  <c r="T447" i="3" s="1"/>
  <c r="K110" i="4"/>
  <c r="M110" i="4"/>
  <c r="D492" i="16" l="1"/>
  <c r="E492" i="16"/>
  <c r="F493" i="16" s="1"/>
  <c r="G494" i="16" s="1"/>
  <c r="H495" i="16" s="1"/>
  <c r="I496" i="16" s="1"/>
  <c r="J497" i="16" s="1"/>
  <c r="K498" i="16" s="1"/>
  <c r="L499" i="16" s="1"/>
  <c r="P493" i="16"/>
  <c r="Q493" i="16"/>
  <c r="R494" i="16" s="1"/>
  <c r="S495" i="16" s="1"/>
  <c r="T496" i="16" s="1"/>
  <c r="V111" i="3"/>
  <c r="W111" i="3" s="1"/>
  <c r="X111" i="3" s="1"/>
  <c r="Y111" i="3" s="1"/>
  <c r="Z111" i="3" s="1"/>
  <c r="AA111" i="3" s="1"/>
  <c r="AB111" i="3" s="1"/>
  <c r="E448" i="4"/>
  <c r="F448" i="4" s="1"/>
  <c r="I448" i="3"/>
  <c r="D448" i="4" s="1"/>
  <c r="F452" i="3"/>
  <c r="K448" i="3"/>
  <c r="L448" i="3" s="1"/>
  <c r="U448" i="3"/>
  <c r="S448" i="3"/>
  <c r="T448" i="3" s="1"/>
  <c r="E450" i="3"/>
  <c r="J449" i="3"/>
  <c r="D449" i="3"/>
  <c r="H449" i="3" s="1"/>
  <c r="R449" i="3"/>
  <c r="Q494" i="16" l="1"/>
  <c r="R495" i="16" s="1"/>
  <c r="S496" i="16" s="1"/>
  <c r="T497" i="16" s="1"/>
  <c r="P494" i="16"/>
  <c r="D493" i="16"/>
  <c r="E493" i="16"/>
  <c r="F494" i="16" s="1"/>
  <c r="G495" i="16" s="1"/>
  <c r="H496" i="16" s="1"/>
  <c r="I497" i="16" s="1"/>
  <c r="J498" i="16" s="1"/>
  <c r="K499" i="16" s="1"/>
  <c r="L500" i="16" s="1"/>
  <c r="K449" i="3"/>
  <c r="L449" i="3" s="1"/>
  <c r="AC111" i="3"/>
  <c r="AD111" i="3" s="1"/>
  <c r="C111" i="4"/>
  <c r="M112" i="3"/>
  <c r="F453" i="3"/>
  <c r="S449" i="3"/>
  <c r="T449" i="3" s="1"/>
  <c r="U449" i="3"/>
  <c r="E451" i="3"/>
  <c r="J450" i="3"/>
  <c r="D450" i="3"/>
  <c r="H450" i="3" s="1"/>
  <c r="R450" i="3"/>
  <c r="I449" i="3"/>
  <c r="D449" i="4" s="1"/>
  <c r="E449" i="4"/>
  <c r="F449" i="4" s="1"/>
  <c r="D494" i="16" l="1"/>
  <c r="E494" i="16"/>
  <c r="F495" i="16" s="1"/>
  <c r="G496" i="16" s="1"/>
  <c r="H497" i="16" s="1"/>
  <c r="I498" i="16" s="1"/>
  <c r="J499" i="16" s="1"/>
  <c r="K500" i="16" s="1"/>
  <c r="L501" i="16" s="1"/>
  <c r="P495" i="16"/>
  <c r="Q495" i="16"/>
  <c r="R496" i="16" s="1"/>
  <c r="S497" i="16" s="1"/>
  <c r="T498" i="16" s="1"/>
  <c r="I450" i="3"/>
  <c r="D450" i="4" s="1"/>
  <c r="E450" i="4"/>
  <c r="F450" i="4" s="1"/>
  <c r="E452" i="3"/>
  <c r="R451" i="3"/>
  <c r="D451" i="3"/>
  <c r="H451" i="3" s="1"/>
  <c r="J451" i="3"/>
  <c r="F454" i="3"/>
  <c r="K450" i="3"/>
  <c r="L450" i="3" s="1"/>
  <c r="N112" i="3"/>
  <c r="O112" i="3"/>
  <c r="AI112" i="3"/>
  <c r="H111" i="4"/>
  <c r="G111" i="4"/>
  <c r="I111" i="4" s="1"/>
  <c r="J111" i="4" s="1"/>
  <c r="S450" i="3"/>
  <c r="T450" i="3" s="1"/>
  <c r="U450" i="3"/>
  <c r="P496" i="16" l="1"/>
  <c r="Q496" i="16"/>
  <c r="R497" i="16" s="1"/>
  <c r="S498" i="16" s="1"/>
  <c r="T499" i="16" s="1"/>
  <c r="E495" i="16"/>
  <c r="F496" i="16" s="1"/>
  <c r="G497" i="16" s="1"/>
  <c r="H498" i="16" s="1"/>
  <c r="I499" i="16" s="1"/>
  <c r="J500" i="16" s="1"/>
  <c r="K501" i="16" s="1"/>
  <c r="L502" i="16" s="1"/>
  <c r="D495" i="16"/>
  <c r="P112" i="3"/>
  <c r="Q112" i="3" s="1"/>
  <c r="L112" i="4" s="1"/>
  <c r="C27" i="5" s="1"/>
  <c r="N27" i="5" s="1"/>
  <c r="K451" i="3"/>
  <c r="L451" i="3" s="1"/>
  <c r="F455" i="3"/>
  <c r="I451" i="3"/>
  <c r="D451" i="4" s="1"/>
  <c r="E451" i="4"/>
  <c r="F451" i="4" s="1"/>
  <c r="E453" i="3"/>
  <c r="R452" i="3"/>
  <c r="D452" i="3"/>
  <c r="H452" i="3" s="1"/>
  <c r="J452" i="3"/>
  <c r="U451" i="3"/>
  <c r="S451" i="3"/>
  <c r="T451" i="3" s="1"/>
  <c r="K111" i="4"/>
  <c r="M111" i="4"/>
  <c r="D496" i="16" l="1"/>
  <c r="E496" i="16"/>
  <c r="F497" i="16" s="1"/>
  <c r="G498" i="16" s="1"/>
  <c r="H499" i="16" s="1"/>
  <c r="I500" i="16" s="1"/>
  <c r="J501" i="16" s="1"/>
  <c r="K502" i="16" s="1"/>
  <c r="L503" i="16" s="1"/>
  <c r="P497" i="16"/>
  <c r="Q497" i="16"/>
  <c r="R498" i="16" s="1"/>
  <c r="S499" i="16" s="1"/>
  <c r="T500" i="16" s="1"/>
  <c r="V112" i="3"/>
  <c r="W112" i="3" s="1"/>
  <c r="X112" i="3" s="1"/>
  <c r="Y112" i="3" s="1"/>
  <c r="Z112" i="3" s="1"/>
  <c r="AA112" i="3" s="1"/>
  <c r="AB112" i="3" s="1"/>
  <c r="K452" i="3"/>
  <c r="L452" i="3" s="1"/>
  <c r="S452" i="3"/>
  <c r="T452" i="3" s="1"/>
  <c r="U452" i="3"/>
  <c r="F456" i="3"/>
  <c r="I452" i="3"/>
  <c r="D452" i="4" s="1"/>
  <c r="E452" i="4"/>
  <c r="F452" i="4" s="1"/>
  <c r="E454" i="3"/>
  <c r="J453" i="3"/>
  <c r="D453" i="3"/>
  <c r="H453" i="3" s="1"/>
  <c r="R453" i="3"/>
  <c r="Q498" i="16" l="1"/>
  <c r="R499" i="16" s="1"/>
  <c r="S500" i="16" s="1"/>
  <c r="T501" i="16" s="1"/>
  <c r="P498" i="16"/>
  <c r="E497" i="16"/>
  <c r="F498" i="16" s="1"/>
  <c r="G499" i="16" s="1"/>
  <c r="H500" i="16" s="1"/>
  <c r="I501" i="16" s="1"/>
  <c r="J502" i="16" s="1"/>
  <c r="K503" i="16" s="1"/>
  <c r="L504" i="16" s="1"/>
  <c r="D497" i="16"/>
  <c r="M113" i="3"/>
  <c r="AC112" i="3"/>
  <c r="AD112" i="3" s="1"/>
  <c r="C112" i="4"/>
  <c r="S453" i="3"/>
  <c r="T453" i="3" s="1"/>
  <c r="U453" i="3"/>
  <c r="E455" i="3"/>
  <c r="R454" i="3"/>
  <c r="D454" i="3"/>
  <c r="H454" i="3" s="1"/>
  <c r="J454" i="3"/>
  <c r="K453" i="3"/>
  <c r="L453" i="3" s="1"/>
  <c r="F457" i="3"/>
  <c r="I453" i="3"/>
  <c r="D453" i="4" s="1"/>
  <c r="E453" i="4"/>
  <c r="F453" i="4" s="1"/>
  <c r="D498" i="16" l="1"/>
  <c r="E498" i="16"/>
  <c r="F499" i="16" s="1"/>
  <c r="G500" i="16" s="1"/>
  <c r="H501" i="16" s="1"/>
  <c r="I502" i="16" s="1"/>
  <c r="J503" i="16" s="1"/>
  <c r="K504" i="16" s="1"/>
  <c r="L505" i="16" s="1"/>
  <c r="Q499" i="16"/>
  <c r="R500" i="16" s="1"/>
  <c r="S501" i="16" s="1"/>
  <c r="T502" i="16" s="1"/>
  <c r="P499" i="16"/>
  <c r="I454" i="3"/>
  <c r="D454" i="4" s="1"/>
  <c r="E454" i="4"/>
  <c r="F454" i="4" s="1"/>
  <c r="F458" i="3"/>
  <c r="K454" i="3"/>
  <c r="L454" i="3" s="1"/>
  <c r="E456" i="3"/>
  <c r="R455" i="3"/>
  <c r="J455" i="3"/>
  <c r="D455" i="3"/>
  <c r="H455" i="3" s="1"/>
  <c r="S454" i="3"/>
  <c r="T454" i="3" s="1"/>
  <c r="U454" i="3"/>
  <c r="G112" i="4"/>
  <c r="I112" i="4" s="1"/>
  <c r="J112" i="4" s="1"/>
  <c r="H112" i="4"/>
  <c r="N113" i="3"/>
  <c r="O113" i="3"/>
  <c r="AI113" i="3"/>
  <c r="Q500" i="16" l="1"/>
  <c r="R501" i="16" s="1"/>
  <c r="S502" i="16" s="1"/>
  <c r="T503" i="16" s="1"/>
  <c r="P500" i="16"/>
  <c r="E499" i="16"/>
  <c r="F500" i="16" s="1"/>
  <c r="G501" i="16" s="1"/>
  <c r="H502" i="16" s="1"/>
  <c r="I503" i="16" s="1"/>
  <c r="J504" i="16" s="1"/>
  <c r="K505" i="16" s="1"/>
  <c r="L506" i="16" s="1"/>
  <c r="D499" i="16"/>
  <c r="P113" i="3"/>
  <c r="Q113" i="3" s="1"/>
  <c r="V113" i="3" s="1"/>
  <c r="K455" i="3"/>
  <c r="L455" i="3" s="1"/>
  <c r="K112" i="4"/>
  <c r="E27" i="5" s="1"/>
  <c r="D27" i="5"/>
  <c r="M112" i="4"/>
  <c r="E455" i="4"/>
  <c r="F455" i="4" s="1"/>
  <c r="I455" i="3"/>
  <c r="D455" i="4" s="1"/>
  <c r="S455" i="3"/>
  <c r="T455" i="3" s="1"/>
  <c r="U455" i="3"/>
  <c r="E457" i="3"/>
  <c r="J456" i="3"/>
  <c r="D456" i="3"/>
  <c r="H456" i="3" s="1"/>
  <c r="R456" i="3"/>
  <c r="F459" i="3"/>
  <c r="D500" i="16" l="1"/>
  <c r="E500" i="16"/>
  <c r="F501" i="16" s="1"/>
  <c r="G502" i="16" s="1"/>
  <c r="H503" i="16" s="1"/>
  <c r="I504" i="16" s="1"/>
  <c r="J505" i="16" s="1"/>
  <c r="K506" i="16" s="1"/>
  <c r="L507" i="16" s="1"/>
  <c r="P501" i="16"/>
  <c r="Q501" i="16"/>
  <c r="R502" i="16" s="1"/>
  <c r="S503" i="16" s="1"/>
  <c r="T504" i="16" s="1"/>
  <c r="L113" i="4"/>
  <c r="K456" i="3"/>
  <c r="L456" i="3" s="1"/>
  <c r="F460" i="3"/>
  <c r="E456" i="4"/>
  <c r="F456" i="4" s="1"/>
  <c r="I456" i="3"/>
  <c r="D456" i="4" s="1"/>
  <c r="E458" i="3"/>
  <c r="D457" i="3"/>
  <c r="H457" i="3" s="1"/>
  <c r="R457" i="3"/>
  <c r="J457" i="3"/>
  <c r="W113" i="3"/>
  <c r="X113" i="3" s="1"/>
  <c r="Y113" i="3" s="1"/>
  <c r="Z113" i="3" s="1"/>
  <c r="AA113" i="3" s="1"/>
  <c r="AB113" i="3" s="1"/>
  <c r="S456" i="3"/>
  <c r="T456" i="3" s="1"/>
  <c r="U456" i="3"/>
  <c r="P502" i="16" l="1"/>
  <c r="Q502" i="16"/>
  <c r="R503" i="16" s="1"/>
  <c r="S504" i="16" s="1"/>
  <c r="T505" i="16" s="1"/>
  <c r="D501" i="16"/>
  <c r="E501" i="16"/>
  <c r="F502" i="16" s="1"/>
  <c r="G503" i="16" s="1"/>
  <c r="H504" i="16" s="1"/>
  <c r="I505" i="16" s="1"/>
  <c r="J506" i="16" s="1"/>
  <c r="K507" i="16" s="1"/>
  <c r="L508" i="16" s="1"/>
  <c r="K457" i="3"/>
  <c r="L457" i="3" s="1"/>
  <c r="AC113" i="3"/>
  <c r="AD113" i="3" s="1"/>
  <c r="M114" i="3"/>
  <c r="C113" i="4"/>
  <c r="E457" i="4"/>
  <c r="F457" i="4" s="1"/>
  <c r="I457" i="3"/>
  <c r="D457" i="4" s="1"/>
  <c r="E459" i="3"/>
  <c r="R458" i="3"/>
  <c r="D458" i="3"/>
  <c r="H458" i="3" s="1"/>
  <c r="J458" i="3"/>
  <c r="F461" i="3"/>
  <c r="S457" i="3"/>
  <c r="T457" i="3" s="1"/>
  <c r="U457" i="3"/>
  <c r="D502" i="16" l="1"/>
  <c r="E502" i="16"/>
  <c r="F503" i="16" s="1"/>
  <c r="G504" i="16" s="1"/>
  <c r="H505" i="16" s="1"/>
  <c r="I506" i="16" s="1"/>
  <c r="J507" i="16" s="1"/>
  <c r="K508" i="16" s="1"/>
  <c r="L509" i="16" s="1"/>
  <c r="Q503" i="16"/>
  <c r="R504" i="16" s="1"/>
  <c r="S505" i="16" s="1"/>
  <c r="T506" i="16" s="1"/>
  <c r="P503" i="16"/>
  <c r="K458" i="3"/>
  <c r="L458" i="3" s="1"/>
  <c r="I458" i="3"/>
  <c r="D458" i="4" s="1"/>
  <c r="E458" i="4"/>
  <c r="F458" i="4" s="1"/>
  <c r="N114" i="3"/>
  <c r="AI114" i="3"/>
  <c r="O114" i="3"/>
  <c r="F462" i="3"/>
  <c r="S458" i="3"/>
  <c r="T458" i="3" s="1"/>
  <c r="U458" i="3"/>
  <c r="E460" i="3"/>
  <c r="R459" i="3"/>
  <c r="D459" i="3"/>
  <c r="H459" i="3" s="1"/>
  <c r="J459" i="3"/>
  <c r="G113" i="4"/>
  <c r="I113" i="4" s="1"/>
  <c r="J113" i="4" s="1"/>
  <c r="H113" i="4"/>
  <c r="P504" i="16" l="1"/>
  <c r="Q504" i="16"/>
  <c r="R505" i="16" s="1"/>
  <c r="S506" i="16" s="1"/>
  <c r="T507" i="16" s="1"/>
  <c r="E503" i="16"/>
  <c r="F504" i="16" s="1"/>
  <c r="G505" i="16" s="1"/>
  <c r="H506" i="16" s="1"/>
  <c r="I507" i="16" s="1"/>
  <c r="J508" i="16" s="1"/>
  <c r="K509" i="16" s="1"/>
  <c r="L510" i="16" s="1"/>
  <c r="D503" i="16"/>
  <c r="K459" i="3"/>
  <c r="L459" i="3" s="1"/>
  <c r="P114" i="3"/>
  <c r="Q114" i="3" s="1"/>
  <c r="I459" i="3"/>
  <c r="D459" i="4" s="1"/>
  <c r="E459" i="4"/>
  <c r="F459" i="4" s="1"/>
  <c r="U459" i="3"/>
  <c r="S459" i="3"/>
  <c r="T459" i="3" s="1"/>
  <c r="E461" i="3"/>
  <c r="R460" i="3"/>
  <c r="D460" i="3"/>
  <c r="H460" i="3" s="1"/>
  <c r="J460" i="3"/>
  <c r="F463" i="3"/>
  <c r="K113" i="4"/>
  <c r="M113" i="4"/>
  <c r="E504" i="16" l="1"/>
  <c r="F505" i="16" s="1"/>
  <c r="G506" i="16" s="1"/>
  <c r="H507" i="16" s="1"/>
  <c r="I508" i="16" s="1"/>
  <c r="J509" i="16" s="1"/>
  <c r="K510" i="16" s="1"/>
  <c r="L511" i="16" s="1"/>
  <c r="D504" i="16"/>
  <c r="P505" i="16"/>
  <c r="Q505" i="16"/>
  <c r="R506" i="16" s="1"/>
  <c r="S507" i="16" s="1"/>
  <c r="T508" i="16" s="1"/>
  <c r="F464" i="3"/>
  <c r="I460" i="3"/>
  <c r="D460" i="4" s="1"/>
  <c r="E460" i="4"/>
  <c r="F460" i="4" s="1"/>
  <c r="K460" i="3"/>
  <c r="L460" i="3" s="1"/>
  <c r="U460" i="3"/>
  <c r="S460" i="3"/>
  <c r="T460" i="3" s="1"/>
  <c r="E462" i="3"/>
  <c r="D461" i="3"/>
  <c r="H461" i="3" s="1"/>
  <c r="R461" i="3"/>
  <c r="J461" i="3"/>
  <c r="L114" i="4"/>
  <c r="V114" i="3"/>
  <c r="Q506" i="16" l="1"/>
  <c r="R507" i="16" s="1"/>
  <c r="S508" i="16" s="1"/>
  <c r="T509" i="16" s="1"/>
  <c r="P506" i="16"/>
  <c r="E505" i="16"/>
  <c r="F506" i="16" s="1"/>
  <c r="G507" i="16" s="1"/>
  <c r="H508" i="16" s="1"/>
  <c r="I509" i="16" s="1"/>
  <c r="J510" i="16" s="1"/>
  <c r="K511" i="16" s="1"/>
  <c r="L512" i="16" s="1"/>
  <c r="D505" i="16"/>
  <c r="E463" i="3"/>
  <c r="D462" i="3"/>
  <c r="H462" i="3" s="1"/>
  <c r="R462" i="3"/>
  <c r="J462" i="3"/>
  <c r="K461" i="3"/>
  <c r="L461" i="3" s="1"/>
  <c r="I461" i="3"/>
  <c r="D461" i="4" s="1"/>
  <c r="E461" i="4"/>
  <c r="F461" i="4" s="1"/>
  <c r="W114" i="3"/>
  <c r="X114" i="3" s="1"/>
  <c r="Y114" i="3" s="1"/>
  <c r="Z114" i="3" s="1"/>
  <c r="AA114" i="3" s="1"/>
  <c r="AB114" i="3" s="1"/>
  <c r="U461" i="3"/>
  <c r="S461" i="3"/>
  <c r="T461" i="3" s="1"/>
  <c r="F465" i="3"/>
  <c r="E506" i="16" l="1"/>
  <c r="F507" i="16" s="1"/>
  <c r="G508" i="16" s="1"/>
  <c r="H509" i="16" s="1"/>
  <c r="I510" i="16" s="1"/>
  <c r="J511" i="16" s="1"/>
  <c r="K512" i="16" s="1"/>
  <c r="L513" i="16" s="1"/>
  <c r="D506" i="16"/>
  <c r="Q507" i="16"/>
  <c r="R508" i="16" s="1"/>
  <c r="S509" i="16" s="1"/>
  <c r="T510" i="16" s="1"/>
  <c r="P507" i="16"/>
  <c r="K462" i="3"/>
  <c r="L462" i="3" s="1"/>
  <c r="C114" i="4"/>
  <c r="M115" i="3"/>
  <c r="AC114" i="3"/>
  <c r="AD114" i="3" s="1"/>
  <c r="F466" i="3"/>
  <c r="I462" i="3"/>
  <c r="D462" i="4" s="1"/>
  <c r="E462" i="4"/>
  <c r="F462" i="4" s="1"/>
  <c r="S462" i="3"/>
  <c r="T462" i="3" s="1"/>
  <c r="U462" i="3"/>
  <c r="E464" i="3"/>
  <c r="J463" i="3"/>
  <c r="D463" i="3"/>
  <c r="H463" i="3" s="1"/>
  <c r="R463" i="3"/>
  <c r="Q508" i="16" l="1"/>
  <c r="R509" i="16" s="1"/>
  <c r="S510" i="16" s="1"/>
  <c r="T511" i="16" s="1"/>
  <c r="P508" i="16"/>
  <c r="D507" i="16"/>
  <c r="E507" i="16"/>
  <c r="F508" i="16" s="1"/>
  <c r="G509" i="16" s="1"/>
  <c r="H510" i="16" s="1"/>
  <c r="I511" i="16" s="1"/>
  <c r="J512" i="16" s="1"/>
  <c r="K513" i="16" s="1"/>
  <c r="L514" i="16" s="1"/>
  <c r="S463" i="3"/>
  <c r="T463" i="3" s="1"/>
  <c r="U463" i="3"/>
  <c r="E463" i="4"/>
  <c r="F463" i="4" s="1"/>
  <c r="I463" i="3"/>
  <c r="D463" i="4" s="1"/>
  <c r="O115" i="3"/>
  <c r="AI115" i="3"/>
  <c r="N115" i="3"/>
  <c r="E465" i="3"/>
  <c r="R464" i="3"/>
  <c r="D464" i="3"/>
  <c r="H464" i="3" s="1"/>
  <c r="J464" i="3"/>
  <c r="F467" i="3"/>
  <c r="K463" i="3"/>
  <c r="L463" i="3" s="1"/>
  <c r="G114" i="4"/>
  <c r="I114" i="4" s="1"/>
  <c r="J114" i="4" s="1"/>
  <c r="H114" i="4"/>
  <c r="E508" i="16" l="1"/>
  <c r="F509" i="16" s="1"/>
  <c r="G510" i="16" s="1"/>
  <c r="H511" i="16" s="1"/>
  <c r="I512" i="16" s="1"/>
  <c r="J513" i="16" s="1"/>
  <c r="K514" i="16" s="1"/>
  <c r="L515" i="16" s="1"/>
  <c r="D508" i="16"/>
  <c r="Q509" i="16"/>
  <c r="R510" i="16" s="1"/>
  <c r="S511" i="16" s="1"/>
  <c r="T512" i="16" s="1"/>
  <c r="P509" i="16"/>
  <c r="P115" i="3"/>
  <c r="Q115" i="3" s="1"/>
  <c r="V115" i="3" s="1"/>
  <c r="U464" i="3"/>
  <c r="S464" i="3"/>
  <c r="T464" i="3" s="1"/>
  <c r="I464" i="3"/>
  <c r="D464" i="4" s="1"/>
  <c r="E464" i="4"/>
  <c r="F464" i="4" s="1"/>
  <c r="E466" i="3"/>
  <c r="R465" i="3"/>
  <c r="J465" i="3"/>
  <c r="D465" i="3"/>
  <c r="H465" i="3" s="1"/>
  <c r="F468" i="3"/>
  <c r="K464" i="3"/>
  <c r="L464" i="3" s="1"/>
  <c r="K114" i="4"/>
  <c r="M114" i="4"/>
  <c r="L115" i="4" l="1"/>
  <c r="Q510" i="16"/>
  <c r="R511" i="16" s="1"/>
  <c r="S512" i="16" s="1"/>
  <c r="T513" i="16" s="1"/>
  <c r="P510" i="16"/>
  <c r="D509" i="16"/>
  <c r="E509" i="16"/>
  <c r="F510" i="16" s="1"/>
  <c r="G511" i="16" s="1"/>
  <c r="H512" i="16" s="1"/>
  <c r="I513" i="16" s="1"/>
  <c r="J514" i="16" s="1"/>
  <c r="K515" i="16" s="1"/>
  <c r="L516" i="16" s="1"/>
  <c r="I465" i="3"/>
  <c r="D465" i="4" s="1"/>
  <c r="E465" i="4"/>
  <c r="F465" i="4" s="1"/>
  <c r="S465" i="3"/>
  <c r="T465" i="3" s="1"/>
  <c r="U465" i="3"/>
  <c r="F469" i="3"/>
  <c r="K465" i="3"/>
  <c r="L465" i="3" s="1"/>
  <c r="E467" i="3"/>
  <c r="D466" i="3"/>
  <c r="H466" i="3" s="1"/>
  <c r="R466" i="3"/>
  <c r="J466" i="3"/>
  <c r="W115" i="3"/>
  <c r="X115" i="3" s="1"/>
  <c r="Y115" i="3" s="1"/>
  <c r="Z115" i="3" s="1"/>
  <c r="AA115" i="3" s="1"/>
  <c r="AB115" i="3" s="1"/>
  <c r="D510" i="16" l="1"/>
  <c r="E510" i="16"/>
  <c r="F511" i="16" s="1"/>
  <c r="G512" i="16" s="1"/>
  <c r="H513" i="16" s="1"/>
  <c r="I514" i="16" s="1"/>
  <c r="J515" i="16" s="1"/>
  <c r="K516" i="16" s="1"/>
  <c r="L517" i="16" s="1"/>
  <c r="Q511" i="16"/>
  <c r="R512" i="16" s="1"/>
  <c r="S513" i="16" s="1"/>
  <c r="T514" i="16" s="1"/>
  <c r="P511" i="16"/>
  <c r="M116" i="3"/>
  <c r="C115" i="4"/>
  <c r="AC115" i="3"/>
  <c r="AD115" i="3" s="1"/>
  <c r="I466" i="3"/>
  <c r="D466" i="4" s="1"/>
  <c r="E466" i="4"/>
  <c r="F466" i="4" s="1"/>
  <c r="E468" i="3"/>
  <c r="R467" i="3"/>
  <c r="J467" i="3"/>
  <c r="D467" i="3"/>
  <c r="H467" i="3" s="1"/>
  <c r="S466" i="3"/>
  <c r="T466" i="3" s="1"/>
  <c r="U466" i="3"/>
  <c r="K466" i="3"/>
  <c r="L466" i="3" s="1"/>
  <c r="F470" i="3"/>
  <c r="P512" i="16" l="1"/>
  <c r="Q512" i="16"/>
  <c r="R513" i="16" s="1"/>
  <c r="S514" i="16" s="1"/>
  <c r="T515" i="16" s="1"/>
  <c r="E511" i="16"/>
  <c r="F512" i="16" s="1"/>
  <c r="G513" i="16" s="1"/>
  <c r="H514" i="16" s="1"/>
  <c r="I515" i="16" s="1"/>
  <c r="J516" i="16" s="1"/>
  <c r="K517" i="16" s="1"/>
  <c r="L518" i="16" s="1"/>
  <c r="D511" i="16"/>
  <c r="I467" i="3"/>
  <c r="D467" i="4" s="1"/>
  <c r="E467" i="4"/>
  <c r="F467" i="4" s="1"/>
  <c r="E469" i="3"/>
  <c r="R468" i="3"/>
  <c r="J468" i="3"/>
  <c r="D468" i="3"/>
  <c r="H468" i="3" s="1"/>
  <c r="U467" i="3"/>
  <c r="S467" i="3"/>
  <c r="T467" i="3" s="1"/>
  <c r="F471" i="3"/>
  <c r="K467" i="3"/>
  <c r="L467" i="3" s="1"/>
  <c r="G115" i="4"/>
  <c r="I115" i="4" s="1"/>
  <c r="J115" i="4" s="1"/>
  <c r="H115" i="4"/>
  <c r="AI116" i="3"/>
  <c r="N116" i="3"/>
  <c r="O116" i="3"/>
  <c r="E512" i="16" l="1"/>
  <c r="F513" i="16" s="1"/>
  <c r="G514" i="16" s="1"/>
  <c r="H515" i="16" s="1"/>
  <c r="I516" i="16" s="1"/>
  <c r="J517" i="16" s="1"/>
  <c r="K518" i="16" s="1"/>
  <c r="L519" i="16" s="1"/>
  <c r="D512" i="16"/>
  <c r="P513" i="16"/>
  <c r="Q513" i="16"/>
  <c r="R514" i="16" s="1"/>
  <c r="S515" i="16" s="1"/>
  <c r="T516" i="16" s="1"/>
  <c r="P116" i="3"/>
  <c r="Q116" i="3" s="1"/>
  <c r="L116" i="4" s="1"/>
  <c r="E468" i="4"/>
  <c r="F468" i="4" s="1"/>
  <c r="I468" i="3"/>
  <c r="D468" i="4" s="1"/>
  <c r="S468" i="3"/>
  <c r="T468" i="3" s="1"/>
  <c r="U468" i="3"/>
  <c r="E470" i="3"/>
  <c r="J469" i="3"/>
  <c r="R469" i="3"/>
  <c r="D469" i="3"/>
  <c r="H469" i="3" s="1"/>
  <c r="F472" i="3"/>
  <c r="K468" i="3"/>
  <c r="L468" i="3" s="1"/>
  <c r="M115" i="4"/>
  <c r="K115" i="4"/>
  <c r="Q514" i="16" l="1"/>
  <c r="R515" i="16" s="1"/>
  <c r="S516" i="16" s="1"/>
  <c r="T517" i="16" s="1"/>
  <c r="P514" i="16"/>
  <c r="E513" i="16"/>
  <c r="F514" i="16" s="1"/>
  <c r="G515" i="16" s="1"/>
  <c r="H516" i="16" s="1"/>
  <c r="I517" i="16" s="1"/>
  <c r="J518" i="16" s="1"/>
  <c r="K519" i="16" s="1"/>
  <c r="L520" i="16" s="1"/>
  <c r="D513" i="16"/>
  <c r="V116" i="3"/>
  <c r="W116" i="3" s="1"/>
  <c r="X116" i="3" s="1"/>
  <c r="Y116" i="3" s="1"/>
  <c r="Z116" i="3" s="1"/>
  <c r="AA116" i="3" s="1"/>
  <c r="AB116" i="3" s="1"/>
  <c r="F473" i="3"/>
  <c r="U469" i="3"/>
  <c r="S469" i="3"/>
  <c r="T469" i="3" s="1"/>
  <c r="E469" i="4"/>
  <c r="F469" i="4" s="1"/>
  <c r="I469" i="3"/>
  <c r="D469" i="4" s="1"/>
  <c r="E471" i="3"/>
  <c r="R470" i="3"/>
  <c r="D470" i="3"/>
  <c r="H470" i="3" s="1"/>
  <c r="J470" i="3"/>
  <c r="K469" i="3"/>
  <c r="L469" i="3" s="1"/>
  <c r="D514" i="16" l="1"/>
  <c r="E514" i="16"/>
  <c r="F515" i="16" s="1"/>
  <c r="G516" i="16" s="1"/>
  <c r="H517" i="16" s="1"/>
  <c r="I518" i="16" s="1"/>
  <c r="J519" i="16" s="1"/>
  <c r="K520" i="16" s="1"/>
  <c r="L521" i="16" s="1"/>
  <c r="P515" i="16"/>
  <c r="Q515" i="16"/>
  <c r="R516" i="16" s="1"/>
  <c r="S517" i="16" s="1"/>
  <c r="T518" i="16" s="1"/>
  <c r="K470" i="3"/>
  <c r="L470" i="3" s="1"/>
  <c r="M117" i="3"/>
  <c r="AC116" i="3"/>
  <c r="AD116" i="3" s="1"/>
  <c r="C116" i="4"/>
  <c r="U470" i="3"/>
  <c r="S470" i="3"/>
  <c r="T470" i="3" s="1"/>
  <c r="I470" i="3"/>
  <c r="D470" i="4" s="1"/>
  <c r="E470" i="4"/>
  <c r="F470" i="4" s="1"/>
  <c r="E472" i="3"/>
  <c r="D471" i="3"/>
  <c r="H471" i="3" s="1"/>
  <c r="J471" i="3"/>
  <c r="R471" i="3"/>
  <c r="F474" i="3"/>
  <c r="Q516" i="16" l="1"/>
  <c r="R517" i="16" s="1"/>
  <c r="S518" i="16" s="1"/>
  <c r="T519" i="16" s="1"/>
  <c r="P516" i="16"/>
  <c r="D515" i="16"/>
  <c r="E515" i="16"/>
  <c r="F516" i="16" s="1"/>
  <c r="G517" i="16" s="1"/>
  <c r="H518" i="16" s="1"/>
  <c r="I519" i="16" s="1"/>
  <c r="J520" i="16" s="1"/>
  <c r="K521" i="16" s="1"/>
  <c r="L522" i="16" s="1"/>
  <c r="K471" i="3"/>
  <c r="L471" i="3" s="1"/>
  <c r="F475" i="3"/>
  <c r="E471" i="4"/>
  <c r="F471" i="4" s="1"/>
  <c r="I471" i="3"/>
  <c r="D471" i="4" s="1"/>
  <c r="E473" i="3"/>
  <c r="R472" i="3"/>
  <c r="J472" i="3"/>
  <c r="D472" i="3"/>
  <c r="H472" i="3" s="1"/>
  <c r="S471" i="3"/>
  <c r="T471" i="3" s="1"/>
  <c r="U471" i="3"/>
  <c r="G116" i="4"/>
  <c r="I116" i="4" s="1"/>
  <c r="J116" i="4" s="1"/>
  <c r="H116" i="4"/>
  <c r="N117" i="3"/>
  <c r="O117" i="3"/>
  <c r="AI117" i="3"/>
  <c r="D516" i="16" l="1"/>
  <c r="E516" i="16"/>
  <c r="F517" i="16" s="1"/>
  <c r="G518" i="16" s="1"/>
  <c r="H519" i="16" s="1"/>
  <c r="I520" i="16" s="1"/>
  <c r="J521" i="16" s="1"/>
  <c r="K522" i="16" s="1"/>
  <c r="L523" i="16" s="1"/>
  <c r="Q517" i="16"/>
  <c r="R518" i="16" s="1"/>
  <c r="S519" i="16" s="1"/>
  <c r="T520" i="16" s="1"/>
  <c r="P517" i="16"/>
  <c r="S472" i="3"/>
  <c r="T472" i="3" s="1"/>
  <c r="U472" i="3"/>
  <c r="K116" i="4"/>
  <c r="M116" i="4"/>
  <c r="K472" i="3"/>
  <c r="L472" i="3" s="1"/>
  <c r="P117" i="3"/>
  <c r="Q117" i="3" s="1"/>
  <c r="F476" i="3"/>
  <c r="E472" i="4"/>
  <c r="F472" i="4" s="1"/>
  <c r="I472" i="3"/>
  <c r="D472" i="4" s="1"/>
  <c r="E474" i="3"/>
  <c r="R473" i="3"/>
  <c r="J473" i="3"/>
  <c r="D473" i="3"/>
  <c r="H473" i="3" s="1"/>
  <c r="Q518" i="16" l="1"/>
  <c r="R519" i="16" s="1"/>
  <c r="S520" i="16" s="1"/>
  <c r="T521" i="16" s="1"/>
  <c r="P518" i="16"/>
  <c r="E517" i="16"/>
  <c r="F518" i="16" s="1"/>
  <c r="G519" i="16" s="1"/>
  <c r="H520" i="16" s="1"/>
  <c r="I521" i="16" s="1"/>
  <c r="J522" i="16" s="1"/>
  <c r="K523" i="16" s="1"/>
  <c r="L524" i="16" s="1"/>
  <c r="D517" i="16"/>
  <c r="U473" i="3"/>
  <c r="S473" i="3"/>
  <c r="T473" i="3" s="1"/>
  <c r="L117" i="4"/>
  <c r="V117" i="3"/>
  <c r="F477" i="3"/>
  <c r="E473" i="4"/>
  <c r="F473" i="4" s="1"/>
  <c r="I473" i="3"/>
  <c r="D473" i="4" s="1"/>
  <c r="E475" i="3"/>
  <c r="D474" i="3"/>
  <c r="H474" i="3" s="1"/>
  <c r="J474" i="3"/>
  <c r="R474" i="3"/>
  <c r="K473" i="3"/>
  <c r="L473" i="3" s="1"/>
  <c r="D518" i="16" l="1"/>
  <c r="E518" i="16"/>
  <c r="F519" i="16" s="1"/>
  <c r="G520" i="16" s="1"/>
  <c r="H521" i="16" s="1"/>
  <c r="I522" i="16" s="1"/>
  <c r="J523" i="16" s="1"/>
  <c r="K524" i="16" s="1"/>
  <c r="L525" i="16" s="1"/>
  <c r="P519" i="16"/>
  <c r="Q519" i="16"/>
  <c r="R520" i="16" s="1"/>
  <c r="S521" i="16" s="1"/>
  <c r="T522" i="16" s="1"/>
  <c r="K474" i="3"/>
  <c r="L474" i="3" s="1"/>
  <c r="S474" i="3"/>
  <c r="T474" i="3" s="1"/>
  <c r="U474" i="3"/>
  <c r="F478" i="3"/>
  <c r="E476" i="3"/>
  <c r="J475" i="3"/>
  <c r="D475" i="3"/>
  <c r="H475" i="3" s="1"/>
  <c r="R475" i="3"/>
  <c r="W117" i="3"/>
  <c r="X117" i="3" s="1"/>
  <c r="Y117" i="3" s="1"/>
  <c r="Z117" i="3" s="1"/>
  <c r="AA117" i="3" s="1"/>
  <c r="AB117" i="3" s="1"/>
  <c r="I474" i="3"/>
  <c r="D474" i="4" s="1"/>
  <c r="E474" i="4"/>
  <c r="F474" i="4" s="1"/>
  <c r="P520" i="16" l="1"/>
  <c r="Q520" i="16"/>
  <c r="R521" i="16" s="1"/>
  <c r="S522" i="16" s="1"/>
  <c r="T523" i="16" s="1"/>
  <c r="D519" i="16"/>
  <c r="E519" i="16"/>
  <c r="F520" i="16" s="1"/>
  <c r="G521" i="16" s="1"/>
  <c r="H522" i="16" s="1"/>
  <c r="I523" i="16" s="1"/>
  <c r="J524" i="16" s="1"/>
  <c r="K525" i="16" s="1"/>
  <c r="L526" i="16" s="1"/>
  <c r="AC117" i="3"/>
  <c r="AD117" i="3" s="1"/>
  <c r="C117" i="4"/>
  <c r="M118" i="3"/>
  <c r="S475" i="3"/>
  <c r="T475" i="3" s="1"/>
  <c r="U475" i="3"/>
  <c r="E475" i="4"/>
  <c r="F475" i="4" s="1"/>
  <c r="I475" i="3"/>
  <c r="D475" i="4" s="1"/>
  <c r="E477" i="3"/>
  <c r="D476" i="3"/>
  <c r="H476" i="3" s="1"/>
  <c r="R476" i="3"/>
  <c r="J476" i="3"/>
  <c r="K475" i="3"/>
  <c r="L475" i="3" s="1"/>
  <c r="F479" i="3"/>
  <c r="D520" i="16" l="1"/>
  <c r="E520" i="16"/>
  <c r="F521" i="16" s="1"/>
  <c r="G522" i="16" s="1"/>
  <c r="H523" i="16" s="1"/>
  <c r="I524" i="16" s="1"/>
  <c r="J525" i="16" s="1"/>
  <c r="K526" i="16" s="1"/>
  <c r="L527" i="16" s="1"/>
  <c r="P521" i="16"/>
  <c r="Q521" i="16"/>
  <c r="R522" i="16" s="1"/>
  <c r="S523" i="16" s="1"/>
  <c r="T524" i="16" s="1"/>
  <c r="S476" i="3"/>
  <c r="T476" i="3" s="1"/>
  <c r="U476" i="3"/>
  <c r="E478" i="3"/>
  <c r="J477" i="3"/>
  <c r="R477" i="3"/>
  <c r="D477" i="3"/>
  <c r="H477" i="3" s="1"/>
  <c r="E476" i="4"/>
  <c r="F476" i="4" s="1"/>
  <c r="I476" i="3"/>
  <c r="D476" i="4" s="1"/>
  <c r="O118" i="3"/>
  <c r="N118" i="3"/>
  <c r="AI118" i="3"/>
  <c r="H117" i="4"/>
  <c r="G117" i="4"/>
  <c r="I117" i="4" s="1"/>
  <c r="J117" i="4" s="1"/>
  <c r="K476" i="3"/>
  <c r="L476" i="3" s="1"/>
  <c r="F480" i="3"/>
  <c r="P522" i="16" l="1"/>
  <c r="Q522" i="16"/>
  <c r="R523" i="16" s="1"/>
  <c r="S524" i="16" s="1"/>
  <c r="T525" i="16" s="1"/>
  <c r="E521" i="16"/>
  <c r="F522" i="16" s="1"/>
  <c r="G523" i="16" s="1"/>
  <c r="H524" i="16" s="1"/>
  <c r="I525" i="16" s="1"/>
  <c r="J526" i="16" s="1"/>
  <c r="K527" i="16" s="1"/>
  <c r="L528" i="16" s="1"/>
  <c r="D521" i="16"/>
  <c r="P118" i="3"/>
  <c r="Q118" i="3" s="1"/>
  <c r="L118" i="4" s="1"/>
  <c r="I477" i="3"/>
  <c r="D477" i="4" s="1"/>
  <c r="E477" i="4"/>
  <c r="F477" i="4" s="1"/>
  <c r="M117" i="4"/>
  <c r="K117" i="4"/>
  <c r="U477" i="3"/>
  <c r="S477" i="3"/>
  <c r="T477" i="3" s="1"/>
  <c r="F481" i="3"/>
  <c r="K477" i="3"/>
  <c r="L477" i="3" s="1"/>
  <c r="E479" i="3"/>
  <c r="R478" i="3"/>
  <c r="D478" i="3"/>
  <c r="H478" i="3" s="1"/>
  <c r="J478" i="3"/>
  <c r="V118" i="3" l="1"/>
  <c r="D522" i="16"/>
  <c r="E522" i="16"/>
  <c r="F523" i="16" s="1"/>
  <c r="G524" i="16" s="1"/>
  <c r="H525" i="16" s="1"/>
  <c r="I526" i="16" s="1"/>
  <c r="J527" i="16" s="1"/>
  <c r="K528" i="16" s="1"/>
  <c r="L529" i="16" s="1"/>
  <c r="P523" i="16"/>
  <c r="Q523" i="16"/>
  <c r="R524" i="16" s="1"/>
  <c r="S525" i="16" s="1"/>
  <c r="T526" i="16" s="1"/>
  <c r="S478" i="3"/>
  <c r="T478" i="3" s="1"/>
  <c r="U478" i="3"/>
  <c r="F482" i="3"/>
  <c r="W118" i="3"/>
  <c r="X118" i="3" s="1"/>
  <c r="Y118" i="3" s="1"/>
  <c r="Z118" i="3" s="1"/>
  <c r="AA118" i="3" s="1"/>
  <c r="AB118" i="3" s="1"/>
  <c r="K478" i="3"/>
  <c r="L478" i="3" s="1"/>
  <c r="E480" i="3"/>
  <c r="R479" i="3"/>
  <c r="D479" i="3"/>
  <c r="H479" i="3" s="1"/>
  <c r="J479" i="3"/>
  <c r="E478" i="4"/>
  <c r="F478" i="4" s="1"/>
  <c r="I478" i="3"/>
  <c r="D478" i="4" s="1"/>
  <c r="P524" i="16" l="1"/>
  <c r="Q524" i="16"/>
  <c r="R525" i="16" s="1"/>
  <c r="S526" i="16" s="1"/>
  <c r="T527" i="16" s="1"/>
  <c r="D523" i="16"/>
  <c r="E523" i="16"/>
  <c r="F524" i="16" s="1"/>
  <c r="G525" i="16" s="1"/>
  <c r="H526" i="16" s="1"/>
  <c r="I527" i="16" s="1"/>
  <c r="J528" i="16" s="1"/>
  <c r="K529" i="16" s="1"/>
  <c r="L530" i="16" s="1"/>
  <c r="K479" i="3"/>
  <c r="L479" i="3" s="1"/>
  <c r="AC118" i="3"/>
  <c r="AD118" i="3" s="1"/>
  <c r="C118" i="4"/>
  <c r="M119" i="3"/>
  <c r="S479" i="3"/>
  <c r="T479" i="3" s="1"/>
  <c r="U479" i="3"/>
  <c r="E481" i="3"/>
  <c r="D480" i="3"/>
  <c r="H480" i="3" s="1"/>
  <c r="R480" i="3"/>
  <c r="J480" i="3"/>
  <c r="F483" i="3"/>
  <c r="E479" i="4"/>
  <c r="F479" i="4" s="1"/>
  <c r="I479" i="3"/>
  <c r="D479" i="4" s="1"/>
  <c r="D524" i="16" l="1"/>
  <c r="E524" i="16"/>
  <c r="F525" i="16" s="1"/>
  <c r="G526" i="16" s="1"/>
  <c r="H527" i="16" s="1"/>
  <c r="I528" i="16" s="1"/>
  <c r="J529" i="16" s="1"/>
  <c r="K530" i="16" s="1"/>
  <c r="L531" i="16" s="1"/>
  <c r="Q525" i="16"/>
  <c r="R526" i="16" s="1"/>
  <c r="S527" i="16" s="1"/>
  <c r="T528" i="16" s="1"/>
  <c r="P525" i="16"/>
  <c r="K480" i="3"/>
  <c r="L480" i="3" s="1"/>
  <c r="E482" i="3"/>
  <c r="R481" i="3"/>
  <c r="J481" i="3"/>
  <c r="D481" i="3"/>
  <c r="H481" i="3" s="1"/>
  <c r="F484" i="3"/>
  <c r="U480" i="3"/>
  <c r="S480" i="3"/>
  <c r="T480" i="3" s="1"/>
  <c r="G118" i="4"/>
  <c r="I118" i="4" s="1"/>
  <c r="J118" i="4" s="1"/>
  <c r="H118" i="4"/>
  <c r="I480" i="3"/>
  <c r="D480" i="4" s="1"/>
  <c r="E480" i="4"/>
  <c r="F480" i="4" s="1"/>
  <c r="O119" i="3"/>
  <c r="N119" i="3"/>
  <c r="AI119" i="3"/>
  <c r="Q526" i="16" l="1"/>
  <c r="R527" i="16" s="1"/>
  <c r="S528" i="16" s="1"/>
  <c r="T529" i="16" s="1"/>
  <c r="P526" i="16"/>
  <c r="E525" i="16"/>
  <c r="F526" i="16" s="1"/>
  <c r="G527" i="16" s="1"/>
  <c r="H528" i="16" s="1"/>
  <c r="I529" i="16" s="1"/>
  <c r="J530" i="16" s="1"/>
  <c r="K531" i="16" s="1"/>
  <c r="L532" i="16" s="1"/>
  <c r="D525" i="16"/>
  <c r="P119" i="3"/>
  <c r="Q119" i="3" s="1"/>
  <c r="L119" i="4" s="1"/>
  <c r="M118" i="4"/>
  <c r="K118" i="4"/>
  <c r="F485" i="3"/>
  <c r="K481" i="3"/>
  <c r="L481" i="3" s="1"/>
  <c r="S481" i="3"/>
  <c r="T481" i="3" s="1"/>
  <c r="U481" i="3"/>
  <c r="E483" i="3"/>
  <c r="J482" i="3"/>
  <c r="D482" i="3"/>
  <c r="H482" i="3" s="1"/>
  <c r="R482" i="3"/>
  <c r="E481" i="4"/>
  <c r="F481" i="4" s="1"/>
  <c r="I481" i="3"/>
  <c r="D481" i="4" s="1"/>
  <c r="V119" i="3" l="1"/>
  <c r="W119" i="3" s="1"/>
  <c r="X119" i="3" s="1"/>
  <c r="Y119" i="3" s="1"/>
  <c r="Z119" i="3" s="1"/>
  <c r="AA119" i="3" s="1"/>
  <c r="AB119" i="3" s="1"/>
  <c r="D526" i="16"/>
  <c r="E526" i="16"/>
  <c r="F527" i="16" s="1"/>
  <c r="G528" i="16" s="1"/>
  <c r="H529" i="16" s="1"/>
  <c r="I530" i="16" s="1"/>
  <c r="J531" i="16" s="1"/>
  <c r="K532" i="16" s="1"/>
  <c r="L533" i="16" s="1"/>
  <c r="P527" i="16"/>
  <c r="Q527" i="16"/>
  <c r="R528" i="16" s="1"/>
  <c r="S529" i="16" s="1"/>
  <c r="T530" i="16" s="1"/>
  <c r="K482" i="3"/>
  <c r="L482" i="3" s="1"/>
  <c r="I482" i="3"/>
  <c r="D482" i="4" s="1"/>
  <c r="E482" i="4"/>
  <c r="F482" i="4" s="1"/>
  <c r="E484" i="3"/>
  <c r="D483" i="3"/>
  <c r="H483" i="3" s="1"/>
  <c r="J483" i="3"/>
  <c r="R483" i="3"/>
  <c r="S482" i="3"/>
  <c r="T482" i="3" s="1"/>
  <c r="U482" i="3"/>
  <c r="F486" i="3"/>
  <c r="P528" i="16" l="1"/>
  <c r="Q528" i="16"/>
  <c r="R529" i="16" s="1"/>
  <c r="S530" i="16" s="1"/>
  <c r="T531" i="16" s="1"/>
  <c r="D527" i="16"/>
  <c r="E527" i="16"/>
  <c r="F528" i="16" s="1"/>
  <c r="G529" i="16" s="1"/>
  <c r="H530" i="16" s="1"/>
  <c r="I531" i="16" s="1"/>
  <c r="J532" i="16" s="1"/>
  <c r="K533" i="16" s="1"/>
  <c r="L534" i="16" s="1"/>
  <c r="K483" i="3"/>
  <c r="L483" i="3" s="1"/>
  <c r="S483" i="3"/>
  <c r="T483" i="3" s="1"/>
  <c r="U483" i="3"/>
  <c r="E485" i="3"/>
  <c r="D484" i="3"/>
  <c r="H484" i="3" s="1"/>
  <c r="R484" i="3"/>
  <c r="J484" i="3"/>
  <c r="F487" i="3"/>
  <c r="E483" i="4"/>
  <c r="F483" i="4" s="1"/>
  <c r="I483" i="3"/>
  <c r="D483" i="4" s="1"/>
  <c r="C119" i="4"/>
  <c r="M120" i="3"/>
  <c r="AC119" i="3"/>
  <c r="AD119" i="3" s="1"/>
  <c r="D528" i="16" l="1"/>
  <c r="E528" i="16"/>
  <c r="F529" i="16" s="1"/>
  <c r="G530" i="16" s="1"/>
  <c r="H531" i="16" s="1"/>
  <c r="I532" i="16" s="1"/>
  <c r="J533" i="16" s="1"/>
  <c r="K534" i="16" s="1"/>
  <c r="L535" i="16" s="1"/>
  <c r="P529" i="16"/>
  <c r="Q529" i="16"/>
  <c r="R530" i="16" s="1"/>
  <c r="S531" i="16" s="1"/>
  <c r="T532" i="16" s="1"/>
  <c r="K484" i="3"/>
  <c r="L484" i="3" s="1"/>
  <c r="AI120" i="3"/>
  <c r="N120" i="3"/>
  <c r="O120" i="3"/>
  <c r="F488" i="3"/>
  <c r="U484" i="3"/>
  <c r="S484" i="3"/>
  <c r="T484" i="3" s="1"/>
  <c r="H119" i="4"/>
  <c r="G119" i="4"/>
  <c r="I119" i="4" s="1"/>
  <c r="J119" i="4" s="1"/>
  <c r="I484" i="3"/>
  <c r="D484" i="4" s="1"/>
  <c r="E484" i="4"/>
  <c r="F484" i="4" s="1"/>
  <c r="E486" i="3"/>
  <c r="R485" i="3"/>
  <c r="J485" i="3"/>
  <c r="D485" i="3"/>
  <c r="H485" i="3" s="1"/>
  <c r="Q530" i="16" l="1"/>
  <c r="R531" i="16" s="1"/>
  <c r="S532" i="16" s="1"/>
  <c r="T533" i="16" s="1"/>
  <c r="P530" i="16"/>
  <c r="E529" i="16"/>
  <c r="F530" i="16" s="1"/>
  <c r="G531" i="16" s="1"/>
  <c r="H532" i="16" s="1"/>
  <c r="I533" i="16" s="1"/>
  <c r="J534" i="16" s="1"/>
  <c r="K535" i="16" s="1"/>
  <c r="L536" i="16" s="1"/>
  <c r="D529" i="16"/>
  <c r="E487" i="3"/>
  <c r="J486" i="3"/>
  <c r="D486" i="3"/>
  <c r="H486" i="3" s="1"/>
  <c r="R486" i="3"/>
  <c r="K119" i="4"/>
  <c r="M119" i="4"/>
  <c r="F489" i="3"/>
  <c r="K485" i="3"/>
  <c r="L485" i="3" s="1"/>
  <c r="P120" i="3"/>
  <c r="Q120" i="3" s="1"/>
  <c r="E485" i="4"/>
  <c r="F485" i="4" s="1"/>
  <c r="I485" i="3"/>
  <c r="D485" i="4" s="1"/>
  <c r="S485" i="3"/>
  <c r="T485" i="3" s="1"/>
  <c r="U485" i="3"/>
  <c r="D530" i="16" l="1"/>
  <c r="E530" i="16"/>
  <c r="F531" i="16" s="1"/>
  <c r="G532" i="16" s="1"/>
  <c r="H533" i="16" s="1"/>
  <c r="I534" i="16" s="1"/>
  <c r="J535" i="16" s="1"/>
  <c r="K536" i="16" s="1"/>
  <c r="L537" i="16" s="1"/>
  <c r="Q531" i="16"/>
  <c r="R532" i="16" s="1"/>
  <c r="S533" i="16" s="1"/>
  <c r="T534" i="16" s="1"/>
  <c r="P531" i="16"/>
  <c r="F490" i="3"/>
  <c r="S486" i="3"/>
  <c r="T486" i="3" s="1"/>
  <c r="U486" i="3"/>
  <c r="K486" i="3"/>
  <c r="L486" i="3" s="1"/>
  <c r="L120" i="4"/>
  <c r="V120" i="3"/>
  <c r="E486" i="4"/>
  <c r="F486" i="4" s="1"/>
  <c r="I486" i="3"/>
  <c r="D486" i="4" s="1"/>
  <c r="E488" i="3"/>
  <c r="D487" i="3"/>
  <c r="H487" i="3" s="1"/>
  <c r="R487" i="3"/>
  <c r="J487" i="3"/>
  <c r="Q532" i="16" l="1"/>
  <c r="R533" i="16" s="1"/>
  <c r="S534" i="16" s="1"/>
  <c r="T535" i="16" s="1"/>
  <c r="P532" i="16"/>
  <c r="D531" i="16"/>
  <c r="E531" i="16"/>
  <c r="F532" i="16" s="1"/>
  <c r="G533" i="16" s="1"/>
  <c r="H534" i="16" s="1"/>
  <c r="I535" i="16" s="1"/>
  <c r="J536" i="16" s="1"/>
  <c r="K537" i="16" s="1"/>
  <c r="L538" i="16" s="1"/>
  <c r="I487" i="3"/>
  <c r="D487" i="4" s="1"/>
  <c r="E487" i="4"/>
  <c r="F487" i="4" s="1"/>
  <c r="F491" i="3"/>
  <c r="S487" i="3"/>
  <c r="T487" i="3" s="1"/>
  <c r="U487" i="3"/>
  <c r="E489" i="3"/>
  <c r="D488" i="3"/>
  <c r="H488" i="3" s="1"/>
  <c r="J488" i="3"/>
  <c r="R488" i="3"/>
  <c r="W120" i="3"/>
  <c r="X120" i="3" s="1"/>
  <c r="Y120" i="3" s="1"/>
  <c r="Z120" i="3" s="1"/>
  <c r="AA120" i="3" s="1"/>
  <c r="AB120" i="3" s="1"/>
  <c r="K487" i="3"/>
  <c r="L487" i="3" s="1"/>
  <c r="E532" i="16" l="1"/>
  <c r="F533" i="16" s="1"/>
  <c r="G534" i="16" s="1"/>
  <c r="H535" i="16" s="1"/>
  <c r="I536" i="16" s="1"/>
  <c r="J537" i="16" s="1"/>
  <c r="K538" i="16" s="1"/>
  <c r="L539" i="16" s="1"/>
  <c r="D532" i="16"/>
  <c r="Q533" i="16"/>
  <c r="R534" i="16" s="1"/>
  <c r="S535" i="16" s="1"/>
  <c r="T536" i="16" s="1"/>
  <c r="P533" i="16"/>
  <c r="K488" i="3"/>
  <c r="L488" i="3" s="1"/>
  <c r="AC120" i="3"/>
  <c r="AD120" i="3" s="1"/>
  <c r="M121" i="3"/>
  <c r="C120" i="4"/>
  <c r="S488" i="3"/>
  <c r="T488" i="3" s="1"/>
  <c r="U488" i="3"/>
  <c r="I488" i="3"/>
  <c r="D488" i="4" s="1"/>
  <c r="E488" i="4"/>
  <c r="F488" i="4" s="1"/>
  <c r="E490" i="3"/>
  <c r="J489" i="3"/>
  <c r="R489" i="3"/>
  <c r="D489" i="3"/>
  <c r="H489" i="3" s="1"/>
  <c r="F492" i="3"/>
  <c r="Q534" i="16" l="1"/>
  <c r="R535" i="16" s="1"/>
  <c r="S536" i="16" s="1"/>
  <c r="T537" i="16" s="1"/>
  <c r="P534" i="16"/>
  <c r="E533" i="16"/>
  <c r="F534" i="16" s="1"/>
  <c r="G535" i="16" s="1"/>
  <c r="H536" i="16" s="1"/>
  <c r="I537" i="16" s="1"/>
  <c r="J538" i="16" s="1"/>
  <c r="K539" i="16" s="1"/>
  <c r="L540" i="16" s="1"/>
  <c r="D533" i="16"/>
  <c r="I489" i="3"/>
  <c r="D489" i="4" s="1"/>
  <c r="E489" i="4"/>
  <c r="F489" i="4" s="1"/>
  <c r="E491" i="3"/>
  <c r="J490" i="3"/>
  <c r="D490" i="3"/>
  <c r="H490" i="3" s="1"/>
  <c r="R490" i="3"/>
  <c r="S489" i="3"/>
  <c r="T489" i="3" s="1"/>
  <c r="U489" i="3"/>
  <c r="H120" i="4"/>
  <c r="G120" i="4"/>
  <c r="I120" i="4" s="1"/>
  <c r="J120" i="4" s="1"/>
  <c r="AI121" i="3"/>
  <c r="N121" i="3"/>
  <c r="O121" i="3"/>
  <c r="F493" i="3"/>
  <c r="K489" i="3"/>
  <c r="L489" i="3" s="1"/>
  <c r="P535" i="16" l="1"/>
  <c r="Q535" i="16"/>
  <c r="R536" i="16" s="1"/>
  <c r="S537" i="16" s="1"/>
  <c r="T538" i="16" s="1"/>
  <c r="D534" i="16"/>
  <c r="E534" i="16"/>
  <c r="F535" i="16" s="1"/>
  <c r="G536" i="16" s="1"/>
  <c r="H537" i="16" s="1"/>
  <c r="I538" i="16" s="1"/>
  <c r="J539" i="16" s="1"/>
  <c r="K540" i="16" s="1"/>
  <c r="L541" i="16" s="1"/>
  <c r="P121" i="3"/>
  <c r="Q121" i="3" s="1"/>
  <c r="S490" i="3"/>
  <c r="T490" i="3" s="1"/>
  <c r="U490" i="3"/>
  <c r="M120" i="4"/>
  <c r="K120" i="4"/>
  <c r="K490" i="3"/>
  <c r="L490" i="3" s="1"/>
  <c r="F494" i="3"/>
  <c r="I490" i="3"/>
  <c r="D490" i="4" s="1"/>
  <c r="E490" i="4"/>
  <c r="F490" i="4" s="1"/>
  <c r="E492" i="3"/>
  <c r="R491" i="3"/>
  <c r="D491" i="3"/>
  <c r="H491" i="3" s="1"/>
  <c r="J491" i="3"/>
  <c r="D535" i="16" l="1"/>
  <c r="E535" i="16"/>
  <c r="F536" i="16" s="1"/>
  <c r="G537" i="16" s="1"/>
  <c r="H538" i="16" s="1"/>
  <c r="I539" i="16" s="1"/>
  <c r="J540" i="16" s="1"/>
  <c r="K541" i="16" s="1"/>
  <c r="L542" i="16" s="1"/>
  <c r="P536" i="16"/>
  <c r="Q536" i="16"/>
  <c r="R537" i="16" s="1"/>
  <c r="S538" i="16" s="1"/>
  <c r="T539" i="16" s="1"/>
  <c r="K491" i="3"/>
  <c r="L491" i="3" s="1"/>
  <c r="F495" i="3"/>
  <c r="E493" i="3"/>
  <c r="D492" i="3"/>
  <c r="H492" i="3" s="1"/>
  <c r="J492" i="3"/>
  <c r="R492" i="3"/>
  <c r="E491" i="4"/>
  <c r="F491" i="4" s="1"/>
  <c r="I491" i="3"/>
  <c r="D491" i="4" s="1"/>
  <c r="S491" i="3"/>
  <c r="T491" i="3" s="1"/>
  <c r="U491" i="3"/>
  <c r="L121" i="4"/>
  <c r="V121" i="3"/>
  <c r="P537" i="16" l="1"/>
  <c r="Q537" i="16"/>
  <c r="R538" i="16" s="1"/>
  <c r="S539" i="16" s="1"/>
  <c r="T540" i="16" s="1"/>
  <c r="D536" i="16"/>
  <c r="E536" i="16"/>
  <c r="F537" i="16" s="1"/>
  <c r="G538" i="16" s="1"/>
  <c r="H539" i="16" s="1"/>
  <c r="I540" i="16" s="1"/>
  <c r="J541" i="16" s="1"/>
  <c r="K542" i="16" s="1"/>
  <c r="L543" i="16" s="1"/>
  <c r="K492" i="3"/>
  <c r="L492" i="3" s="1"/>
  <c r="S492" i="3"/>
  <c r="T492" i="3" s="1"/>
  <c r="U492" i="3"/>
  <c r="E494" i="3"/>
  <c r="D493" i="3"/>
  <c r="H493" i="3" s="1"/>
  <c r="J493" i="3"/>
  <c r="R493" i="3"/>
  <c r="W121" i="3"/>
  <c r="X121" i="3" s="1"/>
  <c r="Y121" i="3" s="1"/>
  <c r="Z121" i="3" s="1"/>
  <c r="AA121" i="3" s="1"/>
  <c r="AB121" i="3" s="1"/>
  <c r="I492" i="3"/>
  <c r="D492" i="4" s="1"/>
  <c r="E492" i="4"/>
  <c r="F492" i="4" s="1"/>
  <c r="F496" i="3"/>
  <c r="E537" i="16" l="1"/>
  <c r="F538" i="16" s="1"/>
  <c r="G539" i="16" s="1"/>
  <c r="H540" i="16" s="1"/>
  <c r="I541" i="16" s="1"/>
  <c r="J542" i="16" s="1"/>
  <c r="K543" i="16" s="1"/>
  <c r="L544" i="16" s="1"/>
  <c r="D537" i="16"/>
  <c r="Q538" i="16"/>
  <c r="R539" i="16" s="1"/>
  <c r="S540" i="16" s="1"/>
  <c r="T541" i="16" s="1"/>
  <c r="P538" i="16"/>
  <c r="C121" i="4"/>
  <c r="M122" i="3"/>
  <c r="AC121" i="3"/>
  <c r="AD121" i="3" s="1"/>
  <c r="F497" i="3"/>
  <c r="U493" i="3"/>
  <c r="S493" i="3"/>
  <c r="T493" i="3" s="1"/>
  <c r="K493" i="3"/>
  <c r="L493" i="3" s="1"/>
  <c r="E495" i="3"/>
  <c r="D494" i="3"/>
  <c r="H494" i="3" s="1"/>
  <c r="R494" i="3"/>
  <c r="J494" i="3"/>
  <c r="I493" i="3"/>
  <c r="D493" i="4" s="1"/>
  <c r="E493" i="4"/>
  <c r="F493" i="4" s="1"/>
  <c r="P539" i="16" l="1"/>
  <c r="Q539" i="16"/>
  <c r="R540" i="16" s="1"/>
  <c r="S541" i="16" s="1"/>
  <c r="T542" i="16" s="1"/>
  <c r="D538" i="16"/>
  <c r="E538" i="16"/>
  <c r="F539" i="16" s="1"/>
  <c r="G540" i="16" s="1"/>
  <c r="H541" i="16" s="1"/>
  <c r="I542" i="16" s="1"/>
  <c r="J543" i="16" s="1"/>
  <c r="K544" i="16" s="1"/>
  <c r="L545" i="16" s="1"/>
  <c r="K494" i="3"/>
  <c r="L494" i="3" s="1"/>
  <c r="S494" i="3"/>
  <c r="T494" i="3" s="1"/>
  <c r="U494" i="3"/>
  <c r="F498" i="3"/>
  <c r="AI122" i="3"/>
  <c r="N122" i="3"/>
  <c r="O122" i="3"/>
  <c r="E494" i="4"/>
  <c r="F494" i="4" s="1"/>
  <c r="I494" i="3"/>
  <c r="D494" i="4" s="1"/>
  <c r="E496" i="3"/>
  <c r="R495" i="3"/>
  <c r="D495" i="3"/>
  <c r="H495" i="3" s="1"/>
  <c r="J495" i="3"/>
  <c r="G121" i="4"/>
  <c r="I121" i="4" s="1"/>
  <c r="J121" i="4" s="1"/>
  <c r="H121" i="4"/>
  <c r="D539" i="16" l="1"/>
  <c r="E539" i="16"/>
  <c r="F540" i="16" s="1"/>
  <c r="G541" i="16" s="1"/>
  <c r="H542" i="16" s="1"/>
  <c r="I543" i="16" s="1"/>
  <c r="J544" i="16" s="1"/>
  <c r="K545" i="16" s="1"/>
  <c r="L546" i="16" s="1"/>
  <c r="P540" i="16"/>
  <c r="Q540" i="16"/>
  <c r="R541" i="16" s="1"/>
  <c r="S542" i="16" s="1"/>
  <c r="T543" i="16" s="1"/>
  <c r="P122" i="3"/>
  <c r="Q122" i="3" s="1"/>
  <c r="L122" i="4" s="1"/>
  <c r="K495" i="3"/>
  <c r="L495" i="3" s="1"/>
  <c r="F499" i="3"/>
  <c r="E497" i="3"/>
  <c r="D496" i="3"/>
  <c r="H496" i="3" s="1"/>
  <c r="R496" i="3"/>
  <c r="J496" i="3"/>
  <c r="M121" i="4"/>
  <c r="K121" i="4"/>
  <c r="E495" i="4"/>
  <c r="F495" i="4" s="1"/>
  <c r="I495" i="3"/>
  <c r="D495" i="4" s="1"/>
  <c r="S495" i="3"/>
  <c r="T495" i="3" s="1"/>
  <c r="U495" i="3"/>
  <c r="P541" i="16" l="1"/>
  <c r="Q541" i="16"/>
  <c r="R542" i="16" s="1"/>
  <c r="S543" i="16" s="1"/>
  <c r="T544" i="16" s="1"/>
  <c r="V122" i="3"/>
  <c r="D540" i="16"/>
  <c r="E540" i="16"/>
  <c r="F541" i="16" s="1"/>
  <c r="G542" i="16" s="1"/>
  <c r="H543" i="16" s="1"/>
  <c r="I544" i="16" s="1"/>
  <c r="J545" i="16" s="1"/>
  <c r="K546" i="16" s="1"/>
  <c r="L547" i="16" s="1"/>
  <c r="K496" i="3"/>
  <c r="L496" i="3" s="1"/>
  <c r="E498" i="3"/>
  <c r="J497" i="3"/>
  <c r="D497" i="3"/>
  <c r="H497" i="3" s="1"/>
  <c r="R497" i="3"/>
  <c r="I496" i="3"/>
  <c r="D496" i="4" s="1"/>
  <c r="E496" i="4"/>
  <c r="F496" i="4" s="1"/>
  <c r="W122" i="3"/>
  <c r="X122" i="3" s="1"/>
  <c r="Y122" i="3" s="1"/>
  <c r="Z122" i="3" s="1"/>
  <c r="AA122" i="3" s="1"/>
  <c r="AB122" i="3" s="1"/>
  <c r="U496" i="3"/>
  <c r="S496" i="3"/>
  <c r="T496" i="3" s="1"/>
  <c r="F500" i="3"/>
  <c r="E541" i="16" l="1"/>
  <c r="F542" i="16" s="1"/>
  <c r="G543" i="16" s="1"/>
  <c r="H544" i="16" s="1"/>
  <c r="I545" i="16" s="1"/>
  <c r="J546" i="16" s="1"/>
  <c r="K547" i="16" s="1"/>
  <c r="L548" i="16" s="1"/>
  <c r="D541" i="16"/>
  <c r="Q542" i="16"/>
  <c r="R543" i="16" s="1"/>
  <c r="S544" i="16" s="1"/>
  <c r="T545" i="16" s="1"/>
  <c r="P542" i="16"/>
  <c r="M123" i="3"/>
  <c r="AC122" i="3"/>
  <c r="AD122" i="3" s="1"/>
  <c r="C122" i="4"/>
  <c r="F501" i="3"/>
  <c r="U497" i="3"/>
  <c r="S497" i="3"/>
  <c r="T497" i="3" s="1"/>
  <c r="I497" i="3"/>
  <c r="D497" i="4" s="1"/>
  <c r="E497" i="4"/>
  <c r="F497" i="4" s="1"/>
  <c r="K497" i="3"/>
  <c r="L497" i="3" s="1"/>
  <c r="E499" i="3"/>
  <c r="J498" i="3"/>
  <c r="R498" i="3"/>
  <c r="D498" i="3"/>
  <c r="H498" i="3" s="1"/>
  <c r="P543" i="16" l="1"/>
  <c r="Q543" i="16"/>
  <c r="R544" i="16" s="1"/>
  <c r="S545" i="16" s="1"/>
  <c r="T546" i="16" s="1"/>
  <c r="D542" i="16"/>
  <c r="E542" i="16"/>
  <c r="F543" i="16" s="1"/>
  <c r="G544" i="16" s="1"/>
  <c r="H545" i="16" s="1"/>
  <c r="I546" i="16" s="1"/>
  <c r="J547" i="16" s="1"/>
  <c r="K548" i="16" s="1"/>
  <c r="L549" i="16" s="1"/>
  <c r="K498" i="3"/>
  <c r="L498" i="3" s="1"/>
  <c r="U498" i="3"/>
  <c r="S498" i="3"/>
  <c r="T498" i="3" s="1"/>
  <c r="E500" i="3"/>
  <c r="D499" i="3"/>
  <c r="H499" i="3" s="1"/>
  <c r="R499" i="3"/>
  <c r="J499" i="3"/>
  <c r="F502" i="3"/>
  <c r="G122" i="4"/>
  <c r="I122" i="4" s="1"/>
  <c r="J122" i="4" s="1"/>
  <c r="H122" i="4"/>
  <c r="I498" i="3"/>
  <c r="D498" i="4" s="1"/>
  <c r="E498" i="4"/>
  <c r="F498" i="4" s="1"/>
  <c r="N123" i="3"/>
  <c r="O123" i="3"/>
  <c r="AI123" i="3"/>
  <c r="D543" i="16" l="1"/>
  <c r="E543" i="16"/>
  <c r="F544" i="16" s="1"/>
  <c r="G545" i="16" s="1"/>
  <c r="H546" i="16" s="1"/>
  <c r="I547" i="16" s="1"/>
  <c r="J548" i="16" s="1"/>
  <c r="K549" i="16" s="1"/>
  <c r="L550" i="16" s="1"/>
  <c r="P544" i="16"/>
  <c r="Q544" i="16"/>
  <c r="R545" i="16" s="1"/>
  <c r="S546" i="16" s="1"/>
  <c r="T547" i="16" s="1"/>
  <c r="P123" i="3"/>
  <c r="Q123" i="3" s="1"/>
  <c r="V123" i="3" s="1"/>
  <c r="K499" i="3"/>
  <c r="L499" i="3" s="1"/>
  <c r="F503" i="3"/>
  <c r="S499" i="3"/>
  <c r="T499" i="3" s="1"/>
  <c r="U499" i="3"/>
  <c r="I499" i="3"/>
  <c r="D499" i="4" s="1"/>
  <c r="E499" i="4"/>
  <c r="F499" i="4" s="1"/>
  <c r="K122" i="4"/>
  <c r="M122" i="4"/>
  <c r="E501" i="3"/>
  <c r="R500" i="3"/>
  <c r="J500" i="3"/>
  <c r="D500" i="3"/>
  <c r="H500" i="3" s="1"/>
  <c r="P545" i="16" l="1"/>
  <c r="Q545" i="16"/>
  <c r="R546" i="16" s="1"/>
  <c r="S547" i="16" s="1"/>
  <c r="T548" i="16" s="1"/>
  <c r="L123" i="4"/>
  <c r="E544" i="16"/>
  <c r="F545" i="16" s="1"/>
  <c r="G546" i="16" s="1"/>
  <c r="H547" i="16" s="1"/>
  <c r="I548" i="16" s="1"/>
  <c r="J549" i="16" s="1"/>
  <c r="K550" i="16" s="1"/>
  <c r="L551" i="16" s="1"/>
  <c r="D544" i="16"/>
  <c r="K500" i="3"/>
  <c r="L500" i="3" s="1"/>
  <c r="U500" i="3"/>
  <c r="S500" i="3"/>
  <c r="T500" i="3" s="1"/>
  <c r="F504" i="3"/>
  <c r="E502" i="3"/>
  <c r="J501" i="3"/>
  <c r="D501" i="3"/>
  <c r="H501" i="3" s="1"/>
  <c r="R501" i="3"/>
  <c r="W123" i="3"/>
  <c r="X123" i="3" s="1"/>
  <c r="Y123" i="3" s="1"/>
  <c r="Z123" i="3" s="1"/>
  <c r="AA123" i="3" s="1"/>
  <c r="AB123" i="3" s="1"/>
  <c r="E500" i="4"/>
  <c r="F500" i="4" s="1"/>
  <c r="I500" i="3"/>
  <c r="D500" i="4" s="1"/>
  <c r="E545" i="16" l="1"/>
  <c r="F546" i="16" s="1"/>
  <c r="G547" i="16" s="1"/>
  <c r="H548" i="16" s="1"/>
  <c r="I549" i="16" s="1"/>
  <c r="J550" i="16" s="1"/>
  <c r="K551" i="16" s="1"/>
  <c r="L552" i="16" s="1"/>
  <c r="D545" i="16"/>
  <c r="Q546" i="16"/>
  <c r="R547" i="16" s="1"/>
  <c r="S548" i="16" s="1"/>
  <c r="T549" i="16" s="1"/>
  <c r="P546" i="16"/>
  <c r="K501" i="3"/>
  <c r="L501" i="3" s="1"/>
  <c r="C123" i="4"/>
  <c r="AC123" i="3"/>
  <c r="AD123" i="3" s="1"/>
  <c r="M124" i="3"/>
  <c r="I501" i="3"/>
  <c r="D501" i="4" s="1"/>
  <c r="E501" i="4"/>
  <c r="F501" i="4" s="1"/>
  <c r="E503" i="3"/>
  <c r="D502" i="3"/>
  <c r="H502" i="3" s="1"/>
  <c r="J502" i="3"/>
  <c r="R502" i="3"/>
  <c r="S501" i="3"/>
  <c r="T501" i="3" s="1"/>
  <c r="U501" i="3"/>
  <c r="F505" i="3"/>
  <c r="P547" i="16" l="1"/>
  <c r="Q547" i="16"/>
  <c r="R548" i="16" s="1"/>
  <c r="S549" i="16" s="1"/>
  <c r="T550" i="16" s="1"/>
  <c r="D546" i="16"/>
  <c r="E546" i="16"/>
  <c r="F547" i="16" s="1"/>
  <c r="G548" i="16" s="1"/>
  <c r="H549" i="16" s="1"/>
  <c r="I550" i="16" s="1"/>
  <c r="J551" i="16" s="1"/>
  <c r="K552" i="16" s="1"/>
  <c r="L553" i="16" s="1"/>
  <c r="K502" i="3"/>
  <c r="L502" i="3" s="1"/>
  <c r="U502" i="3"/>
  <c r="S502" i="3"/>
  <c r="T502" i="3" s="1"/>
  <c r="E504" i="3"/>
  <c r="R503" i="3"/>
  <c r="J503" i="3"/>
  <c r="D503" i="3"/>
  <c r="H503" i="3" s="1"/>
  <c r="F506" i="3"/>
  <c r="E502" i="4"/>
  <c r="F502" i="4" s="1"/>
  <c r="I502" i="3"/>
  <c r="D502" i="4" s="1"/>
  <c r="AI124" i="3"/>
  <c r="N124" i="3"/>
  <c r="O124" i="3"/>
  <c r="H123" i="4"/>
  <c r="G123" i="4"/>
  <c r="I123" i="4" s="1"/>
  <c r="J123" i="4" s="1"/>
  <c r="D547" i="16" l="1"/>
  <c r="E547" i="16"/>
  <c r="F548" i="16" s="1"/>
  <c r="G549" i="16" s="1"/>
  <c r="H550" i="16" s="1"/>
  <c r="I551" i="16" s="1"/>
  <c r="J552" i="16" s="1"/>
  <c r="K553" i="16" s="1"/>
  <c r="L554" i="16" s="1"/>
  <c r="P548" i="16"/>
  <c r="Q548" i="16"/>
  <c r="R549" i="16" s="1"/>
  <c r="S550" i="16" s="1"/>
  <c r="T551" i="16" s="1"/>
  <c r="P124" i="3"/>
  <c r="Q124" i="3" s="1"/>
  <c r="L124" i="4" s="1"/>
  <c r="I503" i="3"/>
  <c r="D503" i="4" s="1"/>
  <c r="E503" i="4"/>
  <c r="F503" i="4" s="1"/>
  <c r="E505" i="3"/>
  <c r="J504" i="3"/>
  <c r="D504" i="3"/>
  <c r="H504" i="3" s="1"/>
  <c r="R504" i="3"/>
  <c r="F507" i="3"/>
  <c r="K503" i="3"/>
  <c r="L503" i="3" s="1"/>
  <c r="U503" i="3"/>
  <c r="S503" i="3"/>
  <c r="T503" i="3" s="1"/>
  <c r="K123" i="4"/>
  <c r="M123" i="4"/>
  <c r="P549" i="16" l="1"/>
  <c r="Q549" i="16"/>
  <c r="R550" i="16" s="1"/>
  <c r="S551" i="16" s="1"/>
  <c r="T552" i="16" s="1"/>
  <c r="D548" i="16"/>
  <c r="E548" i="16"/>
  <c r="F549" i="16" s="1"/>
  <c r="G550" i="16" s="1"/>
  <c r="H551" i="16" s="1"/>
  <c r="I552" i="16" s="1"/>
  <c r="J553" i="16" s="1"/>
  <c r="K554" i="16" s="1"/>
  <c r="L555" i="16" s="1"/>
  <c r="V124" i="3"/>
  <c r="W124" i="3" s="1"/>
  <c r="X124" i="3" s="1"/>
  <c r="Y124" i="3" s="1"/>
  <c r="Z124" i="3" s="1"/>
  <c r="AA124" i="3" s="1"/>
  <c r="AB124" i="3" s="1"/>
  <c r="K504" i="3"/>
  <c r="L504" i="3" s="1"/>
  <c r="I504" i="3"/>
  <c r="D504" i="4" s="1"/>
  <c r="E504" i="4"/>
  <c r="F504" i="4" s="1"/>
  <c r="F508" i="3"/>
  <c r="U504" i="3"/>
  <c r="S504" i="3"/>
  <c r="T504" i="3" s="1"/>
  <c r="E506" i="3"/>
  <c r="D505" i="3"/>
  <c r="H505" i="3" s="1"/>
  <c r="R505" i="3"/>
  <c r="J505" i="3"/>
  <c r="D549" i="16" l="1"/>
  <c r="E549" i="16"/>
  <c r="F550" i="16" s="1"/>
  <c r="G551" i="16" s="1"/>
  <c r="H552" i="16" s="1"/>
  <c r="I553" i="16" s="1"/>
  <c r="J554" i="16" s="1"/>
  <c r="K555" i="16" s="1"/>
  <c r="L556" i="16" s="1"/>
  <c r="Q550" i="16"/>
  <c r="R551" i="16" s="1"/>
  <c r="S552" i="16" s="1"/>
  <c r="T553" i="16" s="1"/>
  <c r="P550" i="16"/>
  <c r="K505" i="3"/>
  <c r="L505" i="3" s="1"/>
  <c r="E505" i="4"/>
  <c r="F505" i="4" s="1"/>
  <c r="I505" i="3"/>
  <c r="D505" i="4" s="1"/>
  <c r="U505" i="3"/>
  <c r="S505" i="3"/>
  <c r="T505" i="3" s="1"/>
  <c r="E507" i="3"/>
  <c r="D506" i="3"/>
  <c r="H506" i="3" s="1"/>
  <c r="J506" i="3"/>
  <c r="R506" i="3"/>
  <c r="F509" i="3"/>
  <c r="AC124" i="3"/>
  <c r="AD124" i="3" s="1"/>
  <c r="M125" i="3"/>
  <c r="C124" i="4"/>
  <c r="P551" i="16" l="1"/>
  <c r="Q551" i="16"/>
  <c r="R552" i="16" s="1"/>
  <c r="S553" i="16" s="1"/>
  <c r="T554" i="16" s="1"/>
  <c r="D550" i="16"/>
  <c r="E550" i="16"/>
  <c r="F551" i="16" s="1"/>
  <c r="G552" i="16" s="1"/>
  <c r="H553" i="16" s="1"/>
  <c r="I554" i="16" s="1"/>
  <c r="J555" i="16" s="1"/>
  <c r="K556" i="16" s="1"/>
  <c r="L557" i="16" s="1"/>
  <c r="E506" i="4"/>
  <c r="F506" i="4" s="1"/>
  <c r="I506" i="3"/>
  <c r="D506" i="4" s="1"/>
  <c r="U506" i="3"/>
  <c r="S506" i="3"/>
  <c r="T506" i="3" s="1"/>
  <c r="E508" i="3"/>
  <c r="J507" i="3"/>
  <c r="R507" i="3"/>
  <c r="D507" i="3"/>
  <c r="H507" i="3" s="1"/>
  <c r="F510" i="3"/>
  <c r="K506" i="3"/>
  <c r="L506" i="3" s="1"/>
  <c r="H124" i="4"/>
  <c r="G124" i="4"/>
  <c r="I124" i="4" s="1"/>
  <c r="J124" i="4" s="1"/>
  <c r="N125" i="3"/>
  <c r="O125" i="3"/>
  <c r="AI125" i="3"/>
  <c r="D551" i="16" l="1"/>
  <c r="E551" i="16"/>
  <c r="F552" i="16" s="1"/>
  <c r="G553" i="16" s="1"/>
  <c r="H554" i="16" s="1"/>
  <c r="I555" i="16" s="1"/>
  <c r="J556" i="16" s="1"/>
  <c r="K557" i="16" s="1"/>
  <c r="L558" i="16" s="1"/>
  <c r="P552" i="16"/>
  <c r="Q552" i="16"/>
  <c r="R553" i="16" s="1"/>
  <c r="S554" i="16" s="1"/>
  <c r="T555" i="16" s="1"/>
  <c r="K124" i="4"/>
  <c r="M124" i="4"/>
  <c r="S507" i="3"/>
  <c r="T507" i="3" s="1"/>
  <c r="U507" i="3"/>
  <c r="E507" i="4"/>
  <c r="F507" i="4" s="1"/>
  <c r="I507" i="3"/>
  <c r="D507" i="4" s="1"/>
  <c r="F511" i="3"/>
  <c r="K507" i="3"/>
  <c r="L507" i="3" s="1"/>
  <c r="E509" i="3"/>
  <c r="D508" i="3"/>
  <c r="H508" i="3" s="1"/>
  <c r="J508" i="3"/>
  <c r="R508" i="3"/>
  <c r="P125" i="3"/>
  <c r="Q125" i="3" s="1"/>
  <c r="P553" i="16" l="1"/>
  <c r="Q553" i="16"/>
  <c r="R554" i="16" s="1"/>
  <c r="S555" i="16" s="1"/>
  <c r="T556" i="16" s="1"/>
  <c r="D552" i="16"/>
  <c r="E552" i="16"/>
  <c r="F553" i="16" s="1"/>
  <c r="G554" i="16" s="1"/>
  <c r="H555" i="16" s="1"/>
  <c r="I556" i="16" s="1"/>
  <c r="J557" i="16" s="1"/>
  <c r="K558" i="16" s="1"/>
  <c r="L559" i="16" s="1"/>
  <c r="I508" i="3"/>
  <c r="D508" i="4" s="1"/>
  <c r="E508" i="4"/>
  <c r="F508" i="4" s="1"/>
  <c r="F512" i="3"/>
  <c r="K508" i="3"/>
  <c r="L508" i="3" s="1"/>
  <c r="E510" i="3"/>
  <c r="D509" i="3"/>
  <c r="H509" i="3" s="1"/>
  <c r="J509" i="3"/>
  <c r="R509" i="3"/>
  <c r="L125" i="4"/>
  <c r="V125" i="3"/>
  <c r="S508" i="3"/>
  <c r="T508" i="3" s="1"/>
  <c r="U508" i="3"/>
  <c r="E553" i="16" l="1"/>
  <c r="F554" i="16" s="1"/>
  <c r="G555" i="16" s="1"/>
  <c r="H556" i="16" s="1"/>
  <c r="I557" i="16" s="1"/>
  <c r="J558" i="16" s="1"/>
  <c r="K559" i="16" s="1"/>
  <c r="L560" i="16" s="1"/>
  <c r="D553" i="16"/>
  <c r="P554" i="16"/>
  <c r="Q554" i="16"/>
  <c r="R555" i="16" s="1"/>
  <c r="S556" i="16" s="1"/>
  <c r="T557" i="16" s="1"/>
  <c r="K509" i="3"/>
  <c r="L509" i="3" s="1"/>
  <c r="U509" i="3"/>
  <c r="S509" i="3"/>
  <c r="T509" i="3" s="1"/>
  <c r="I509" i="3"/>
  <c r="D509" i="4" s="1"/>
  <c r="E509" i="4"/>
  <c r="F509" i="4" s="1"/>
  <c r="W125" i="3"/>
  <c r="X125" i="3" s="1"/>
  <c r="Y125" i="3" s="1"/>
  <c r="Z125" i="3" s="1"/>
  <c r="AA125" i="3" s="1"/>
  <c r="AB125" i="3" s="1"/>
  <c r="E511" i="3"/>
  <c r="D510" i="3"/>
  <c r="H510" i="3" s="1"/>
  <c r="J510" i="3"/>
  <c r="R510" i="3"/>
  <c r="F513" i="3"/>
  <c r="Q555" i="16" l="1"/>
  <c r="R556" i="16" s="1"/>
  <c r="S557" i="16" s="1"/>
  <c r="T558" i="16" s="1"/>
  <c r="P555" i="16"/>
  <c r="D554" i="16"/>
  <c r="E554" i="16"/>
  <c r="F555" i="16" s="1"/>
  <c r="G556" i="16" s="1"/>
  <c r="H557" i="16" s="1"/>
  <c r="I558" i="16" s="1"/>
  <c r="J559" i="16" s="1"/>
  <c r="K560" i="16" s="1"/>
  <c r="L561" i="16" s="1"/>
  <c r="F514" i="3"/>
  <c r="E510" i="4"/>
  <c r="F510" i="4" s="1"/>
  <c r="I510" i="3"/>
  <c r="D510" i="4" s="1"/>
  <c r="C125" i="4"/>
  <c r="M126" i="3"/>
  <c r="AC125" i="3"/>
  <c r="AD125" i="3" s="1"/>
  <c r="S510" i="3"/>
  <c r="T510" i="3" s="1"/>
  <c r="U510" i="3"/>
  <c r="K510" i="3"/>
  <c r="L510" i="3" s="1"/>
  <c r="E512" i="3"/>
  <c r="D511" i="3"/>
  <c r="H511" i="3" s="1"/>
  <c r="J511" i="3"/>
  <c r="R511" i="3"/>
  <c r="D555" i="16" l="1"/>
  <c r="E555" i="16"/>
  <c r="F556" i="16" s="1"/>
  <c r="G557" i="16" s="1"/>
  <c r="H558" i="16" s="1"/>
  <c r="I559" i="16" s="1"/>
  <c r="J560" i="16" s="1"/>
  <c r="K561" i="16" s="1"/>
  <c r="L562" i="16" s="1"/>
  <c r="P556" i="16"/>
  <c r="Q556" i="16"/>
  <c r="R557" i="16" s="1"/>
  <c r="S558" i="16" s="1"/>
  <c r="T559" i="16" s="1"/>
  <c r="K511" i="3"/>
  <c r="L511" i="3" s="1"/>
  <c r="I511" i="3"/>
  <c r="D511" i="4" s="1"/>
  <c r="E511" i="4"/>
  <c r="F511" i="4" s="1"/>
  <c r="AI126" i="3"/>
  <c r="N126" i="3"/>
  <c r="O126" i="3"/>
  <c r="U511" i="3"/>
  <c r="S511" i="3"/>
  <c r="T511" i="3" s="1"/>
  <c r="E513" i="3"/>
  <c r="R512" i="3"/>
  <c r="D512" i="3"/>
  <c r="H512" i="3" s="1"/>
  <c r="J512" i="3"/>
  <c r="H125" i="4"/>
  <c r="G125" i="4"/>
  <c r="I125" i="4" s="1"/>
  <c r="J125" i="4" s="1"/>
  <c r="F515" i="3"/>
  <c r="P557" i="16" l="1"/>
  <c r="Q557" i="16"/>
  <c r="R558" i="16" s="1"/>
  <c r="S559" i="16" s="1"/>
  <c r="T560" i="16" s="1"/>
  <c r="D556" i="16"/>
  <c r="E556" i="16"/>
  <c r="F557" i="16" s="1"/>
  <c r="G558" i="16" s="1"/>
  <c r="H559" i="16" s="1"/>
  <c r="I560" i="16" s="1"/>
  <c r="J561" i="16" s="1"/>
  <c r="K562" i="16" s="1"/>
  <c r="L563" i="16" s="1"/>
  <c r="P126" i="3"/>
  <c r="Q126" i="3" s="1"/>
  <c r="V126" i="3" s="1"/>
  <c r="K125" i="4"/>
  <c r="M125" i="4"/>
  <c r="U512" i="3"/>
  <c r="S512" i="3"/>
  <c r="T512" i="3" s="1"/>
  <c r="I512" i="3"/>
  <c r="D512" i="4" s="1"/>
  <c r="E512" i="4"/>
  <c r="F512" i="4" s="1"/>
  <c r="K512" i="3"/>
  <c r="L512" i="3" s="1"/>
  <c r="F516" i="3"/>
  <c r="E514" i="3"/>
  <c r="J513" i="3"/>
  <c r="R513" i="3"/>
  <c r="D513" i="3"/>
  <c r="H513" i="3" s="1"/>
  <c r="D557" i="16" l="1"/>
  <c r="E557" i="16"/>
  <c r="F558" i="16" s="1"/>
  <c r="G559" i="16" s="1"/>
  <c r="H560" i="16" s="1"/>
  <c r="I561" i="16" s="1"/>
  <c r="J562" i="16" s="1"/>
  <c r="K563" i="16" s="1"/>
  <c r="L564" i="16" s="1"/>
  <c r="L126" i="4"/>
  <c r="Q558" i="16"/>
  <c r="R559" i="16" s="1"/>
  <c r="S560" i="16" s="1"/>
  <c r="T561" i="16" s="1"/>
  <c r="P558" i="16"/>
  <c r="K513" i="3"/>
  <c r="L513" i="3" s="1"/>
  <c r="S513" i="3"/>
  <c r="T513" i="3" s="1"/>
  <c r="U513" i="3"/>
  <c r="F517" i="3"/>
  <c r="E513" i="4"/>
  <c r="F513" i="4" s="1"/>
  <c r="I513" i="3"/>
  <c r="D513" i="4" s="1"/>
  <c r="E515" i="3"/>
  <c r="R514" i="3"/>
  <c r="D514" i="3"/>
  <c r="H514" i="3" s="1"/>
  <c r="J514" i="3"/>
  <c r="W126" i="3"/>
  <c r="X126" i="3" s="1"/>
  <c r="Y126" i="3" s="1"/>
  <c r="Z126" i="3" s="1"/>
  <c r="AA126" i="3" s="1"/>
  <c r="AB126" i="3" s="1"/>
  <c r="P559" i="16" l="1"/>
  <c r="Q559" i="16"/>
  <c r="R560" i="16" s="1"/>
  <c r="S561" i="16" s="1"/>
  <c r="T562" i="16" s="1"/>
  <c r="D558" i="16"/>
  <c r="E558" i="16"/>
  <c r="F559" i="16" s="1"/>
  <c r="G560" i="16" s="1"/>
  <c r="H561" i="16" s="1"/>
  <c r="I562" i="16" s="1"/>
  <c r="J563" i="16" s="1"/>
  <c r="K564" i="16" s="1"/>
  <c r="L565" i="16" s="1"/>
  <c r="AC126" i="3"/>
  <c r="AD126" i="3" s="1"/>
  <c r="C126" i="4"/>
  <c r="M127" i="3"/>
  <c r="K514" i="3"/>
  <c r="L514" i="3" s="1"/>
  <c r="E514" i="4"/>
  <c r="F514" i="4" s="1"/>
  <c r="I514" i="3"/>
  <c r="D514" i="4" s="1"/>
  <c r="E516" i="3"/>
  <c r="R515" i="3"/>
  <c r="J515" i="3"/>
  <c r="D515" i="3"/>
  <c r="H515" i="3" s="1"/>
  <c r="U514" i="3"/>
  <c r="S514" i="3"/>
  <c r="T514" i="3" s="1"/>
  <c r="F518" i="3"/>
  <c r="D559" i="16" l="1"/>
  <c r="E559" i="16"/>
  <c r="F560" i="16" s="1"/>
  <c r="G561" i="16" s="1"/>
  <c r="H562" i="16" s="1"/>
  <c r="I563" i="16" s="1"/>
  <c r="J564" i="16" s="1"/>
  <c r="K565" i="16" s="1"/>
  <c r="L566" i="16" s="1"/>
  <c r="Q560" i="16"/>
  <c r="R561" i="16" s="1"/>
  <c r="S562" i="16" s="1"/>
  <c r="T563" i="16" s="1"/>
  <c r="P560" i="16"/>
  <c r="E515" i="4"/>
  <c r="F515" i="4" s="1"/>
  <c r="I515" i="3"/>
  <c r="D515" i="4" s="1"/>
  <c r="E517" i="3"/>
  <c r="J516" i="3"/>
  <c r="R516" i="3"/>
  <c r="D516" i="3"/>
  <c r="H516" i="3" s="1"/>
  <c r="F519" i="3"/>
  <c r="K515" i="3"/>
  <c r="L515" i="3" s="1"/>
  <c r="U515" i="3"/>
  <c r="S515" i="3"/>
  <c r="T515" i="3" s="1"/>
  <c r="AI127" i="3"/>
  <c r="O127" i="3"/>
  <c r="N127" i="3"/>
  <c r="G126" i="4"/>
  <c r="I126" i="4" s="1"/>
  <c r="J126" i="4" s="1"/>
  <c r="H126" i="4"/>
  <c r="P561" i="16" l="1"/>
  <c r="Q561" i="16"/>
  <c r="R562" i="16" s="1"/>
  <c r="S563" i="16" s="1"/>
  <c r="T564" i="16" s="1"/>
  <c r="D560" i="16"/>
  <c r="E560" i="16"/>
  <c r="F561" i="16" s="1"/>
  <c r="G562" i="16" s="1"/>
  <c r="H563" i="16" s="1"/>
  <c r="I564" i="16" s="1"/>
  <c r="J565" i="16" s="1"/>
  <c r="K566" i="16" s="1"/>
  <c r="L567" i="16" s="1"/>
  <c r="P127" i="3"/>
  <c r="Q127" i="3" s="1"/>
  <c r="V127" i="3" s="1"/>
  <c r="F520" i="3"/>
  <c r="S516" i="3"/>
  <c r="T516" i="3" s="1"/>
  <c r="U516" i="3"/>
  <c r="K126" i="4"/>
  <c r="M126" i="4"/>
  <c r="E518" i="3"/>
  <c r="D517" i="3"/>
  <c r="H517" i="3" s="1"/>
  <c r="R517" i="3"/>
  <c r="J517" i="3"/>
  <c r="E516" i="4"/>
  <c r="F516" i="4" s="1"/>
  <c r="I516" i="3"/>
  <c r="D516" i="4" s="1"/>
  <c r="K516" i="3"/>
  <c r="L516" i="3" s="1"/>
  <c r="L127" i="4" l="1"/>
  <c r="E561" i="16"/>
  <c r="F562" i="16" s="1"/>
  <c r="G563" i="16" s="1"/>
  <c r="H564" i="16" s="1"/>
  <c r="I565" i="16" s="1"/>
  <c r="J566" i="16" s="1"/>
  <c r="K567" i="16" s="1"/>
  <c r="L568" i="16" s="1"/>
  <c r="D561" i="16"/>
  <c r="P562" i="16"/>
  <c r="Q562" i="16"/>
  <c r="R563" i="16" s="1"/>
  <c r="S564" i="16" s="1"/>
  <c r="T565" i="16" s="1"/>
  <c r="K517" i="3"/>
  <c r="L517" i="3" s="1"/>
  <c r="E519" i="3"/>
  <c r="D518" i="3"/>
  <c r="H518" i="3" s="1"/>
  <c r="R518" i="3"/>
  <c r="J518" i="3"/>
  <c r="U517" i="3"/>
  <c r="S517" i="3"/>
  <c r="T517" i="3" s="1"/>
  <c r="F521" i="3"/>
  <c r="I517" i="3"/>
  <c r="D517" i="4" s="1"/>
  <c r="E517" i="4"/>
  <c r="F517" i="4" s="1"/>
  <c r="W127" i="3"/>
  <c r="X127" i="3" s="1"/>
  <c r="Y127" i="3" s="1"/>
  <c r="Z127" i="3" s="1"/>
  <c r="AA127" i="3" s="1"/>
  <c r="AB127" i="3" s="1"/>
  <c r="P563" i="16" l="1"/>
  <c r="Q563" i="16"/>
  <c r="R564" i="16" s="1"/>
  <c r="S565" i="16" s="1"/>
  <c r="T566" i="16" s="1"/>
  <c r="D562" i="16"/>
  <c r="E562" i="16"/>
  <c r="F563" i="16" s="1"/>
  <c r="G564" i="16" s="1"/>
  <c r="H565" i="16" s="1"/>
  <c r="I566" i="16" s="1"/>
  <c r="J567" i="16" s="1"/>
  <c r="K568" i="16" s="1"/>
  <c r="L569" i="16" s="1"/>
  <c r="K518" i="3"/>
  <c r="L518" i="3" s="1"/>
  <c r="AC127" i="3"/>
  <c r="AD127" i="3" s="1"/>
  <c r="M128" i="3"/>
  <c r="C127" i="4"/>
  <c r="F522" i="3"/>
  <c r="S518" i="3"/>
  <c r="T518" i="3" s="1"/>
  <c r="U518" i="3"/>
  <c r="E518" i="4"/>
  <c r="F518" i="4" s="1"/>
  <c r="I518" i="3"/>
  <c r="D518" i="4" s="1"/>
  <c r="E520" i="3"/>
  <c r="R519" i="3"/>
  <c r="D519" i="3"/>
  <c r="H519" i="3" s="1"/>
  <c r="J519" i="3"/>
  <c r="D563" i="16" l="1"/>
  <c r="E563" i="16"/>
  <c r="F564" i="16" s="1"/>
  <c r="G565" i="16" s="1"/>
  <c r="H566" i="16" s="1"/>
  <c r="I567" i="16" s="1"/>
  <c r="J568" i="16" s="1"/>
  <c r="K569" i="16" s="1"/>
  <c r="L570" i="16" s="1"/>
  <c r="P564" i="16"/>
  <c r="Q564" i="16"/>
  <c r="R565" i="16" s="1"/>
  <c r="S566" i="16" s="1"/>
  <c r="T567" i="16" s="1"/>
  <c r="E519" i="4"/>
  <c r="F519" i="4" s="1"/>
  <c r="I519" i="3"/>
  <c r="D519" i="4" s="1"/>
  <c r="U519" i="3"/>
  <c r="S519" i="3"/>
  <c r="T519" i="3" s="1"/>
  <c r="F523" i="3"/>
  <c r="G127" i="4"/>
  <c r="I127" i="4" s="1"/>
  <c r="J127" i="4" s="1"/>
  <c r="H127" i="4"/>
  <c r="O128" i="3"/>
  <c r="N128" i="3"/>
  <c r="AI128" i="3"/>
  <c r="E521" i="3"/>
  <c r="D520" i="3"/>
  <c r="H520" i="3" s="1"/>
  <c r="R520" i="3"/>
  <c r="J520" i="3"/>
  <c r="K519" i="3"/>
  <c r="L519" i="3" s="1"/>
  <c r="P565" i="16" l="1"/>
  <c r="Q565" i="16"/>
  <c r="R566" i="16" s="1"/>
  <c r="S567" i="16" s="1"/>
  <c r="T568" i="16" s="1"/>
  <c r="D564" i="16"/>
  <c r="E564" i="16"/>
  <c r="F565" i="16" s="1"/>
  <c r="G566" i="16" s="1"/>
  <c r="H567" i="16" s="1"/>
  <c r="I568" i="16" s="1"/>
  <c r="J569" i="16" s="1"/>
  <c r="K570" i="16" s="1"/>
  <c r="L571" i="16" s="1"/>
  <c r="P128" i="3"/>
  <c r="Q128" i="3" s="1"/>
  <c r="L128" i="4" s="1"/>
  <c r="E522" i="3"/>
  <c r="D521" i="3"/>
  <c r="H521" i="3" s="1"/>
  <c r="R521" i="3"/>
  <c r="J521" i="3"/>
  <c r="E520" i="4"/>
  <c r="F520" i="4" s="1"/>
  <c r="I520" i="3"/>
  <c r="D520" i="4" s="1"/>
  <c r="F524" i="3"/>
  <c r="M127" i="4"/>
  <c r="K127" i="4"/>
  <c r="K520" i="3"/>
  <c r="L520" i="3" s="1"/>
  <c r="U520" i="3"/>
  <c r="S520" i="3"/>
  <c r="T520" i="3" s="1"/>
  <c r="E565" i="16" l="1"/>
  <c r="F566" i="16" s="1"/>
  <c r="G567" i="16" s="1"/>
  <c r="H568" i="16" s="1"/>
  <c r="I569" i="16" s="1"/>
  <c r="J570" i="16" s="1"/>
  <c r="K571" i="16" s="1"/>
  <c r="L572" i="16" s="1"/>
  <c r="D565" i="16"/>
  <c r="P566" i="16"/>
  <c r="Q566" i="16"/>
  <c r="R567" i="16" s="1"/>
  <c r="S568" i="16" s="1"/>
  <c r="T569" i="16" s="1"/>
  <c r="V128" i="3"/>
  <c r="W128" i="3" s="1"/>
  <c r="X128" i="3" s="1"/>
  <c r="Y128" i="3" s="1"/>
  <c r="Z128" i="3" s="1"/>
  <c r="AA128" i="3" s="1"/>
  <c r="AB128" i="3" s="1"/>
  <c r="K521" i="3"/>
  <c r="L521" i="3" s="1"/>
  <c r="E521" i="4"/>
  <c r="F521" i="4" s="1"/>
  <c r="I521" i="3"/>
  <c r="D521" i="4" s="1"/>
  <c r="F525" i="3"/>
  <c r="S521" i="3"/>
  <c r="T521" i="3" s="1"/>
  <c r="U521" i="3"/>
  <c r="E523" i="3"/>
  <c r="R522" i="3"/>
  <c r="D522" i="3"/>
  <c r="H522" i="3" s="1"/>
  <c r="J522" i="3"/>
  <c r="P567" i="16" l="1"/>
  <c r="Q567" i="16"/>
  <c r="R568" i="16" s="1"/>
  <c r="S569" i="16" s="1"/>
  <c r="T570" i="16" s="1"/>
  <c r="E566" i="16"/>
  <c r="F567" i="16" s="1"/>
  <c r="G568" i="16" s="1"/>
  <c r="H569" i="16" s="1"/>
  <c r="I570" i="16" s="1"/>
  <c r="J571" i="16" s="1"/>
  <c r="K572" i="16" s="1"/>
  <c r="L573" i="16" s="1"/>
  <c r="D566" i="16"/>
  <c r="AC128" i="3"/>
  <c r="AD128" i="3" s="1"/>
  <c r="M129" i="3"/>
  <c r="C128" i="4"/>
  <c r="U522" i="3"/>
  <c r="S522" i="3"/>
  <c r="T522" i="3" s="1"/>
  <c r="F526" i="3"/>
  <c r="E524" i="3"/>
  <c r="J523" i="3"/>
  <c r="D523" i="3"/>
  <c r="H523" i="3" s="1"/>
  <c r="R523" i="3"/>
  <c r="E522" i="4"/>
  <c r="F522" i="4" s="1"/>
  <c r="I522" i="3"/>
  <c r="D522" i="4" s="1"/>
  <c r="K522" i="3"/>
  <c r="L522" i="3" s="1"/>
  <c r="D567" i="16" l="1"/>
  <c r="E567" i="16"/>
  <c r="F568" i="16" s="1"/>
  <c r="G569" i="16" s="1"/>
  <c r="H570" i="16" s="1"/>
  <c r="I571" i="16" s="1"/>
  <c r="J572" i="16" s="1"/>
  <c r="K573" i="16" s="1"/>
  <c r="L574" i="16" s="1"/>
  <c r="Q568" i="16"/>
  <c r="R569" i="16" s="1"/>
  <c r="S570" i="16" s="1"/>
  <c r="T571" i="16" s="1"/>
  <c r="P568" i="16"/>
  <c r="U523" i="3"/>
  <c r="S523" i="3"/>
  <c r="T523" i="3" s="1"/>
  <c r="F527" i="3"/>
  <c r="K523" i="3"/>
  <c r="L523" i="3" s="1"/>
  <c r="I523" i="3"/>
  <c r="D523" i="4" s="1"/>
  <c r="E523" i="4"/>
  <c r="F523" i="4" s="1"/>
  <c r="E525" i="3"/>
  <c r="J524" i="3"/>
  <c r="D524" i="3"/>
  <c r="H524" i="3" s="1"/>
  <c r="R524" i="3"/>
  <c r="G128" i="4"/>
  <c r="I128" i="4" s="1"/>
  <c r="J128" i="4" s="1"/>
  <c r="H128" i="4"/>
  <c r="N129" i="3"/>
  <c r="AI129" i="3"/>
  <c r="O129" i="3"/>
  <c r="P569" i="16" l="1"/>
  <c r="Q569" i="16"/>
  <c r="R570" i="16" s="1"/>
  <c r="S571" i="16" s="1"/>
  <c r="T572" i="16" s="1"/>
  <c r="E568" i="16"/>
  <c r="F569" i="16" s="1"/>
  <c r="G570" i="16" s="1"/>
  <c r="H571" i="16" s="1"/>
  <c r="I572" i="16" s="1"/>
  <c r="J573" i="16" s="1"/>
  <c r="K574" i="16" s="1"/>
  <c r="L575" i="16" s="1"/>
  <c r="D568" i="16"/>
  <c r="K128" i="4"/>
  <c r="M128" i="4"/>
  <c r="E526" i="3"/>
  <c r="D525" i="3"/>
  <c r="H525" i="3" s="1"/>
  <c r="J525" i="3"/>
  <c r="R525" i="3"/>
  <c r="E524" i="4"/>
  <c r="F524" i="4" s="1"/>
  <c r="I524" i="3"/>
  <c r="D524" i="4" s="1"/>
  <c r="S524" i="3"/>
  <c r="T524" i="3" s="1"/>
  <c r="U524" i="3"/>
  <c r="F528" i="3"/>
  <c r="K524" i="3"/>
  <c r="L524" i="3" s="1"/>
  <c r="P129" i="3"/>
  <c r="Q129" i="3" s="1"/>
  <c r="E569" i="16" l="1"/>
  <c r="F570" i="16" s="1"/>
  <c r="G571" i="16" s="1"/>
  <c r="H572" i="16" s="1"/>
  <c r="I573" i="16" s="1"/>
  <c r="J574" i="16" s="1"/>
  <c r="K575" i="16" s="1"/>
  <c r="L576" i="16" s="1"/>
  <c r="D569" i="16"/>
  <c r="P570" i="16"/>
  <c r="Q570" i="16"/>
  <c r="R571" i="16" s="1"/>
  <c r="S572" i="16" s="1"/>
  <c r="T573" i="16" s="1"/>
  <c r="E525" i="4"/>
  <c r="F525" i="4" s="1"/>
  <c r="I525" i="3"/>
  <c r="D525" i="4" s="1"/>
  <c r="F529" i="3"/>
  <c r="S525" i="3"/>
  <c r="T525" i="3" s="1"/>
  <c r="U525" i="3"/>
  <c r="K525" i="3"/>
  <c r="L525" i="3" s="1"/>
  <c r="E527" i="3"/>
  <c r="J526" i="3"/>
  <c r="R526" i="3"/>
  <c r="D526" i="3"/>
  <c r="H526" i="3" s="1"/>
  <c r="L129" i="4"/>
  <c r="V129" i="3"/>
  <c r="P571" i="16" l="1"/>
  <c r="Q571" i="16"/>
  <c r="R572" i="16" s="1"/>
  <c r="S573" i="16" s="1"/>
  <c r="T574" i="16" s="1"/>
  <c r="D570" i="16"/>
  <c r="E570" i="16"/>
  <c r="F571" i="16" s="1"/>
  <c r="G572" i="16" s="1"/>
  <c r="H573" i="16" s="1"/>
  <c r="I574" i="16" s="1"/>
  <c r="J575" i="16" s="1"/>
  <c r="K576" i="16" s="1"/>
  <c r="L577" i="16" s="1"/>
  <c r="E526" i="4"/>
  <c r="F526" i="4" s="1"/>
  <c r="I526" i="3"/>
  <c r="D526" i="4" s="1"/>
  <c r="K526" i="3"/>
  <c r="L526" i="3" s="1"/>
  <c r="E528" i="3"/>
  <c r="R527" i="3"/>
  <c r="J527" i="3"/>
  <c r="D527" i="3"/>
  <c r="H527" i="3" s="1"/>
  <c r="F530" i="3"/>
  <c r="W129" i="3"/>
  <c r="X129" i="3" s="1"/>
  <c r="Y129" i="3" s="1"/>
  <c r="Z129" i="3" s="1"/>
  <c r="AA129" i="3" s="1"/>
  <c r="AB129" i="3" s="1"/>
  <c r="U526" i="3"/>
  <c r="S526" i="3"/>
  <c r="T526" i="3" s="1"/>
  <c r="E571" i="16" l="1"/>
  <c r="F572" i="16" s="1"/>
  <c r="G573" i="16" s="1"/>
  <c r="H574" i="16" s="1"/>
  <c r="I575" i="16" s="1"/>
  <c r="J576" i="16" s="1"/>
  <c r="K577" i="16" s="1"/>
  <c r="L578" i="16" s="1"/>
  <c r="D571" i="16"/>
  <c r="Q572" i="16"/>
  <c r="R573" i="16" s="1"/>
  <c r="S574" i="16" s="1"/>
  <c r="T575" i="16" s="1"/>
  <c r="P572" i="16"/>
  <c r="M130" i="3"/>
  <c r="C129" i="4"/>
  <c r="AC129" i="3"/>
  <c r="AD129" i="3" s="1"/>
  <c r="F531" i="3"/>
  <c r="I527" i="3"/>
  <c r="D527" i="4" s="1"/>
  <c r="E527" i="4"/>
  <c r="F527" i="4" s="1"/>
  <c r="S527" i="3"/>
  <c r="T527" i="3" s="1"/>
  <c r="U527" i="3"/>
  <c r="E529" i="3"/>
  <c r="J528" i="3"/>
  <c r="R528" i="3"/>
  <c r="D528" i="3"/>
  <c r="H528" i="3" s="1"/>
  <c r="K527" i="3"/>
  <c r="L527" i="3" s="1"/>
  <c r="P573" i="16" l="1"/>
  <c r="Q573" i="16"/>
  <c r="R574" i="16" s="1"/>
  <c r="S575" i="16" s="1"/>
  <c r="T576" i="16" s="1"/>
  <c r="D572" i="16"/>
  <c r="E572" i="16"/>
  <c r="F573" i="16" s="1"/>
  <c r="G574" i="16" s="1"/>
  <c r="H575" i="16" s="1"/>
  <c r="I576" i="16" s="1"/>
  <c r="J577" i="16" s="1"/>
  <c r="K578" i="16" s="1"/>
  <c r="L579" i="16" s="1"/>
  <c r="E528" i="4"/>
  <c r="F528" i="4" s="1"/>
  <c r="I528" i="3"/>
  <c r="D528" i="4" s="1"/>
  <c r="S528" i="3"/>
  <c r="T528" i="3" s="1"/>
  <c r="U528" i="3"/>
  <c r="E530" i="3"/>
  <c r="R529" i="3"/>
  <c r="J529" i="3"/>
  <c r="D529" i="3"/>
  <c r="H529" i="3" s="1"/>
  <c r="K528" i="3"/>
  <c r="L528" i="3" s="1"/>
  <c r="F532" i="3"/>
  <c r="H129" i="4"/>
  <c r="G129" i="4"/>
  <c r="I129" i="4" s="1"/>
  <c r="J129" i="4" s="1"/>
  <c r="AI130" i="3"/>
  <c r="N130" i="3"/>
  <c r="O130" i="3"/>
  <c r="E573" i="16" l="1"/>
  <c r="F574" i="16" s="1"/>
  <c r="G575" i="16" s="1"/>
  <c r="H576" i="16" s="1"/>
  <c r="I577" i="16" s="1"/>
  <c r="J578" i="16" s="1"/>
  <c r="K579" i="16" s="1"/>
  <c r="L580" i="16" s="1"/>
  <c r="D573" i="16"/>
  <c r="Q574" i="16"/>
  <c r="R575" i="16" s="1"/>
  <c r="S576" i="16" s="1"/>
  <c r="T577" i="16" s="1"/>
  <c r="P574" i="16"/>
  <c r="K529" i="3"/>
  <c r="L529" i="3" s="1"/>
  <c r="U529" i="3"/>
  <c r="S529" i="3"/>
  <c r="T529" i="3" s="1"/>
  <c r="E531" i="3"/>
  <c r="D530" i="3"/>
  <c r="H530" i="3" s="1"/>
  <c r="J530" i="3"/>
  <c r="R530" i="3"/>
  <c r="F533" i="3"/>
  <c r="I529" i="3"/>
  <c r="D529" i="4" s="1"/>
  <c r="E529" i="4"/>
  <c r="F529" i="4" s="1"/>
  <c r="P130" i="3"/>
  <c r="Q130" i="3" s="1"/>
  <c r="M129" i="4"/>
  <c r="K129" i="4"/>
  <c r="Q575" i="16" l="1"/>
  <c r="R576" i="16" s="1"/>
  <c r="S577" i="16" s="1"/>
  <c r="T578" i="16" s="1"/>
  <c r="P575" i="16"/>
  <c r="E574" i="16"/>
  <c r="F575" i="16" s="1"/>
  <c r="G576" i="16" s="1"/>
  <c r="H577" i="16" s="1"/>
  <c r="I578" i="16" s="1"/>
  <c r="J579" i="16" s="1"/>
  <c r="K580" i="16" s="1"/>
  <c r="L581" i="16" s="1"/>
  <c r="D574" i="16"/>
  <c r="L130" i="4"/>
  <c r="V130" i="3"/>
  <c r="E530" i="4"/>
  <c r="F530" i="4" s="1"/>
  <c r="I530" i="3"/>
  <c r="D530" i="4" s="1"/>
  <c r="F534" i="3"/>
  <c r="K530" i="3"/>
  <c r="L530" i="3" s="1"/>
  <c r="S530" i="3"/>
  <c r="T530" i="3" s="1"/>
  <c r="U530" i="3"/>
  <c r="E532" i="3"/>
  <c r="D531" i="3"/>
  <c r="H531" i="3" s="1"/>
  <c r="R531" i="3"/>
  <c r="J531" i="3"/>
  <c r="D575" i="16" l="1"/>
  <c r="E575" i="16"/>
  <c r="F576" i="16" s="1"/>
  <c r="G577" i="16" s="1"/>
  <c r="H578" i="16" s="1"/>
  <c r="I579" i="16" s="1"/>
  <c r="J580" i="16" s="1"/>
  <c r="K581" i="16" s="1"/>
  <c r="L582" i="16" s="1"/>
  <c r="P576" i="16"/>
  <c r="Q576" i="16"/>
  <c r="R577" i="16" s="1"/>
  <c r="S578" i="16" s="1"/>
  <c r="T579" i="16" s="1"/>
  <c r="K531" i="3"/>
  <c r="L531" i="3" s="1"/>
  <c r="E533" i="3"/>
  <c r="J532" i="3"/>
  <c r="R532" i="3"/>
  <c r="D532" i="3"/>
  <c r="H532" i="3" s="1"/>
  <c r="I531" i="3"/>
  <c r="D531" i="4" s="1"/>
  <c r="E531" i="4"/>
  <c r="F531" i="4" s="1"/>
  <c r="F535" i="3"/>
  <c r="U531" i="3"/>
  <c r="S531" i="3"/>
  <c r="T531" i="3" s="1"/>
  <c r="W130" i="3"/>
  <c r="X130" i="3" s="1"/>
  <c r="Y130" i="3" s="1"/>
  <c r="Z130" i="3" s="1"/>
  <c r="AA130" i="3" s="1"/>
  <c r="AB130" i="3" s="1"/>
  <c r="P577" i="16" l="1"/>
  <c r="Q577" i="16"/>
  <c r="R578" i="16" s="1"/>
  <c r="S579" i="16" s="1"/>
  <c r="T580" i="16" s="1"/>
  <c r="D576" i="16"/>
  <c r="E576" i="16"/>
  <c r="F577" i="16" s="1"/>
  <c r="G578" i="16" s="1"/>
  <c r="H579" i="16" s="1"/>
  <c r="I580" i="16" s="1"/>
  <c r="J581" i="16" s="1"/>
  <c r="K582" i="16" s="1"/>
  <c r="L583" i="16" s="1"/>
  <c r="M131" i="3"/>
  <c r="AC130" i="3"/>
  <c r="AD130" i="3" s="1"/>
  <c r="C130" i="4"/>
  <c r="E532" i="4"/>
  <c r="F532" i="4" s="1"/>
  <c r="I532" i="3"/>
  <c r="D532" i="4" s="1"/>
  <c r="F536" i="3"/>
  <c r="U532" i="3"/>
  <c r="S532" i="3"/>
  <c r="T532" i="3" s="1"/>
  <c r="K532" i="3"/>
  <c r="L532" i="3" s="1"/>
  <c r="E534" i="3"/>
  <c r="R533" i="3"/>
  <c r="J533" i="3"/>
  <c r="D533" i="3"/>
  <c r="H533" i="3" s="1"/>
  <c r="D577" i="16" l="1"/>
  <c r="E577" i="16"/>
  <c r="F578" i="16" s="1"/>
  <c r="G579" i="16" s="1"/>
  <c r="H580" i="16" s="1"/>
  <c r="I581" i="16" s="1"/>
  <c r="J582" i="16" s="1"/>
  <c r="K583" i="16" s="1"/>
  <c r="L584" i="16" s="1"/>
  <c r="P578" i="16"/>
  <c r="Q578" i="16"/>
  <c r="R579" i="16" s="1"/>
  <c r="S580" i="16" s="1"/>
  <c r="T581" i="16" s="1"/>
  <c r="E535" i="3"/>
  <c r="R534" i="3"/>
  <c r="J534" i="3"/>
  <c r="D534" i="3"/>
  <c r="H534" i="3" s="1"/>
  <c r="F537" i="3"/>
  <c r="S533" i="3"/>
  <c r="T533" i="3" s="1"/>
  <c r="U533" i="3"/>
  <c r="I533" i="3"/>
  <c r="D533" i="4" s="1"/>
  <c r="E533" i="4"/>
  <c r="F533" i="4" s="1"/>
  <c r="G130" i="4"/>
  <c r="I130" i="4" s="1"/>
  <c r="J130" i="4" s="1"/>
  <c r="H130" i="4"/>
  <c r="K533" i="3"/>
  <c r="L533" i="3" s="1"/>
  <c r="N131" i="3"/>
  <c r="O131" i="3"/>
  <c r="AI131" i="3"/>
  <c r="Q579" i="16" l="1"/>
  <c r="R580" i="16" s="1"/>
  <c r="S581" i="16" s="1"/>
  <c r="T582" i="16" s="1"/>
  <c r="P579" i="16"/>
  <c r="E578" i="16"/>
  <c r="F579" i="16" s="1"/>
  <c r="G580" i="16" s="1"/>
  <c r="H581" i="16" s="1"/>
  <c r="I582" i="16" s="1"/>
  <c r="J583" i="16" s="1"/>
  <c r="K584" i="16" s="1"/>
  <c r="L585" i="16" s="1"/>
  <c r="D578" i="16"/>
  <c r="K130" i="4"/>
  <c r="M130" i="4"/>
  <c r="F538" i="3"/>
  <c r="K534" i="3"/>
  <c r="L534" i="3" s="1"/>
  <c r="U534" i="3"/>
  <c r="S534" i="3"/>
  <c r="T534" i="3" s="1"/>
  <c r="P131" i="3"/>
  <c r="Q131" i="3" s="1"/>
  <c r="E536" i="3"/>
  <c r="R535" i="3"/>
  <c r="J535" i="3"/>
  <c r="D535" i="3"/>
  <c r="H535" i="3" s="1"/>
  <c r="I534" i="3"/>
  <c r="D534" i="4" s="1"/>
  <c r="E534" i="4"/>
  <c r="F534" i="4" s="1"/>
  <c r="D579" i="16" l="1"/>
  <c r="E579" i="16"/>
  <c r="F580" i="16" s="1"/>
  <c r="G581" i="16" s="1"/>
  <c r="H582" i="16" s="1"/>
  <c r="I583" i="16" s="1"/>
  <c r="J584" i="16" s="1"/>
  <c r="K585" i="16" s="1"/>
  <c r="L586" i="16" s="1"/>
  <c r="P580" i="16"/>
  <c r="Q580" i="16"/>
  <c r="R581" i="16" s="1"/>
  <c r="S582" i="16" s="1"/>
  <c r="T583" i="16" s="1"/>
  <c r="S535" i="3"/>
  <c r="T535" i="3" s="1"/>
  <c r="U535" i="3"/>
  <c r="I535" i="3"/>
  <c r="D535" i="4" s="1"/>
  <c r="E535" i="4"/>
  <c r="F535" i="4" s="1"/>
  <c r="L131" i="4"/>
  <c r="V131" i="3"/>
  <c r="K535" i="3"/>
  <c r="L535" i="3" s="1"/>
  <c r="E537" i="3"/>
  <c r="D536" i="3"/>
  <c r="H536" i="3" s="1"/>
  <c r="J536" i="3"/>
  <c r="R536" i="3"/>
  <c r="F539" i="3"/>
  <c r="P581" i="16" l="1"/>
  <c r="Q581" i="16"/>
  <c r="R582" i="16" s="1"/>
  <c r="S583" i="16" s="1"/>
  <c r="T584" i="16" s="1"/>
  <c r="D580" i="16"/>
  <c r="E580" i="16"/>
  <c r="F581" i="16" s="1"/>
  <c r="G582" i="16" s="1"/>
  <c r="H583" i="16" s="1"/>
  <c r="I584" i="16" s="1"/>
  <c r="J585" i="16" s="1"/>
  <c r="K586" i="16" s="1"/>
  <c r="L587" i="16" s="1"/>
  <c r="S536" i="3"/>
  <c r="T536" i="3" s="1"/>
  <c r="U536" i="3"/>
  <c r="I536" i="3"/>
  <c r="D536" i="4" s="1"/>
  <c r="E536" i="4"/>
  <c r="F536" i="4" s="1"/>
  <c r="K536" i="3"/>
  <c r="L536" i="3" s="1"/>
  <c r="E538" i="3"/>
  <c r="R537" i="3"/>
  <c r="D537" i="3"/>
  <c r="H537" i="3" s="1"/>
  <c r="J537" i="3"/>
  <c r="W131" i="3"/>
  <c r="X131" i="3" s="1"/>
  <c r="Y131" i="3" s="1"/>
  <c r="Z131" i="3" s="1"/>
  <c r="AA131" i="3" s="1"/>
  <c r="AB131" i="3" s="1"/>
  <c r="F540" i="3"/>
  <c r="E581" i="16" l="1"/>
  <c r="F582" i="16" s="1"/>
  <c r="G583" i="16" s="1"/>
  <c r="H584" i="16" s="1"/>
  <c r="I585" i="16" s="1"/>
  <c r="J586" i="16" s="1"/>
  <c r="K587" i="16" s="1"/>
  <c r="L588" i="16" s="1"/>
  <c r="D581" i="16"/>
  <c r="Q582" i="16"/>
  <c r="R583" i="16" s="1"/>
  <c r="S584" i="16" s="1"/>
  <c r="T585" i="16" s="1"/>
  <c r="P582" i="16"/>
  <c r="K537" i="3"/>
  <c r="L537" i="3" s="1"/>
  <c r="C131" i="4"/>
  <c r="M132" i="3"/>
  <c r="AC131" i="3"/>
  <c r="AD131" i="3" s="1"/>
  <c r="I537" i="3"/>
  <c r="D537" i="4" s="1"/>
  <c r="E537" i="4"/>
  <c r="F537" i="4" s="1"/>
  <c r="U537" i="3"/>
  <c r="S537" i="3"/>
  <c r="T537" i="3" s="1"/>
  <c r="E539" i="3"/>
  <c r="J538" i="3"/>
  <c r="D538" i="3"/>
  <c r="H538" i="3" s="1"/>
  <c r="R538" i="3"/>
  <c r="F541" i="3"/>
  <c r="Q583" i="16" l="1"/>
  <c r="R584" i="16" s="1"/>
  <c r="S585" i="16" s="1"/>
  <c r="T586" i="16" s="1"/>
  <c r="P583" i="16"/>
  <c r="D582" i="16"/>
  <c r="E582" i="16"/>
  <c r="F583" i="16" s="1"/>
  <c r="G584" i="16" s="1"/>
  <c r="H585" i="16" s="1"/>
  <c r="I586" i="16" s="1"/>
  <c r="J587" i="16" s="1"/>
  <c r="K588" i="16" s="1"/>
  <c r="L589" i="16" s="1"/>
  <c r="K538" i="3"/>
  <c r="L538" i="3" s="1"/>
  <c r="E538" i="4"/>
  <c r="F538" i="4" s="1"/>
  <c r="I538" i="3"/>
  <c r="D538" i="4" s="1"/>
  <c r="N132" i="3"/>
  <c r="AI132" i="3"/>
  <c r="O132" i="3"/>
  <c r="S538" i="3"/>
  <c r="T538" i="3" s="1"/>
  <c r="U538" i="3"/>
  <c r="E540" i="3"/>
  <c r="R539" i="3"/>
  <c r="J539" i="3"/>
  <c r="D539" i="3"/>
  <c r="H539" i="3" s="1"/>
  <c r="F542" i="3"/>
  <c r="G131" i="4"/>
  <c r="I131" i="4" s="1"/>
  <c r="J131" i="4" s="1"/>
  <c r="H131" i="4"/>
  <c r="E583" i="16" l="1"/>
  <c r="F584" i="16" s="1"/>
  <c r="G585" i="16" s="1"/>
  <c r="H586" i="16" s="1"/>
  <c r="I587" i="16" s="1"/>
  <c r="J588" i="16" s="1"/>
  <c r="K589" i="16" s="1"/>
  <c r="L590" i="16" s="1"/>
  <c r="D583" i="16"/>
  <c r="P584" i="16"/>
  <c r="Q584" i="16"/>
  <c r="R585" i="16" s="1"/>
  <c r="S586" i="16" s="1"/>
  <c r="T587" i="16" s="1"/>
  <c r="P132" i="3"/>
  <c r="Q132" i="3" s="1"/>
  <c r="L132" i="4" s="1"/>
  <c r="K539" i="3"/>
  <c r="L539" i="3" s="1"/>
  <c r="S539" i="3"/>
  <c r="T539" i="3" s="1"/>
  <c r="U539" i="3"/>
  <c r="E541" i="3"/>
  <c r="R540" i="3"/>
  <c r="D540" i="3"/>
  <c r="H540" i="3" s="1"/>
  <c r="J540" i="3"/>
  <c r="I539" i="3"/>
  <c r="D539" i="4" s="1"/>
  <c r="E539" i="4"/>
  <c r="F539" i="4" s="1"/>
  <c r="M131" i="4"/>
  <c r="K131" i="4"/>
  <c r="F543" i="3"/>
  <c r="P585" i="16" l="1"/>
  <c r="Q585" i="16"/>
  <c r="R586" i="16" s="1"/>
  <c r="S587" i="16" s="1"/>
  <c r="T588" i="16" s="1"/>
  <c r="E584" i="16"/>
  <c r="F585" i="16" s="1"/>
  <c r="G586" i="16" s="1"/>
  <c r="H587" i="16" s="1"/>
  <c r="I588" i="16" s="1"/>
  <c r="J589" i="16" s="1"/>
  <c r="K590" i="16" s="1"/>
  <c r="L591" i="16" s="1"/>
  <c r="D584" i="16"/>
  <c r="V132" i="3"/>
  <c r="W132" i="3" s="1"/>
  <c r="X132" i="3" s="1"/>
  <c r="Y132" i="3" s="1"/>
  <c r="Z132" i="3" s="1"/>
  <c r="AA132" i="3" s="1"/>
  <c r="AB132" i="3" s="1"/>
  <c r="U540" i="3"/>
  <c r="S540" i="3"/>
  <c r="T540" i="3" s="1"/>
  <c r="K540" i="3"/>
  <c r="L540" i="3" s="1"/>
  <c r="I540" i="3"/>
  <c r="D540" i="4" s="1"/>
  <c r="E540" i="4"/>
  <c r="F540" i="4" s="1"/>
  <c r="E542" i="3"/>
  <c r="R541" i="3"/>
  <c r="J541" i="3"/>
  <c r="D541" i="3"/>
  <c r="H541" i="3" s="1"/>
  <c r="F544" i="3"/>
  <c r="D585" i="16" l="1"/>
  <c r="E585" i="16"/>
  <c r="F586" i="16" s="1"/>
  <c r="G587" i="16" s="1"/>
  <c r="H588" i="16" s="1"/>
  <c r="I589" i="16" s="1"/>
  <c r="J590" i="16" s="1"/>
  <c r="K591" i="16" s="1"/>
  <c r="L592" i="16" s="1"/>
  <c r="Q586" i="16"/>
  <c r="R587" i="16" s="1"/>
  <c r="S588" i="16" s="1"/>
  <c r="T589" i="16" s="1"/>
  <c r="P586" i="16"/>
  <c r="C132" i="4"/>
  <c r="M133" i="3"/>
  <c r="AC132" i="3"/>
  <c r="AD132" i="3" s="1"/>
  <c r="S541" i="3"/>
  <c r="T541" i="3" s="1"/>
  <c r="U541" i="3"/>
  <c r="I541" i="3"/>
  <c r="D541" i="4" s="1"/>
  <c r="E541" i="4"/>
  <c r="F541" i="4" s="1"/>
  <c r="E543" i="3"/>
  <c r="J542" i="3"/>
  <c r="R542" i="3"/>
  <c r="D542" i="3"/>
  <c r="H542" i="3" s="1"/>
  <c r="K541" i="3"/>
  <c r="L541" i="3" s="1"/>
  <c r="F545" i="3"/>
  <c r="P587" i="16" l="1"/>
  <c r="Q587" i="16"/>
  <c r="R588" i="16" s="1"/>
  <c r="S589" i="16" s="1"/>
  <c r="T590" i="16" s="1"/>
  <c r="D586" i="16"/>
  <c r="E586" i="16"/>
  <c r="F587" i="16" s="1"/>
  <c r="G588" i="16" s="1"/>
  <c r="H589" i="16" s="1"/>
  <c r="I590" i="16" s="1"/>
  <c r="J591" i="16" s="1"/>
  <c r="K592" i="16" s="1"/>
  <c r="L593" i="16" s="1"/>
  <c r="E542" i="4"/>
  <c r="F542" i="4" s="1"/>
  <c r="I542" i="3"/>
  <c r="D542" i="4" s="1"/>
  <c r="U542" i="3"/>
  <c r="S542" i="3"/>
  <c r="T542" i="3" s="1"/>
  <c r="E544" i="3"/>
  <c r="R543" i="3"/>
  <c r="J543" i="3"/>
  <c r="D543" i="3"/>
  <c r="H543" i="3" s="1"/>
  <c r="O133" i="3"/>
  <c r="N133" i="3"/>
  <c r="AI133" i="3"/>
  <c r="K542" i="3"/>
  <c r="L542" i="3" s="1"/>
  <c r="F546" i="3"/>
  <c r="H132" i="4"/>
  <c r="G132" i="4"/>
  <c r="I132" i="4" s="1"/>
  <c r="J132" i="4" s="1"/>
  <c r="D587" i="16" l="1"/>
  <c r="E587" i="16"/>
  <c r="F588" i="16" s="1"/>
  <c r="G589" i="16" s="1"/>
  <c r="H590" i="16" s="1"/>
  <c r="I591" i="16" s="1"/>
  <c r="J592" i="16" s="1"/>
  <c r="K593" i="16" s="1"/>
  <c r="L594" i="16" s="1"/>
  <c r="P588" i="16"/>
  <c r="Q588" i="16"/>
  <c r="R589" i="16" s="1"/>
  <c r="S590" i="16" s="1"/>
  <c r="T591" i="16" s="1"/>
  <c r="P133" i="3"/>
  <c r="Q133" i="3" s="1"/>
  <c r="K543" i="3"/>
  <c r="L543" i="3" s="1"/>
  <c r="M132" i="4"/>
  <c r="K132" i="4"/>
  <c r="E543" i="4"/>
  <c r="F543" i="4" s="1"/>
  <c r="I543" i="3"/>
  <c r="D543" i="4" s="1"/>
  <c r="S543" i="3"/>
  <c r="T543" i="3" s="1"/>
  <c r="U543" i="3"/>
  <c r="E545" i="3"/>
  <c r="J544" i="3"/>
  <c r="R544" i="3"/>
  <c r="D544" i="3"/>
  <c r="H544" i="3" s="1"/>
  <c r="F547" i="3"/>
  <c r="P589" i="16" l="1"/>
  <c r="Q589" i="16"/>
  <c r="R590" i="16" s="1"/>
  <c r="S591" i="16" s="1"/>
  <c r="T592" i="16" s="1"/>
  <c r="E588" i="16"/>
  <c r="F589" i="16" s="1"/>
  <c r="G590" i="16" s="1"/>
  <c r="H591" i="16" s="1"/>
  <c r="I592" i="16" s="1"/>
  <c r="J593" i="16" s="1"/>
  <c r="K594" i="16" s="1"/>
  <c r="L595" i="16" s="1"/>
  <c r="D588" i="16"/>
  <c r="K544" i="3"/>
  <c r="L544" i="3" s="1"/>
  <c r="F548" i="3"/>
  <c r="S544" i="3"/>
  <c r="T544" i="3" s="1"/>
  <c r="U544" i="3"/>
  <c r="E546" i="3"/>
  <c r="J545" i="3"/>
  <c r="D545" i="3"/>
  <c r="H545" i="3" s="1"/>
  <c r="R545" i="3"/>
  <c r="I544" i="3"/>
  <c r="D544" i="4" s="1"/>
  <c r="E544" i="4"/>
  <c r="F544" i="4" s="1"/>
  <c r="L133" i="4"/>
  <c r="V133" i="3"/>
  <c r="D589" i="16" l="1"/>
  <c r="E589" i="16"/>
  <c r="F590" i="16" s="1"/>
  <c r="G591" i="16" s="1"/>
  <c r="H592" i="16" s="1"/>
  <c r="I593" i="16" s="1"/>
  <c r="J594" i="16" s="1"/>
  <c r="K595" i="16" s="1"/>
  <c r="L596" i="16" s="1"/>
  <c r="Q590" i="16"/>
  <c r="R591" i="16" s="1"/>
  <c r="S592" i="16" s="1"/>
  <c r="T593" i="16" s="1"/>
  <c r="P590" i="16"/>
  <c r="U545" i="3"/>
  <c r="S545" i="3"/>
  <c r="T545" i="3" s="1"/>
  <c r="I545" i="3"/>
  <c r="D545" i="4" s="1"/>
  <c r="E545" i="4"/>
  <c r="F545" i="4" s="1"/>
  <c r="E547" i="3"/>
  <c r="J546" i="3"/>
  <c r="R546" i="3"/>
  <c r="D546" i="3"/>
  <c r="H546" i="3" s="1"/>
  <c r="K545" i="3"/>
  <c r="L545" i="3" s="1"/>
  <c r="F549" i="3"/>
  <c r="W133" i="3"/>
  <c r="X133" i="3" s="1"/>
  <c r="Y133" i="3" s="1"/>
  <c r="Z133" i="3" s="1"/>
  <c r="AA133" i="3" s="1"/>
  <c r="AB133" i="3" s="1"/>
  <c r="Q591" i="16" l="1"/>
  <c r="R592" i="16" s="1"/>
  <c r="S593" i="16" s="1"/>
  <c r="T594" i="16" s="1"/>
  <c r="P591" i="16"/>
  <c r="E590" i="16"/>
  <c r="F591" i="16" s="1"/>
  <c r="G592" i="16" s="1"/>
  <c r="H593" i="16" s="1"/>
  <c r="I594" i="16" s="1"/>
  <c r="J595" i="16" s="1"/>
  <c r="K596" i="16" s="1"/>
  <c r="L597" i="16" s="1"/>
  <c r="D590" i="16"/>
  <c r="AC133" i="3"/>
  <c r="AD133" i="3" s="1"/>
  <c r="C133" i="4"/>
  <c r="M134" i="3"/>
  <c r="F550" i="3"/>
  <c r="U546" i="3"/>
  <c r="S546" i="3"/>
  <c r="T546" i="3" s="1"/>
  <c r="I546" i="3"/>
  <c r="D546" i="4" s="1"/>
  <c r="E546" i="4"/>
  <c r="F546" i="4" s="1"/>
  <c r="K546" i="3"/>
  <c r="L546" i="3" s="1"/>
  <c r="E548" i="3"/>
  <c r="R547" i="3"/>
  <c r="J547" i="3"/>
  <c r="D547" i="3"/>
  <c r="H547" i="3" s="1"/>
  <c r="D591" i="16" l="1"/>
  <c r="E591" i="16"/>
  <c r="F592" i="16" s="1"/>
  <c r="G593" i="16" s="1"/>
  <c r="H594" i="16" s="1"/>
  <c r="I595" i="16" s="1"/>
  <c r="J596" i="16" s="1"/>
  <c r="K597" i="16" s="1"/>
  <c r="L598" i="16" s="1"/>
  <c r="P592" i="16"/>
  <c r="Q592" i="16"/>
  <c r="R593" i="16" s="1"/>
  <c r="S594" i="16" s="1"/>
  <c r="T595" i="16" s="1"/>
  <c r="K547" i="3"/>
  <c r="L547" i="3" s="1"/>
  <c r="E549" i="3"/>
  <c r="D548" i="3"/>
  <c r="H548" i="3" s="1"/>
  <c r="R548" i="3"/>
  <c r="J548" i="3"/>
  <c r="F551" i="3"/>
  <c r="S547" i="3"/>
  <c r="T547" i="3" s="1"/>
  <c r="U547" i="3"/>
  <c r="O134" i="3"/>
  <c r="N134" i="3"/>
  <c r="AI134" i="3"/>
  <c r="H133" i="4"/>
  <c r="G133" i="4"/>
  <c r="I133" i="4" s="1"/>
  <c r="J133" i="4" s="1"/>
  <c r="E547" i="4"/>
  <c r="F547" i="4" s="1"/>
  <c r="I547" i="3"/>
  <c r="D547" i="4" s="1"/>
  <c r="P593" i="16" l="1"/>
  <c r="Q593" i="16"/>
  <c r="R594" i="16" s="1"/>
  <c r="S595" i="16" s="1"/>
  <c r="T596" i="16" s="1"/>
  <c r="D592" i="16"/>
  <c r="E592" i="16"/>
  <c r="F593" i="16" s="1"/>
  <c r="G594" i="16" s="1"/>
  <c r="H595" i="16" s="1"/>
  <c r="I596" i="16" s="1"/>
  <c r="J597" i="16" s="1"/>
  <c r="K598" i="16" s="1"/>
  <c r="L599" i="16" s="1"/>
  <c r="P134" i="3"/>
  <c r="Q134" i="3" s="1"/>
  <c r="L134" i="4" s="1"/>
  <c r="K548" i="3"/>
  <c r="L548" i="3" s="1"/>
  <c r="S548" i="3"/>
  <c r="T548" i="3" s="1"/>
  <c r="U548" i="3"/>
  <c r="K133" i="4"/>
  <c r="M133" i="4"/>
  <c r="I548" i="3"/>
  <c r="D548" i="4" s="1"/>
  <c r="E548" i="4"/>
  <c r="F548" i="4" s="1"/>
  <c r="F552" i="3"/>
  <c r="E550" i="3"/>
  <c r="R549" i="3"/>
  <c r="D549" i="3"/>
  <c r="H549" i="3" s="1"/>
  <c r="J549" i="3"/>
  <c r="V134" i="3" l="1"/>
  <c r="D593" i="16"/>
  <c r="E593" i="16"/>
  <c r="F594" i="16" s="1"/>
  <c r="G595" i="16" s="1"/>
  <c r="H596" i="16" s="1"/>
  <c r="I597" i="16" s="1"/>
  <c r="J598" i="16" s="1"/>
  <c r="K599" i="16" s="1"/>
  <c r="L600" i="16" s="1"/>
  <c r="P594" i="16"/>
  <c r="Q594" i="16"/>
  <c r="R595" i="16" s="1"/>
  <c r="S596" i="16" s="1"/>
  <c r="T597" i="16" s="1"/>
  <c r="F553" i="3"/>
  <c r="W134" i="3"/>
  <c r="X134" i="3" s="1"/>
  <c r="Y134" i="3" s="1"/>
  <c r="Z134" i="3" s="1"/>
  <c r="AA134" i="3" s="1"/>
  <c r="AB134" i="3" s="1"/>
  <c r="I549" i="3"/>
  <c r="D549" i="4" s="1"/>
  <c r="E549" i="4"/>
  <c r="F549" i="4" s="1"/>
  <c r="E551" i="3"/>
  <c r="J550" i="3"/>
  <c r="D550" i="3"/>
  <c r="H550" i="3" s="1"/>
  <c r="R550" i="3"/>
  <c r="K549" i="3"/>
  <c r="L549" i="3" s="1"/>
  <c r="U549" i="3"/>
  <c r="S549" i="3"/>
  <c r="T549" i="3" s="1"/>
  <c r="Q595" i="16" l="1"/>
  <c r="R596" i="16" s="1"/>
  <c r="S597" i="16" s="1"/>
  <c r="T598" i="16" s="1"/>
  <c r="P595" i="16"/>
  <c r="D594" i="16"/>
  <c r="E594" i="16"/>
  <c r="F595" i="16" s="1"/>
  <c r="G596" i="16" s="1"/>
  <c r="H597" i="16" s="1"/>
  <c r="I598" i="16" s="1"/>
  <c r="J599" i="16" s="1"/>
  <c r="K600" i="16" s="1"/>
  <c r="L601" i="16" s="1"/>
  <c r="K550" i="3"/>
  <c r="L550" i="3" s="1"/>
  <c r="M135" i="3"/>
  <c r="C134" i="4"/>
  <c r="AC134" i="3"/>
  <c r="AD134" i="3" s="1"/>
  <c r="S550" i="3"/>
  <c r="T550" i="3" s="1"/>
  <c r="U550" i="3"/>
  <c r="I550" i="3"/>
  <c r="D550" i="4" s="1"/>
  <c r="E550" i="4"/>
  <c r="F550" i="4" s="1"/>
  <c r="E552" i="3"/>
  <c r="J551" i="3"/>
  <c r="D551" i="3"/>
  <c r="H551" i="3" s="1"/>
  <c r="R551" i="3"/>
  <c r="F554" i="3"/>
  <c r="D595" i="16" l="1"/>
  <c r="E595" i="16"/>
  <c r="F596" i="16" s="1"/>
  <c r="G597" i="16" s="1"/>
  <c r="H598" i="16" s="1"/>
  <c r="I599" i="16" s="1"/>
  <c r="J600" i="16" s="1"/>
  <c r="K601" i="16" s="1"/>
  <c r="L602" i="16" s="1"/>
  <c r="Q596" i="16"/>
  <c r="R597" i="16" s="1"/>
  <c r="S598" i="16" s="1"/>
  <c r="T599" i="16" s="1"/>
  <c r="P596" i="16"/>
  <c r="I551" i="3"/>
  <c r="D551" i="4" s="1"/>
  <c r="E551" i="4"/>
  <c r="F551" i="4" s="1"/>
  <c r="S551" i="3"/>
  <c r="T551" i="3" s="1"/>
  <c r="U551" i="3"/>
  <c r="E553" i="3"/>
  <c r="D552" i="3"/>
  <c r="H552" i="3" s="1"/>
  <c r="R552" i="3"/>
  <c r="J552" i="3"/>
  <c r="K551" i="3"/>
  <c r="L551" i="3" s="1"/>
  <c r="F555" i="3"/>
  <c r="H134" i="4"/>
  <c r="G134" i="4"/>
  <c r="I134" i="4" s="1"/>
  <c r="J134" i="4" s="1"/>
  <c r="N135" i="3"/>
  <c r="O135" i="3"/>
  <c r="AI135" i="3"/>
  <c r="P597" i="16" l="1"/>
  <c r="Q597" i="16"/>
  <c r="R598" i="16" s="1"/>
  <c r="S599" i="16" s="1"/>
  <c r="T600" i="16" s="1"/>
  <c r="E596" i="16"/>
  <c r="F597" i="16" s="1"/>
  <c r="G598" i="16" s="1"/>
  <c r="H599" i="16" s="1"/>
  <c r="I600" i="16" s="1"/>
  <c r="J601" i="16" s="1"/>
  <c r="K602" i="16" s="1"/>
  <c r="L603" i="16" s="1"/>
  <c r="D596" i="16"/>
  <c r="P135" i="3"/>
  <c r="Q135" i="3" s="1"/>
  <c r="L135" i="4" s="1"/>
  <c r="K552" i="3"/>
  <c r="L552" i="3" s="1"/>
  <c r="M134" i="4"/>
  <c r="K134" i="4"/>
  <c r="F556" i="3"/>
  <c r="S552" i="3"/>
  <c r="T552" i="3" s="1"/>
  <c r="U552" i="3"/>
  <c r="I552" i="3"/>
  <c r="D552" i="4" s="1"/>
  <c r="E552" i="4"/>
  <c r="F552" i="4" s="1"/>
  <c r="E554" i="3"/>
  <c r="D553" i="3"/>
  <c r="H553" i="3" s="1"/>
  <c r="J553" i="3"/>
  <c r="R553" i="3"/>
  <c r="V135" i="3" l="1"/>
  <c r="W135" i="3" s="1"/>
  <c r="X135" i="3" s="1"/>
  <c r="Y135" i="3" s="1"/>
  <c r="Z135" i="3" s="1"/>
  <c r="AA135" i="3" s="1"/>
  <c r="AB135" i="3" s="1"/>
  <c r="D597" i="16"/>
  <c r="E597" i="16"/>
  <c r="F598" i="16" s="1"/>
  <c r="G599" i="16" s="1"/>
  <c r="H600" i="16" s="1"/>
  <c r="I601" i="16" s="1"/>
  <c r="J602" i="16" s="1"/>
  <c r="K603" i="16" s="1"/>
  <c r="L604" i="16" s="1"/>
  <c r="Q598" i="16"/>
  <c r="R599" i="16" s="1"/>
  <c r="S600" i="16" s="1"/>
  <c r="T601" i="16" s="1"/>
  <c r="P598" i="16"/>
  <c r="K553" i="3"/>
  <c r="L553" i="3" s="1"/>
  <c r="E555" i="3"/>
  <c r="R554" i="3"/>
  <c r="D554" i="3"/>
  <c r="H554" i="3" s="1"/>
  <c r="J554" i="3"/>
  <c r="U553" i="3"/>
  <c r="S553" i="3"/>
  <c r="T553" i="3" s="1"/>
  <c r="F557" i="3"/>
  <c r="E553" i="4"/>
  <c r="F553" i="4" s="1"/>
  <c r="I553" i="3"/>
  <c r="D553" i="4" s="1"/>
  <c r="Q599" i="16" l="1"/>
  <c r="R600" i="16" s="1"/>
  <c r="S601" i="16" s="1"/>
  <c r="T602" i="16" s="1"/>
  <c r="P599" i="16"/>
  <c r="D598" i="16"/>
  <c r="E598" i="16"/>
  <c r="F599" i="16" s="1"/>
  <c r="G600" i="16" s="1"/>
  <c r="H601" i="16" s="1"/>
  <c r="I602" i="16" s="1"/>
  <c r="J603" i="16" s="1"/>
  <c r="K604" i="16" s="1"/>
  <c r="L605" i="16" s="1"/>
  <c r="K554" i="3"/>
  <c r="L554" i="3" s="1"/>
  <c r="F558" i="3"/>
  <c r="M136" i="3"/>
  <c r="C135" i="4"/>
  <c r="AC135" i="3"/>
  <c r="AD135" i="3" s="1"/>
  <c r="I554" i="3"/>
  <c r="D554" i="4" s="1"/>
  <c r="E554" i="4"/>
  <c r="F554" i="4" s="1"/>
  <c r="S554" i="3"/>
  <c r="T554" i="3" s="1"/>
  <c r="U554" i="3"/>
  <c r="E556" i="3"/>
  <c r="J555" i="3"/>
  <c r="D555" i="3"/>
  <c r="H555" i="3" s="1"/>
  <c r="R555" i="3"/>
  <c r="D599" i="16" l="1"/>
  <c r="E599" i="16"/>
  <c r="F600" i="16" s="1"/>
  <c r="G601" i="16" s="1"/>
  <c r="H602" i="16" s="1"/>
  <c r="I603" i="16" s="1"/>
  <c r="J604" i="16" s="1"/>
  <c r="K605" i="16" s="1"/>
  <c r="L606" i="16" s="1"/>
  <c r="P600" i="16"/>
  <c r="Q600" i="16"/>
  <c r="R601" i="16" s="1"/>
  <c r="S602" i="16" s="1"/>
  <c r="T603" i="16" s="1"/>
  <c r="K555" i="3"/>
  <c r="L555" i="3" s="1"/>
  <c r="E557" i="3"/>
  <c r="D556" i="3"/>
  <c r="H556" i="3" s="1"/>
  <c r="J556" i="3"/>
  <c r="R556" i="3"/>
  <c r="I555" i="3"/>
  <c r="D555" i="4" s="1"/>
  <c r="E555" i="4"/>
  <c r="F555" i="4" s="1"/>
  <c r="F559" i="3"/>
  <c r="G135" i="4"/>
  <c r="I135" i="4" s="1"/>
  <c r="J135" i="4" s="1"/>
  <c r="H135" i="4"/>
  <c r="O136" i="3"/>
  <c r="AI136" i="3"/>
  <c r="N136" i="3"/>
  <c r="S555" i="3"/>
  <c r="T555" i="3" s="1"/>
  <c r="U555" i="3"/>
  <c r="P601" i="16" l="1"/>
  <c r="Q601" i="16"/>
  <c r="R602" i="16" s="1"/>
  <c r="S603" i="16" s="1"/>
  <c r="T604" i="16" s="1"/>
  <c r="E600" i="16"/>
  <c r="F601" i="16" s="1"/>
  <c r="G602" i="16" s="1"/>
  <c r="H603" i="16" s="1"/>
  <c r="I604" i="16" s="1"/>
  <c r="J605" i="16" s="1"/>
  <c r="K606" i="16" s="1"/>
  <c r="L607" i="16" s="1"/>
  <c r="D600" i="16"/>
  <c r="K556" i="3"/>
  <c r="L556" i="3" s="1"/>
  <c r="F560" i="3"/>
  <c r="S556" i="3"/>
  <c r="T556" i="3" s="1"/>
  <c r="U556" i="3"/>
  <c r="M135" i="4"/>
  <c r="K135" i="4"/>
  <c r="E556" i="4"/>
  <c r="F556" i="4" s="1"/>
  <c r="I556" i="3"/>
  <c r="D556" i="4" s="1"/>
  <c r="E558" i="3"/>
  <c r="R557" i="3"/>
  <c r="D557" i="3"/>
  <c r="H557" i="3" s="1"/>
  <c r="J557" i="3"/>
  <c r="P136" i="3"/>
  <c r="Q136" i="3" s="1"/>
  <c r="D601" i="16" l="1"/>
  <c r="E601" i="16"/>
  <c r="F602" i="16" s="1"/>
  <c r="G603" i="16" s="1"/>
  <c r="H604" i="16" s="1"/>
  <c r="I605" i="16" s="1"/>
  <c r="J606" i="16" s="1"/>
  <c r="K607" i="16" s="1"/>
  <c r="L608" i="16" s="1"/>
  <c r="P602" i="16"/>
  <c r="Q602" i="16"/>
  <c r="R603" i="16" s="1"/>
  <c r="S604" i="16" s="1"/>
  <c r="T605" i="16" s="1"/>
  <c r="K557" i="3"/>
  <c r="L557" i="3" s="1"/>
  <c r="E557" i="4"/>
  <c r="F557" i="4" s="1"/>
  <c r="I557" i="3"/>
  <c r="D557" i="4" s="1"/>
  <c r="S557" i="3"/>
  <c r="T557" i="3" s="1"/>
  <c r="U557" i="3"/>
  <c r="E559" i="3"/>
  <c r="D558" i="3"/>
  <c r="H558" i="3" s="1"/>
  <c r="J558" i="3"/>
  <c r="R558" i="3"/>
  <c r="F561" i="3"/>
  <c r="L136" i="4"/>
  <c r="V136" i="3"/>
  <c r="P603" i="16" l="1"/>
  <c r="Q603" i="16"/>
  <c r="R604" i="16" s="1"/>
  <c r="S605" i="16" s="1"/>
  <c r="T606" i="16" s="1"/>
  <c r="E602" i="16"/>
  <c r="F603" i="16" s="1"/>
  <c r="G604" i="16" s="1"/>
  <c r="H605" i="16" s="1"/>
  <c r="I606" i="16" s="1"/>
  <c r="J607" i="16" s="1"/>
  <c r="K608" i="16" s="1"/>
  <c r="L609" i="16" s="1"/>
  <c r="D602" i="16"/>
  <c r="K558" i="3"/>
  <c r="L558" i="3" s="1"/>
  <c r="F562" i="3"/>
  <c r="S558" i="3"/>
  <c r="T558" i="3" s="1"/>
  <c r="U558" i="3"/>
  <c r="E560" i="3"/>
  <c r="J559" i="3"/>
  <c r="R559" i="3"/>
  <c r="D559" i="3"/>
  <c r="H559" i="3" s="1"/>
  <c r="W136" i="3"/>
  <c r="X136" i="3" s="1"/>
  <c r="Y136" i="3" s="1"/>
  <c r="Z136" i="3" s="1"/>
  <c r="AA136" i="3" s="1"/>
  <c r="AB136" i="3" s="1"/>
  <c r="I558" i="3"/>
  <c r="D558" i="4" s="1"/>
  <c r="E558" i="4"/>
  <c r="F558" i="4" s="1"/>
  <c r="D603" i="16" l="1"/>
  <c r="E603" i="16"/>
  <c r="F604" i="16" s="1"/>
  <c r="G605" i="16" s="1"/>
  <c r="H606" i="16" s="1"/>
  <c r="I607" i="16" s="1"/>
  <c r="J608" i="16" s="1"/>
  <c r="K609" i="16" s="1"/>
  <c r="L610" i="16" s="1"/>
  <c r="Q604" i="16"/>
  <c r="R605" i="16" s="1"/>
  <c r="S606" i="16" s="1"/>
  <c r="T607" i="16" s="1"/>
  <c r="P604" i="16"/>
  <c r="C136" i="4"/>
  <c r="AC136" i="3"/>
  <c r="AD136" i="3" s="1"/>
  <c r="M137" i="3"/>
  <c r="I559" i="3"/>
  <c r="D559" i="4" s="1"/>
  <c r="E559" i="4"/>
  <c r="F559" i="4" s="1"/>
  <c r="E561" i="3"/>
  <c r="R560" i="3"/>
  <c r="J560" i="3"/>
  <c r="D560" i="3"/>
  <c r="H560" i="3" s="1"/>
  <c r="K559" i="3"/>
  <c r="L559" i="3" s="1"/>
  <c r="U559" i="3"/>
  <c r="S559" i="3"/>
  <c r="T559" i="3" s="1"/>
  <c r="F563" i="3"/>
  <c r="Q605" i="16" l="1"/>
  <c r="R606" i="16" s="1"/>
  <c r="S607" i="16" s="1"/>
  <c r="T608" i="16" s="1"/>
  <c r="P605" i="16"/>
  <c r="D604" i="16"/>
  <c r="E604" i="16"/>
  <c r="F605" i="16" s="1"/>
  <c r="G606" i="16" s="1"/>
  <c r="H607" i="16" s="1"/>
  <c r="I608" i="16" s="1"/>
  <c r="J609" i="16" s="1"/>
  <c r="K610" i="16" s="1"/>
  <c r="L611" i="16" s="1"/>
  <c r="K560" i="3"/>
  <c r="L560" i="3" s="1"/>
  <c r="E560" i="4"/>
  <c r="F560" i="4" s="1"/>
  <c r="I560" i="3"/>
  <c r="D560" i="4" s="1"/>
  <c r="E562" i="3"/>
  <c r="R561" i="3"/>
  <c r="J561" i="3"/>
  <c r="D561" i="3"/>
  <c r="H561" i="3" s="1"/>
  <c r="F564" i="3"/>
  <c r="S560" i="3"/>
  <c r="T560" i="3" s="1"/>
  <c r="U560" i="3"/>
  <c r="AI137" i="3"/>
  <c r="O137" i="3"/>
  <c r="N137" i="3"/>
  <c r="H136" i="4"/>
  <c r="G136" i="4"/>
  <c r="I136" i="4" s="1"/>
  <c r="J136" i="4" s="1"/>
  <c r="D605" i="16" l="1"/>
  <c r="E605" i="16"/>
  <c r="F606" i="16" s="1"/>
  <c r="G607" i="16" s="1"/>
  <c r="H608" i="16" s="1"/>
  <c r="I609" i="16" s="1"/>
  <c r="J610" i="16" s="1"/>
  <c r="K611" i="16" s="1"/>
  <c r="L612" i="16" s="1"/>
  <c r="P606" i="16"/>
  <c r="Q606" i="16"/>
  <c r="R607" i="16" s="1"/>
  <c r="S608" i="16" s="1"/>
  <c r="T609" i="16" s="1"/>
  <c r="P137" i="3"/>
  <c r="Q137" i="3" s="1"/>
  <c r="L137" i="4" s="1"/>
  <c r="F565" i="3"/>
  <c r="K561" i="3"/>
  <c r="L561" i="3" s="1"/>
  <c r="S561" i="3"/>
  <c r="T561" i="3" s="1"/>
  <c r="U561" i="3"/>
  <c r="E563" i="3"/>
  <c r="R562" i="3"/>
  <c r="J562" i="3"/>
  <c r="D562" i="3"/>
  <c r="H562" i="3" s="1"/>
  <c r="K136" i="4"/>
  <c r="M136" i="4"/>
  <c r="I561" i="3"/>
  <c r="D561" i="4" s="1"/>
  <c r="E561" i="4"/>
  <c r="F561" i="4" s="1"/>
  <c r="Q607" i="16" l="1"/>
  <c r="R608" i="16" s="1"/>
  <c r="S609" i="16" s="1"/>
  <c r="T610" i="16" s="1"/>
  <c r="P607" i="16"/>
  <c r="D606" i="16"/>
  <c r="E606" i="16"/>
  <c r="F607" i="16" s="1"/>
  <c r="G608" i="16" s="1"/>
  <c r="H609" i="16" s="1"/>
  <c r="I610" i="16" s="1"/>
  <c r="J611" i="16" s="1"/>
  <c r="K612" i="16" s="1"/>
  <c r="L613" i="16" s="1"/>
  <c r="V137" i="3"/>
  <c r="W137" i="3" s="1"/>
  <c r="X137" i="3" s="1"/>
  <c r="Y137" i="3" s="1"/>
  <c r="Z137" i="3" s="1"/>
  <c r="AA137" i="3" s="1"/>
  <c r="AB137" i="3" s="1"/>
  <c r="K562" i="3"/>
  <c r="L562" i="3" s="1"/>
  <c r="I562" i="3"/>
  <c r="D562" i="4" s="1"/>
  <c r="E562" i="4"/>
  <c r="F562" i="4" s="1"/>
  <c r="S562" i="3"/>
  <c r="T562" i="3" s="1"/>
  <c r="U562" i="3"/>
  <c r="E564" i="3"/>
  <c r="J563" i="3"/>
  <c r="R563" i="3"/>
  <c r="D563" i="3"/>
  <c r="H563" i="3" s="1"/>
  <c r="F566" i="3"/>
  <c r="D607" i="16" l="1"/>
  <c r="E607" i="16"/>
  <c r="F608" i="16" s="1"/>
  <c r="G609" i="16" s="1"/>
  <c r="H610" i="16" s="1"/>
  <c r="I611" i="16" s="1"/>
  <c r="J612" i="16" s="1"/>
  <c r="K613" i="16" s="1"/>
  <c r="L614" i="16" s="1"/>
  <c r="P608" i="16"/>
  <c r="Q608" i="16"/>
  <c r="R609" i="16" s="1"/>
  <c r="S610" i="16" s="1"/>
  <c r="T611" i="16" s="1"/>
  <c r="C137" i="4"/>
  <c r="M138" i="3"/>
  <c r="AC137" i="3"/>
  <c r="AD137" i="3" s="1"/>
  <c r="F567" i="3"/>
  <c r="U563" i="3"/>
  <c r="S563" i="3"/>
  <c r="T563" i="3" s="1"/>
  <c r="I563" i="3"/>
  <c r="D563" i="4" s="1"/>
  <c r="E563" i="4"/>
  <c r="F563" i="4" s="1"/>
  <c r="E565" i="3"/>
  <c r="D564" i="3"/>
  <c r="H564" i="3" s="1"/>
  <c r="R564" i="3"/>
  <c r="J564" i="3"/>
  <c r="K563" i="3"/>
  <c r="L563" i="3" s="1"/>
  <c r="P609" i="16" l="1"/>
  <c r="Q609" i="16"/>
  <c r="R610" i="16" s="1"/>
  <c r="S611" i="16" s="1"/>
  <c r="T612" i="16" s="1"/>
  <c r="D608" i="16"/>
  <c r="E608" i="16"/>
  <c r="F609" i="16" s="1"/>
  <c r="G610" i="16" s="1"/>
  <c r="H611" i="16" s="1"/>
  <c r="I612" i="16" s="1"/>
  <c r="J613" i="16" s="1"/>
  <c r="K614" i="16" s="1"/>
  <c r="L615" i="16" s="1"/>
  <c r="K564" i="3"/>
  <c r="L564" i="3" s="1"/>
  <c r="S564" i="3"/>
  <c r="T564" i="3" s="1"/>
  <c r="U564" i="3"/>
  <c r="I564" i="3"/>
  <c r="D564" i="4" s="1"/>
  <c r="E564" i="4"/>
  <c r="F564" i="4" s="1"/>
  <c r="E566" i="3"/>
  <c r="R565" i="3"/>
  <c r="J565" i="3"/>
  <c r="D565" i="3"/>
  <c r="H565" i="3" s="1"/>
  <c r="F568" i="3"/>
  <c r="AI138" i="3"/>
  <c r="N138" i="3"/>
  <c r="O138" i="3"/>
  <c r="G137" i="4"/>
  <c r="I137" i="4" s="1"/>
  <c r="J137" i="4" s="1"/>
  <c r="H137" i="4"/>
  <c r="E609" i="16" l="1"/>
  <c r="F610" i="16" s="1"/>
  <c r="G611" i="16" s="1"/>
  <c r="H612" i="16" s="1"/>
  <c r="I613" i="16" s="1"/>
  <c r="J614" i="16" s="1"/>
  <c r="K615" i="16" s="1"/>
  <c r="L616" i="16" s="1"/>
  <c r="D609" i="16"/>
  <c r="P610" i="16"/>
  <c r="Q610" i="16"/>
  <c r="R611" i="16" s="1"/>
  <c r="S612" i="16" s="1"/>
  <c r="T613" i="16" s="1"/>
  <c r="E565" i="4"/>
  <c r="F565" i="4" s="1"/>
  <c r="I565" i="3"/>
  <c r="D565" i="4" s="1"/>
  <c r="E567" i="3"/>
  <c r="R566" i="3"/>
  <c r="J566" i="3"/>
  <c r="D566" i="3"/>
  <c r="H566" i="3" s="1"/>
  <c r="K565" i="3"/>
  <c r="L565" i="3" s="1"/>
  <c r="F569" i="3"/>
  <c r="S565" i="3"/>
  <c r="T565" i="3" s="1"/>
  <c r="U565" i="3"/>
  <c r="K137" i="4"/>
  <c r="M137" i="4"/>
  <c r="P138" i="3"/>
  <c r="Q138" i="3" s="1"/>
  <c r="P611" i="16" l="1"/>
  <c r="Q611" i="16"/>
  <c r="R612" i="16" s="1"/>
  <c r="S613" i="16" s="1"/>
  <c r="T614" i="16" s="1"/>
  <c r="E610" i="16"/>
  <c r="F611" i="16" s="1"/>
  <c r="G612" i="16" s="1"/>
  <c r="H613" i="16" s="1"/>
  <c r="I614" i="16" s="1"/>
  <c r="J615" i="16" s="1"/>
  <c r="K616" i="16" s="1"/>
  <c r="L617" i="16" s="1"/>
  <c r="D610" i="16"/>
  <c r="F570" i="3"/>
  <c r="S566" i="3"/>
  <c r="T566" i="3" s="1"/>
  <c r="U566" i="3"/>
  <c r="K566" i="3"/>
  <c r="L566" i="3" s="1"/>
  <c r="E568" i="3"/>
  <c r="R567" i="3"/>
  <c r="D567" i="3"/>
  <c r="H567" i="3" s="1"/>
  <c r="J567" i="3"/>
  <c r="E566" i="4"/>
  <c r="F566" i="4" s="1"/>
  <c r="I566" i="3"/>
  <c r="D566" i="4" s="1"/>
  <c r="L138" i="4"/>
  <c r="V138" i="3"/>
  <c r="D611" i="16" l="1"/>
  <c r="E611" i="16"/>
  <c r="F612" i="16" s="1"/>
  <c r="G613" i="16" s="1"/>
  <c r="H614" i="16" s="1"/>
  <c r="I615" i="16" s="1"/>
  <c r="J616" i="16" s="1"/>
  <c r="K617" i="16" s="1"/>
  <c r="L618" i="16" s="1"/>
  <c r="P612" i="16"/>
  <c r="Q612" i="16"/>
  <c r="R613" i="16" s="1"/>
  <c r="S614" i="16" s="1"/>
  <c r="T615" i="16" s="1"/>
  <c r="K567" i="3"/>
  <c r="L567" i="3" s="1"/>
  <c r="S567" i="3"/>
  <c r="T567" i="3" s="1"/>
  <c r="U567" i="3"/>
  <c r="F571" i="3"/>
  <c r="E567" i="4"/>
  <c r="F567" i="4" s="1"/>
  <c r="I567" i="3"/>
  <c r="D567" i="4" s="1"/>
  <c r="E569" i="3"/>
  <c r="J568" i="3"/>
  <c r="R568" i="3"/>
  <c r="D568" i="3"/>
  <c r="H568" i="3" s="1"/>
  <c r="W138" i="3"/>
  <c r="X138" i="3" s="1"/>
  <c r="Y138" i="3" s="1"/>
  <c r="Z138" i="3" s="1"/>
  <c r="AA138" i="3" s="1"/>
  <c r="AB138" i="3" s="1"/>
  <c r="P613" i="16" l="1"/>
  <c r="Q613" i="16"/>
  <c r="R614" i="16" s="1"/>
  <c r="S615" i="16" s="1"/>
  <c r="T616" i="16" s="1"/>
  <c r="E612" i="16"/>
  <c r="F613" i="16" s="1"/>
  <c r="G614" i="16" s="1"/>
  <c r="H615" i="16" s="1"/>
  <c r="I616" i="16" s="1"/>
  <c r="J617" i="16" s="1"/>
  <c r="K618" i="16" s="1"/>
  <c r="L619" i="16" s="1"/>
  <c r="D612" i="16"/>
  <c r="C138" i="4"/>
  <c r="AC138" i="3"/>
  <c r="AD138" i="3" s="1"/>
  <c r="M139" i="3"/>
  <c r="K568" i="3"/>
  <c r="L568" i="3" s="1"/>
  <c r="F572" i="3"/>
  <c r="E568" i="4"/>
  <c r="F568" i="4" s="1"/>
  <c r="I568" i="3"/>
  <c r="D568" i="4" s="1"/>
  <c r="E570" i="3"/>
  <c r="R569" i="3"/>
  <c r="D569" i="3"/>
  <c r="H569" i="3" s="1"/>
  <c r="J569" i="3"/>
  <c r="S568" i="3"/>
  <c r="T568" i="3" s="1"/>
  <c r="U568" i="3"/>
  <c r="D613" i="16" l="1"/>
  <c r="E613" i="16"/>
  <c r="F614" i="16" s="1"/>
  <c r="G615" i="16" s="1"/>
  <c r="H616" i="16" s="1"/>
  <c r="I617" i="16" s="1"/>
  <c r="J618" i="16" s="1"/>
  <c r="K619" i="16" s="1"/>
  <c r="L620" i="16" s="1"/>
  <c r="Q614" i="16"/>
  <c r="R615" i="16" s="1"/>
  <c r="S616" i="16" s="1"/>
  <c r="T617" i="16" s="1"/>
  <c r="P614" i="16"/>
  <c r="K569" i="3"/>
  <c r="L569" i="3" s="1"/>
  <c r="I569" i="3"/>
  <c r="D569" i="4" s="1"/>
  <c r="E569" i="4"/>
  <c r="F569" i="4" s="1"/>
  <c r="E571" i="3"/>
  <c r="D570" i="3"/>
  <c r="H570" i="3" s="1"/>
  <c r="J570" i="3"/>
  <c r="R570" i="3"/>
  <c r="O139" i="3"/>
  <c r="AI139" i="3"/>
  <c r="N139" i="3"/>
  <c r="S569" i="3"/>
  <c r="T569" i="3" s="1"/>
  <c r="U569" i="3"/>
  <c r="F573" i="3"/>
  <c r="H138" i="4"/>
  <c r="G138" i="4"/>
  <c r="I138" i="4" s="1"/>
  <c r="J138" i="4" s="1"/>
  <c r="Q615" i="16" l="1"/>
  <c r="R616" i="16" s="1"/>
  <c r="S617" i="16" s="1"/>
  <c r="T618" i="16" s="1"/>
  <c r="P615" i="16"/>
  <c r="D614" i="16"/>
  <c r="E614" i="16"/>
  <c r="F615" i="16" s="1"/>
  <c r="G616" i="16" s="1"/>
  <c r="H617" i="16" s="1"/>
  <c r="I618" i="16" s="1"/>
  <c r="J619" i="16" s="1"/>
  <c r="K620" i="16" s="1"/>
  <c r="L621" i="16" s="1"/>
  <c r="P139" i="3"/>
  <c r="Q139" i="3" s="1"/>
  <c r="L139" i="4" s="1"/>
  <c r="K570" i="3"/>
  <c r="L570" i="3" s="1"/>
  <c r="M138" i="4"/>
  <c r="K138" i="4"/>
  <c r="E572" i="3"/>
  <c r="R571" i="3"/>
  <c r="J571" i="3"/>
  <c r="D571" i="3"/>
  <c r="H571" i="3" s="1"/>
  <c r="U570" i="3"/>
  <c r="S570" i="3"/>
  <c r="T570" i="3" s="1"/>
  <c r="E570" i="4"/>
  <c r="F570" i="4" s="1"/>
  <c r="I570" i="3"/>
  <c r="D570" i="4" s="1"/>
  <c r="F574" i="3"/>
  <c r="V139" i="3" l="1"/>
  <c r="W139" i="3" s="1"/>
  <c r="X139" i="3" s="1"/>
  <c r="Y139" i="3" s="1"/>
  <c r="Z139" i="3" s="1"/>
  <c r="AA139" i="3" s="1"/>
  <c r="AB139" i="3" s="1"/>
  <c r="D615" i="16"/>
  <c r="E615" i="16"/>
  <c r="F616" i="16" s="1"/>
  <c r="G617" i="16" s="1"/>
  <c r="H618" i="16" s="1"/>
  <c r="I619" i="16" s="1"/>
  <c r="J620" i="16" s="1"/>
  <c r="K621" i="16" s="1"/>
  <c r="L622" i="16" s="1"/>
  <c r="P616" i="16"/>
  <c r="Q616" i="16"/>
  <c r="R617" i="16" s="1"/>
  <c r="S618" i="16" s="1"/>
  <c r="T619" i="16" s="1"/>
  <c r="K571" i="3"/>
  <c r="L571" i="3" s="1"/>
  <c r="I571" i="3"/>
  <c r="D571" i="4" s="1"/>
  <c r="E571" i="4"/>
  <c r="F571" i="4" s="1"/>
  <c r="E573" i="3"/>
  <c r="D572" i="3"/>
  <c r="H572" i="3" s="1"/>
  <c r="J572" i="3"/>
  <c r="R572" i="3"/>
  <c r="F575" i="3"/>
  <c r="U571" i="3"/>
  <c r="S571" i="3"/>
  <c r="T571" i="3" s="1"/>
  <c r="P617" i="16" l="1"/>
  <c r="Q617" i="16"/>
  <c r="R618" i="16" s="1"/>
  <c r="S619" i="16" s="1"/>
  <c r="T620" i="16" s="1"/>
  <c r="E616" i="16"/>
  <c r="F617" i="16" s="1"/>
  <c r="G618" i="16" s="1"/>
  <c r="H619" i="16" s="1"/>
  <c r="I620" i="16" s="1"/>
  <c r="J621" i="16" s="1"/>
  <c r="K622" i="16" s="1"/>
  <c r="L623" i="16" s="1"/>
  <c r="D616" i="16"/>
  <c r="C139" i="4"/>
  <c r="M140" i="3"/>
  <c r="AC139" i="3"/>
  <c r="AD139" i="3" s="1"/>
  <c r="E572" i="4"/>
  <c r="F572" i="4" s="1"/>
  <c r="I572" i="3"/>
  <c r="D572" i="4" s="1"/>
  <c r="F576" i="3"/>
  <c r="S572" i="3"/>
  <c r="T572" i="3" s="1"/>
  <c r="U572" i="3"/>
  <c r="E574" i="3"/>
  <c r="D573" i="3"/>
  <c r="H573" i="3" s="1"/>
  <c r="R573" i="3"/>
  <c r="J573" i="3"/>
  <c r="K572" i="3"/>
  <c r="L572" i="3" s="1"/>
  <c r="D617" i="16" l="1"/>
  <c r="E617" i="16"/>
  <c r="F618" i="16" s="1"/>
  <c r="G619" i="16" s="1"/>
  <c r="H620" i="16" s="1"/>
  <c r="I621" i="16" s="1"/>
  <c r="J622" i="16" s="1"/>
  <c r="K623" i="16" s="1"/>
  <c r="L624" i="16" s="1"/>
  <c r="P618" i="16"/>
  <c r="Q618" i="16"/>
  <c r="R619" i="16" s="1"/>
  <c r="S620" i="16" s="1"/>
  <c r="T621" i="16" s="1"/>
  <c r="K573" i="3"/>
  <c r="L573" i="3" s="1"/>
  <c r="S573" i="3"/>
  <c r="T573" i="3" s="1"/>
  <c r="U573" i="3"/>
  <c r="F577" i="3"/>
  <c r="E573" i="4"/>
  <c r="F573" i="4" s="1"/>
  <c r="I573" i="3"/>
  <c r="D573" i="4" s="1"/>
  <c r="E575" i="3"/>
  <c r="D574" i="3"/>
  <c r="H574" i="3" s="1"/>
  <c r="R574" i="3"/>
  <c r="J574" i="3"/>
  <c r="AI140" i="3"/>
  <c r="N140" i="3"/>
  <c r="O140" i="3"/>
  <c r="G139" i="4"/>
  <c r="I139" i="4" s="1"/>
  <c r="J139" i="4" s="1"/>
  <c r="H139" i="4"/>
  <c r="P619" i="16" l="1"/>
  <c r="Q619" i="16"/>
  <c r="R620" i="16" s="1"/>
  <c r="S621" i="16" s="1"/>
  <c r="T622" i="16" s="1"/>
  <c r="E618" i="16"/>
  <c r="F619" i="16" s="1"/>
  <c r="G620" i="16" s="1"/>
  <c r="H621" i="16" s="1"/>
  <c r="I622" i="16" s="1"/>
  <c r="J623" i="16" s="1"/>
  <c r="K624" i="16" s="1"/>
  <c r="L625" i="16" s="1"/>
  <c r="D618" i="16"/>
  <c r="P140" i="3"/>
  <c r="Q140" i="3" s="1"/>
  <c r="V140" i="3" s="1"/>
  <c r="E574" i="4"/>
  <c r="F574" i="4" s="1"/>
  <c r="I574" i="3"/>
  <c r="D574" i="4" s="1"/>
  <c r="F578" i="3"/>
  <c r="U574" i="3"/>
  <c r="S574" i="3"/>
  <c r="T574" i="3" s="1"/>
  <c r="K574" i="3"/>
  <c r="L574" i="3" s="1"/>
  <c r="E576" i="3"/>
  <c r="J575" i="3"/>
  <c r="R575" i="3"/>
  <c r="D575" i="3"/>
  <c r="H575" i="3" s="1"/>
  <c r="K139" i="4"/>
  <c r="M139" i="4"/>
  <c r="L140" i="4" l="1"/>
  <c r="E619" i="16"/>
  <c r="F620" i="16" s="1"/>
  <c r="G621" i="16" s="1"/>
  <c r="H622" i="16" s="1"/>
  <c r="I623" i="16" s="1"/>
  <c r="J624" i="16" s="1"/>
  <c r="K625" i="16" s="1"/>
  <c r="L626" i="16" s="1"/>
  <c r="D619" i="16"/>
  <c r="P620" i="16"/>
  <c r="Q620" i="16"/>
  <c r="R621" i="16" s="1"/>
  <c r="S622" i="16" s="1"/>
  <c r="T623" i="16" s="1"/>
  <c r="S575" i="3"/>
  <c r="T575" i="3" s="1"/>
  <c r="U575" i="3"/>
  <c r="E577" i="3"/>
  <c r="R576" i="3"/>
  <c r="J576" i="3"/>
  <c r="D576" i="3"/>
  <c r="H576" i="3" s="1"/>
  <c r="I575" i="3"/>
  <c r="D575" i="4" s="1"/>
  <c r="E575" i="4"/>
  <c r="F575" i="4" s="1"/>
  <c r="W140" i="3"/>
  <c r="X140" i="3" s="1"/>
  <c r="Y140" i="3" s="1"/>
  <c r="Z140" i="3" s="1"/>
  <c r="AA140" i="3" s="1"/>
  <c r="AB140" i="3" s="1"/>
  <c r="K575" i="3"/>
  <c r="L575" i="3" s="1"/>
  <c r="F579" i="3"/>
  <c r="P621" i="16" l="1"/>
  <c r="Q621" i="16"/>
  <c r="R622" i="16" s="1"/>
  <c r="S623" i="16" s="1"/>
  <c r="T624" i="16" s="1"/>
  <c r="D620" i="16"/>
  <c r="E620" i="16"/>
  <c r="F621" i="16" s="1"/>
  <c r="G622" i="16" s="1"/>
  <c r="H623" i="16" s="1"/>
  <c r="I624" i="16" s="1"/>
  <c r="J625" i="16" s="1"/>
  <c r="K626" i="16" s="1"/>
  <c r="L627" i="16" s="1"/>
  <c r="K576" i="3"/>
  <c r="L576" i="3" s="1"/>
  <c r="M141" i="3"/>
  <c r="AC140" i="3"/>
  <c r="AD140" i="3" s="1"/>
  <c r="C140" i="4"/>
  <c r="F580" i="3"/>
  <c r="E576" i="4"/>
  <c r="F576" i="4" s="1"/>
  <c r="I576" i="3"/>
  <c r="D576" i="4" s="1"/>
  <c r="U576" i="3"/>
  <c r="S576" i="3"/>
  <c r="T576" i="3" s="1"/>
  <c r="E578" i="3"/>
  <c r="J577" i="3"/>
  <c r="D577" i="3"/>
  <c r="H577" i="3" s="1"/>
  <c r="R577" i="3"/>
  <c r="E621" i="16" l="1"/>
  <c r="F622" i="16" s="1"/>
  <c r="G623" i="16" s="1"/>
  <c r="H624" i="16" s="1"/>
  <c r="I625" i="16" s="1"/>
  <c r="J626" i="16" s="1"/>
  <c r="K627" i="16" s="1"/>
  <c r="L628" i="16" s="1"/>
  <c r="D621" i="16"/>
  <c r="Q622" i="16"/>
  <c r="R623" i="16" s="1"/>
  <c r="S624" i="16" s="1"/>
  <c r="T625" i="16" s="1"/>
  <c r="P622" i="16"/>
  <c r="S577" i="3"/>
  <c r="T577" i="3" s="1"/>
  <c r="U577" i="3"/>
  <c r="E577" i="4"/>
  <c r="F577" i="4" s="1"/>
  <c r="I577" i="3"/>
  <c r="D577" i="4" s="1"/>
  <c r="F581" i="3"/>
  <c r="K577" i="3"/>
  <c r="L577" i="3" s="1"/>
  <c r="E579" i="3"/>
  <c r="R578" i="3"/>
  <c r="J578" i="3"/>
  <c r="D578" i="3"/>
  <c r="H578" i="3" s="1"/>
  <c r="H140" i="4"/>
  <c r="G140" i="4"/>
  <c r="I140" i="4" s="1"/>
  <c r="J140" i="4" s="1"/>
  <c r="O141" i="3"/>
  <c r="AI141" i="3"/>
  <c r="N141" i="3"/>
  <c r="Q623" i="16" l="1"/>
  <c r="R624" i="16" s="1"/>
  <c r="S625" i="16" s="1"/>
  <c r="T626" i="16" s="1"/>
  <c r="P623" i="16"/>
  <c r="D622" i="16"/>
  <c r="E622" i="16"/>
  <c r="F623" i="16" s="1"/>
  <c r="G624" i="16" s="1"/>
  <c r="H625" i="16" s="1"/>
  <c r="I626" i="16" s="1"/>
  <c r="J627" i="16" s="1"/>
  <c r="K628" i="16" s="1"/>
  <c r="L629" i="16" s="1"/>
  <c r="P141" i="3"/>
  <c r="Q141" i="3" s="1"/>
  <c r="V141" i="3" s="1"/>
  <c r="I578" i="3"/>
  <c r="D578" i="4" s="1"/>
  <c r="E578" i="4"/>
  <c r="F578" i="4" s="1"/>
  <c r="F582" i="3"/>
  <c r="K578" i="3"/>
  <c r="L578" i="3" s="1"/>
  <c r="U578" i="3"/>
  <c r="S578" i="3"/>
  <c r="T578" i="3" s="1"/>
  <c r="E580" i="3"/>
  <c r="J579" i="3"/>
  <c r="R579" i="3"/>
  <c r="D579" i="3"/>
  <c r="H579" i="3" s="1"/>
  <c r="M140" i="4"/>
  <c r="K140" i="4"/>
  <c r="L141" i="4" l="1"/>
  <c r="D623" i="16"/>
  <c r="E623" i="16"/>
  <c r="F624" i="16" s="1"/>
  <c r="G625" i="16" s="1"/>
  <c r="H626" i="16" s="1"/>
  <c r="I627" i="16" s="1"/>
  <c r="J628" i="16" s="1"/>
  <c r="K629" i="16" s="1"/>
  <c r="L630" i="16" s="1"/>
  <c r="P624" i="16"/>
  <c r="Q624" i="16"/>
  <c r="R625" i="16" s="1"/>
  <c r="S626" i="16" s="1"/>
  <c r="T627" i="16" s="1"/>
  <c r="E581" i="3"/>
  <c r="D580" i="3"/>
  <c r="H580" i="3" s="1"/>
  <c r="J580" i="3"/>
  <c r="R580" i="3"/>
  <c r="E579" i="4"/>
  <c r="F579" i="4" s="1"/>
  <c r="I579" i="3"/>
  <c r="D579" i="4" s="1"/>
  <c r="W141" i="3"/>
  <c r="X141" i="3" s="1"/>
  <c r="Y141" i="3" s="1"/>
  <c r="Z141" i="3" s="1"/>
  <c r="AA141" i="3" s="1"/>
  <c r="AB141" i="3" s="1"/>
  <c r="S579" i="3"/>
  <c r="T579" i="3" s="1"/>
  <c r="U579" i="3"/>
  <c r="F583" i="3"/>
  <c r="K579" i="3"/>
  <c r="L579" i="3" s="1"/>
  <c r="P625" i="16" l="1"/>
  <c r="Q625" i="16"/>
  <c r="R626" i="16" s="1"/>
  <c r="S627" i="16" s="1"/>
  <c r="T628" i="16" s="1"/>
  <c r="E624" i="16"/>
  <c r="F625" i="16" s="1"/>
  <c r="G626" i="16" s="1"/>
  <c r="H627" i="16" s="1"/>
  <c r="I628" i="16" s="1"/>
  <c r="J629" i="16" s="1"/>
  <c r="K630" i="16" s="1"/>
  <c r="L631" i="16" s="1"/>
  <c r="D624" i="16"/>
  <c r="K580" i="3"/>
  <c r="L580" i="3" s="1"/>
  <c r="AC141" i="3"/>
  <c r="AD141" i="3" s="1"/>
  <c r="M142" i="3"/>
  <c r="C141" i="4"/>
  <c r="S580" i="3"/>
  <c r="T580" i="3" s="1"/>
  <c r="U580" i="3"/>
  <c r="F584" i="3"/>
  <c r="E580" i="4"/>
  <c r="F580" i="4" s="1"/>
  <c r="I580" i="3"/>
  <c r="D580" i="4" s="1"/>
  <c r="E582" i="3"/>
  <c r="J581" i="3"/>
  <c r="R581" i="3"/>
  <c r="D581" i="3"/>
  <c r="H581" i="3" s="1"/>
  <c r="E625" i="16" l="1"/>
  <c r="F626" i="16" s="1"/>
  <c r="G627" i="16" s="1"/>
  <c r="H628" i="16" s="1"/>
  <c r="I629" i="16" s="1"/>
  <c r="J630" i="16" s="1"/>
  <c r="K631" i="16" s="1"/>
  <c r="L632" i="16" s="1"/>
  <c r="D625" i="16"/>
  <c r="P626" i="16"/>
  <c r="Q626" i="16"/>
  <c r="R627" i="16" s="1"/>
  <c r="S628" i="16" s="1"/>
  <c r="T629" i="16" s="1"/>
  <c r="E581" i="4"/>
  <c r="F581" i="4" s="1"/>
  <c r="I581" i="3"/>
  <c r="D581" i="4" s="1"/>
  <c r="E583" i="3"/>
  <c r="D582" i="3"/>
  <c r="H582" i="3" s="1"/>
  <c r="R582" i="3"/>
  <c r="J582" i="3"/>
  <c r="F585" i="3"/>
  <c r="S581" i="3"/>
  <c r="T581" i="3" s="1"/>
  <c r="U581" i="3"/>
  <c r="AI142" i="3"/>
  <c r="N142" i="3"/>
  <c r="O142" i="3"/>
  <c r="G141" i="4"/>
  <c r="I141" i="4" s="1"/>
  <c r="J141" i="4" s="1"/>
  <c r="H141" i="4"/>
  <c r="K581" i="3"/>
  <c r="L581" i="3" s="1"/>
  <c r="Q627" i="16" l="1"/>
  <c r="R628" i="16" s="1"/>
  <c r="S629" i="16" s="1"/>
  <c r="T630" i="16" s="1"/>
  <c r="P627" i="16"/>
  <c r="D626" i="16"/>
  <c r="E626" i="16"/>
  <c r="F627" i="16" s="1"/>
  <c r="G628" i="16" s="1"/>
  <c r="H629" i="16" s="1"/>
  <c r="I630" i="16" s="1"/>
  <c r="J631" i="16" s="1"/>
  <c r="K632" i="16" s="1"/>
  <c r="L633" i="16" s="1"/>
  <c r="F586" i="3"/>
  <c r="S582" i="3"/>
  <c r="T582" i="3" s="1"/>
  <c r="U582" i="3"/>
  <c r="E584" i="3"/>
  <c r="R583" i="3"/>
  <c r="J583" i="3"/>
  <c r="D583" i="3"/>
  <c r="H583" i="3" s="1"/>
  <c r="K582" i="3"/>
  <c r="L582" i="3" s="1"/>
  <c r="P142" i="3"/>
  <c r="Q142" i="3" s="1"/>
  <c r="M141" i="4"/>
  <c r="K141" i="4"/>
  <c r="I582" i="3"/>
  <c r="D582" i="4" s="1"/>
  <c r="E582" i="4"/>
  <c r="F582" i="4" s="1"/>
  <c r="E627" i="16" l="1"/>
  <c r="F628" i="16" s="1"/>
  <c r="G629" i="16" s="1"/>
  <c r="H630" i="16" s="1"/>
  <c r="I631" i="16" s="1"/>
  <c r="J632" i="16" s="1"/>
  <c r="K633" i="16" s="1"/>
  <c r="L634" i="16" s="1"/>
  <c r="D627" i="16"/>
  <c r="P628" i="16"/>
  <c r="Q628" i="16"/>
  <c r="R629" i="16" s="1"/>
  <c r="S630" i="16" s="1"/>
  <c r="T631" i="16" s="1"/>
  <c r="I583" i="3"/>
  <c r="D583" i="4" s="1"/>
  <c r="E583" i="4"/>
  <c r="F583" i="4" s="1"/>
  <c r="K583" i="3"/>
  <c r="L583" i="3" s="1"/>
  <c r="E585" i="3"/>
  <c r="D584" i="3"/>
  <c r="H584" i="3" s="1"/>
  <c r="R584" i="3"/>
  <c r="J584" i="3"/>
  <c r="U583" i="3"/>
  <c r="S583" i="3"/>
  <c r="T583" i="3" s="1"/>
  <c r="L142" i="4"/>
  <c r="V142" i="3"/>
  <c r="F587" i="3"/>
  <c r="P629" i="16" l="1"/>
  <c r="Q629" i="16"/>
  <c r="R630" i="16" s="1"/>
  <c r="S631" i="16" s="1"/>
  <c r="T632" i="16" s="1"/>
  <c r="D628" i="16"/>
  <c r="E628" i="16"/>
  <c r="F629" i="16" s="1"/>
  <c r="G630" i="16" s="1"/>
  <c r="H631" i="16" s="1"/>
  <c r="I632" i="16" s="1"/>
  <c r="J633" i="16" s="1"/>
  <c r="K634" i="16" s="1"/>
  <c r="L635" i="16" s="1"/>
  <c r="F588" i="3"/>
  <c r="K584" i="3"/>
  <c r="L584" i="3" s="1"/>
  <c r="S584" i="3"/>
  <c r="T584" i="3" s="1"/>
  <c r="U584" i="3"/>
  <c r="E586" i="3"/>
  <c r="D585" i="3"/>
  <c r="H585" i="3" s="1"/>
  <c r="R585" i="3"/>
  <c r="J585" i="3"/>
  <c r="W142" i="3"/>
  <c r="X142" i="3" s="1"/>
  <c r="Y142" i="3" s="1"/>
  <c r="Z142" i="3" s="1"/>
  <c r="AA142" i="3" s="1"/>
  <c r="AB142" i="3" s="1"/>
  <c r="I584" i="3"/>
  <c r="D584" i="4" s="1"/>
  <c r="E584" i="4"/>
  <c r="F584" i="4" s="1"/>
  <c r="E629" i="16" l="1"/>
  <c r="F630" i="16" s="1"/>
  <c r="G631" i="16" s="1"/>
  <c r="H632" i="16" s="1"/>
  <c r="I633" i="16" s="1"/>
  <c r="J634" i="16" s="1"/>
  <c r="K635" i="16" s="1"/>
  <c r="L636" i="16" s="1"/>
  <c r="D629" i="16"/>
  <c r="Q630" i="16"/>
  <c r="R631" i="16" s="1"/>
  <c r="S632" i="16" s="1"/>
  <c r="T633" i="16" s="1"/>
  <c r="P630" i="16"/>
  <c r="U585" i="3"/>
  <c r="S585" i="3"/>
  <c r="T585" i="3" s="1"/>
  <c r="I585" i="3"/>
  <c r="D585" i="4" s="1"/>
  <c r="E585" i="4"/>
  <c r="F585" i="4" s="1"/>
  <c r="K585" i="3"/>
  <c r="L585" i="3" s="1"/>
  <c r="E587" i="3"/>
  <c r="J586" i="3"/>
  <c r="D586" i="3"/>
  <c r="H586" i="3" s="1"/>
  <c r="R586" i="3"/>
  <c r="F589" i="3"/>
  <c r="C142" i="4"/>
  <c r="AC142" i="3"/>
  <c r="AD142" i="3" s="1"/>
  <c r="M143" i="3"/>
  <c r="P631" i="16" l="1"/>
  <c r="Q631" i="16"/>
  <c r="R632" i="16" s="1"/>
  <c r="S633" i="16" s="1"/>
  <c r="T634" i="16" s="1"/>
  <c r="D630" i="16"/>
  <c r="E630" i="16"/>
  <c r="F631" i="16" s="1"/>
  <c r="G632" i="16" s="1"/>
  <c r="H633" i="16" s="1"/>
  <c r="I634" i="16" s="1"/>
  <c r="J635" i="16" s="1"/>
  <c r="K636" i="16" s="1"/>
  <c r="L637" i="16" s="1"/>
  <c r="I586" i="3"/>
  <c r="D586" i="4" s="1"/>
  <c r="E586" i="4"/>
  <c r="F586" i="4" s="1"/>
  <c r="E588" i="3"/>
  <c r="R587" i="3"/>
  <c r="J587" i="3"/>
  <c r="D587" i="3"/>
  <c r="H587" i="3" s="1"/>
  <c r="O143" i="3"/>
  <c r="AI143" i="3"/>
  <c r="N143" i="3"/>
  <c r="S586" i="3"/>
  <c r="T586" i="3" s="1"/>
  <c r="U586" i="3"/>
  <c r="K586" i="3"/>
  <c r="L586" i="3" s="1"/>
  <c r="F590" i="3"/>
  <c r="H142" i="4"/>
  <c r="G142" i="4"/>
  <c r="I142" i="4" s="1"/>
  <c r="J142" i="4" s="1"/>
  <c r="D631" i="16" l="1"/>
  <c r="E631" i="16"/>
  <c r="F632" i="16" s="1"/>
  <c r="G633" i="16" s="1"/>
  <c r="H634" i="16" s="1"/>
  <c r="I635" i="16" s="1"/>
  <c r="J636" i="16" s="1"/>
  <c r="K637" i="16" s="1"/>
  <c r="L638" i="16" s="1"/>
  <c r="P632" i="16"/>
  <c r="Q632" i="16"/>
  <c r="R633" i="16" s="1"/>
  <c r="S634" i="16" s="1"/>
  <c r="T635" i="16" s="1"/>
  <c r="P143" i="3"/>
  <c r="Q143" i="3" s="1"/>
  <c r="L143" i="4" s="1"/>
  <c r="E587" i="4"/>
  <c r="F587" i="4" s="1"/>
  <c r="I587" i="3"/>
  <c r="D587" i="4" s="1"/>
  <c r="S587" i="3"/>
  <c r="T587" i="3" s="1"/>
  <c r="U587" i="3"/>
  <c r="F591" i="3"/>
  <c r="K587" i="3"/>
  <c r="L587" i="3" s="1"/>
  <c r="E589" i="3"/>
  <c r="J588" i="3"/>
  <c r="D588" i="3"/>
  <c r="H588" i="3" s="1"/>
  <c r="R588" i="3"/>
  <c r="K142" i="4"/>
  <c r="M142" i="4"/>
  <c r="P633" i="16" l="1"/>
  <c r="Q633" i="16"/>
  <c r="R634" i="16" s="1"/>
  <c r="S635" i="16" s="1"/>
  <c r="T636" i="16" s="1"/>
  <c r="E632" i="16"/>
  <c r="F633" i="16" s="1"/>
  <c r="G634" i="16" s="1"/>
  <c r="H635" i="16" s="1"/>
  <c r="I636" i="16" s="1"/>
  <c r="J637" i="16" s="1"/>
  <c r="K638" i="16" s="1"/>
  <c r="L639" i="16" s="1"/>
  <c r="D632" i="16"/>
  <c r="V143" i="3"/>
  <c r="W143" i="3" s="1"/>
  <c r="X143" i="3" s="1"/>
  <c r="Y143" i="3" s="1"/>
  <c r="Z143" i="3" s="1"/>
  <c r="AA143" i="3" s="1"/>
  <c r="AB143" i="3" s="1"/>
  <c r="F592" i="3"/>
  <c r="E588" i="4"/>
  <c r="F588" i="4" s="1"/>
  <c r="I588" i="3"/>
  <c r="D588" i="4" s="1"/>
  <c r="E590" i="3"/>
  <c r="D589" i="3"/>
  <c r="H589" i="3" s="1"/>
  <c r="J589" i="3"/>
  <c r="R589" i="3"/>
  <c r="K588" i="3"/>
  <c r="L588" i="3" s="1"/>
  <c r="S588" i="3"/>
  <c r="T588" i="3" s="1"/>
  <c r="U588" i="3"/>
  <c r="D633" i="16" l="1"/>
  <c r="E633" i="16"/>
  <c r="F634" i="16" s="1"/>
  <c r="G635" i="16" s="1"/>
  <c r="H636" i="16" s="1"/>
  <c r="I637" i="16" s="1"/>
  <c r="J638" i="16" s="1"/>
  <c r="K639" i="16" s="1"/>
  <c r="L640" i="16" s="1"/>
  <c r="P634" i="16"/>
  <c r="Q634" i="16"/>
  <c r="R635" i="16" s="1"/>
  <c r="S636" i="16" s="1"/>
  <c r="T637" i="16" s="1"/>
  <c r="AC143" i="3"/>
  <c r="AD143" i="3" s="1"/>
  <c r="M144" i="3"/>
  <c r="C143" i="4"/>
  <c r="I589" i="3"/>
  <c r="D589" i="4" s="1"/>
  <c r="E589" i="4"/>
  <c r="F589" i="4" s="1"/>
  <c r="K589" i="3"/>
  <c r="L589" i="3" s="1"/>
  <c r="U589" i="3"/>
  <c r="S589" i="3"/>
  <c r="T589" i="3" s="1"/>
  <c r="E591" i="3"/>
  <c r="D590" i="3"/>
  <c r="H590" i="3" s="1"/>
  <c r="R590" i="3"/>
  <c r="J590" i="3"/>
  <c r="F593" i="3"/>
  <c r="Q635" i="16" l="1"/>
  <c r="R636" i="16" s="1"/>
  <c r="S637" i="16" s="1"/>
  <c r="T638" i="16" s="1"/>
  <c r="P635" i="16"/>
  <c r="E634" i="16"/>
  <c r="F635" i="16" s="1"/>
  <c r="G636" i="16" s="1"/>
  <c r="H637" i="16" s="1"/>
  <c r="I638" i="16" s="1"/>
  <c r="J639" i="16" s="1"/>
  <c r="K640" i="16" s="1"/>
  <c r="L641" i="16" s="1"/>
  <c r="D634" i="16"/>
  <c r="K590" i="3"/>
  <c r="L590" i="3" s="1"/>
  <c r="S590" i="3"/>
  <c r="T590" i="3" s="1"/>
  <c r="U590" i="3"/>
  <c r="E592" i="3"/>
  <c r="D591" i="3"/>
  <c r="H591" i="3" s="1"/>
  <c r="R591" i="3"/>
  <c r="J591" i="3"/>
  <c r="E590" i="4"/>
  <c r="F590" i="4" s="1"/>
  <c r="I590" i="3"/>
  <c r="D590" i="4" s="1"/>
  <c r="G143" i="4"/>
  <c r="I143" i="4" s="1"/>
  <c r="J143" i="4" s="1"/>
  <c r="H143" i="4"/>
  <c r="AI144" i="3"/>
  <c r="N144" i="3"/>
  <c r="O144" i="3"/>
  <c r="F594" i="3"/>
  <c r="E635" i="16" l="1"/>
  <c r="F636" i="16" s="1"/>
  <c r="G637" i="16" s="1"/>
  <c r="H638" i="16" s="1"/>
  <c r="I639" i="16" s="1"/>
  <c r="J640" i="16" s="1"/>
  <c r="K641" i="16" s="1"/>
  <c r="L642" i="16" s="1"/>
  <c r="D635" i="16"/>
  <c r="P636" i="16"/>
  <c r="Q636" i="16"/>
  <c r="R637" i="16" s="1"/>
  <c r="S638" i="16" s="1"/>
  <c r="T639" i="16" s="1"/>
  <c r="P144" i="3"/>
  <c r="Q144" i="3" s="1"/>
  <c r="L144" i="4" s="1"/>
  <c r="I591" i="3"/>
  <c r="D591" i="4" s="1"/>
  <c r="E591" i="4"/>
  <c r="F591" i="4" s="1"/>
  <c r="E593" i="3"/>
  <c r="R592" i="3"/>
  <c r="D592" i="3"/>
  <c r="H592" i="3" s="1"/>
  <c r="J592" i="3"/>
  <c r="K143" i="4"/>
  <c r="M143" i="4"/>
  <c r="K591" i="3"/>
  <c r="L591" i="3" s="1"/>
  <c r="S591" i="3"/>
  <c r="T591" i="3" s="1"/>
  <c r="U591" i="3"/>
  <c r="F595" i="3"/>
  <c r="P637" i="16" l="1"/>
  <c r="Q637" i="16"/>
  <c r="R638" i="16" s="1"/>
  <c r="S639" i="16" s="1"/>
  <c r="T640" i="16" s="1"/>
  <c r="E636" i="16"/>
  <c r="F637" i="16" s="1"/>
  <c r="G638" i="16" s="1"/>
  <c r="H639" i="16" s="1"/>
  <c r="I640" i="16" s="1"/>
  <c r="J641" i="16" s="1"/>
  <c r="K642" i="16" s="1"/>
  <c r="L643" i="16" s="1"/>
  <c r="D636" i="16"/>
  <c r="V144" i="3"/>
  <c r="W144" i="3" s="1"/>
  <c r="X144" i="3" s="1"/>
  <c r="Y144" i="3" s="1"/>
  <c r="Z144" i="3" s="1"/>
  <c r="AA144" i="3" s="1"/>
  <c r="AB144" i="3" s="1"/>
  <c r="K592" i="3"/>
  <c r="L592" i="3" s="1"/>
  <c r="I592" i="3"/>
  <c r="D592" i="4" s="1"/>
  <c r="E592" i="4"/>
  <c r="F592" i="4" s="1"/>
  <c r="E594" i="3"/>
  <c r="D593" i="3"/>
  <c r="H593" i="3" s="1"/>
  <c r="J593" i="3"/>
  <c r="R593" i="3"/>
  <c r="S592" i="3"/>
  <c r="T592" i="3" s="1"/>
  <c r="U592" i="3"/>
  <c r="F596" i="3"/>
  <c r="D637" i="16" l="1"/>
  <c r="E637" i="16"/>
  <c r="F638" i="16" s="1"/>
  <c r="G639" i="16" s="1"/>
  <c r="H640" i="16" s="1"/>
  <c r="I641" i="16" s="1"/>
  <c r="J642" i="16" s="1"/>
  <c r="K643" i="16" s="1"/>
  <c r="L644" i="16" s="1"/>
  <c r="P638" i="16"/>
  <c r="Q638" i="16"/>
  <c r="R639" i="16" s="1"/>
  <c r="S640" i="16" s="1"/>
  <c r="T641" i="16" s="1"/>
  <c r="K593" i="3"/>
  <c r="L593" i="3" s="1"/>
  <c r="M145" i="3"/>
  <c r="AC144" i="3"/>
  <c r="AD144" i="3" s="1"/>
  <c r="C144" i="4"/>
  <c r="S593" i="3"/>
  <c r="T593" i="3" s="1"/>
  <c r="U593" i="3"/>
  <c r="I593" i="3"/>
  <c r="D593" i="4" s="1"/>
  <c r="E593" i="4"/>
  <c r="F593" i="4" s="1"/>
  <c r="E595" i="3"/>
  <c r="J594" i="3"/>
  <c r="D594" i="3"/>
  <c r="H594" i="3" s="1"/>
  <c r="R594" i="3"/>
  <c r="F597" i="3"/>
  <c r="P639" i="16" l="1"/>
  <c r="Q639" i="16"/>
  <c r="R640" i="16" s="1"/>
  <c r="S641" i="16" s="1"/>
  <c r="T642" i="16" s="1"/>
  <c r="D638" i="16"/>
  <c r="E638" i="16"/>
  <c r="F639" i="16" s="1"/>
  <c r="G640" i="16" s="1"/>
  <c r="H641" i="16" s="1"/>
  <c r="I642" i="16" s="1"/>
  <c r="J643" i="16" s="1"/>
  <c r="K644" i="16" s="1"/>
  <c r="L645" i="16" s="1"/>
  <c r="F598" i="3"/>
  <c r="E596" i="3"/>
  <c r="D595" i="3"/>
  <c r="H595" i="3" s="1"/>
  <c r="R595" i="3"/>
  <c r="J595" i="3"/>
  <c r="S594" i="3"/>
  <c r="T594" i="3" s="1"/>
  <c r="U594" i="3"/>
  <c r="I594" i="3"/>
  <c r="D594" i="4" s="1"/>
  <c r="E594" i="4"/>
  <c r="F594" i="4" s="1"/>
  <c r="K594" i="3"/>
  <c r="L594" i="3" s="1"/>
  <c r="H144" i="4"/>
  <c r="G144" i="4"/>
  <c r="I144" i="4" s="1"/>
  <c r="J144" i="4" s="1"/>
  <c r="O145" i="3"/>
  <c r="N145" i="3"/>
  <c r="AI145" i="3"/>
  <c r="D639" i="16" l="1"/>
  <c r="E639" i="16"/>
  <c r="F640" i="16" s="1"/>
  <c r="G641" i="16" s="1"/>
  <c r="H642" i="16" s="1"/>
  <c r="I643" i="16" s="1"/>
  <c r="J644" i="16" s="1"/>
  <c r="K645" i="16" s="1"/>
  <c r="L646" i="16" s="1"/>
  <c r="P640" i="16"/>
  <c r="Q640" i="16"/>
  <c r="R641" i="16" s="1"/>
  <c r="S642" i="16" s="1"/>
  <c r="T643" i="16" s="1"/>
  <c r="P145" i="3"/>
  <c r="Q145" i="3" s="1"/>
  <c r="L145" i="4" s="1"/>
  <c r="K595" i="3"/>
  <c r="L595" i="3" s="1"/>
  <c r="S595" i="3"/>
  <c r="T595" i="3" s="1"/>
  <c r="U595" i="3"/>
  <c r="I595" i="3"/>
  <c r="D595" i="4" s="1"/>
  <c r="E595" i="4"/>
  <c r="F595" i="4" s="1"/>
  <c r="E597" i="3"/>
  <c r="D596" i="3"/>
  <c r="H596" i="3" s="1"/>
  <c r="J596" i="3"/>
  <c r="R596" i="3"/>
  <c r="M144" i="4"/>
  <c r="K144" i="4"/>
  <c r="F599" i="3"/>
  <c r="P641" i="16" l="1"/>
  <c r="Q641" i="16"/>
  <c r="R642" i="16" s="1"/>
  <c r="S643" i="16" s="1"/>
  <c r="T644" i="16" s="1"/>
  <c r="V145" i="3"/>
  <c r="W145" i="3" s="1"/>
  <c r="X145" i="3" s="1"/>
  <c r="Y145" i="3" s="1"/>
  <c r="Z145" i="3" s="1"/>
  <c r="AA145" i="3" s="1"/>
  <c r="AB145" i="3" s="1"/>
  <c r="D640" i="16"/>
  <c r="E640" i="16"/>
  <c r="F641" i="16" s="1"/>
  <c r="G642" i="16" s="1"/>
  <c r="H643" i="16" s="1"/>
  <c r="I644" i="16" s="1"/>
  <c r="J645" i="16" s="1"/>
  <c r="K646" i="16" s="1"/>
  <c r="L647" i="16" s="1"/>
  <c r="E596" i="4"/>
  <c r="F596" i="4" s="1"/>
  <c r="I596" i="3"/>
  <c r="D596" i="4" s="1"/>
  <c r="E598" i="3"/>
  <c r="J597" i="3"/>
  <c r="R597" i="3"/>
  <c r="D597" i="3"/>
  <c r="H597" i="3" s="1"/>
  <c r="S596" i="3"/>
  <c r="T596" i="3" s="1"/>
  <c r="U596" i="3"/>
  <c r="F600" i="3"/>
  <c r="K596" i="3"/>
  <c r="L596" i="3" s="1"/>
  <c r="E641" i="16" l="1"/>
  <c r="F642" i="16" s="1"/>
  <c r="G643" i="16" s="1"/>
  <c r="H644" i="16" s="1"/>
  <c r="I645" i="16" s="1"/>
  <c r="J646" i="16" s="1"/>
  <c r="K647" i="16" s="1"/>
  <c r="L648" i="16" s="1"/>
  <c r="D641" i="16"/>
  <c r="P642" i="16"/>
  <c r="Q642" i="16"/>
  <c r="R643" i="16" s="1"/>
  <c r="S644" i="16" s="1"/>
  <c r="T645" i="16" s="1"/>
  <c r="M146" i="3"/>
  <c r="C145" i="4"/>
  <c r="AC145" i="3"/>
  <c r="AD145" i="3" s="1"/>
  <c r="F601" i="3"/>
  <c r="I597" i="3"/>
  <c r="D597" i="4" s="1"/>
  <c r="E597" i="4"/>
  <c r="F597" i="4" s="1"/>
  <c r="E599" i="3"/>
  <c r="R598" i="3"/>
  <c r="J598" i="3"/>
  <c r="D598" i="3"/>
  <c r="H598" i="3" s="1"/>
  <c r="K597" i="3"/>
  <c r="L597" i="3" s="1"/>
  <c r="S597" i="3"/>
  <c r="T597" i="3" s="1"/>
  <c r="U597" i="3"/>
  <c r="P643" i="16" l="1"/>
  <c r="Q643" i="16"/>
  <c r="R644" i="16" s="1"/>
  <c r="S645" i="16" s="1"/>
  <c r="T646" i="16" s="1"/>
  <c r="E642" i="16"/>
  <c r="F643" i="16" s="1"/>
  <c r="G644" i="16" s="1"/>
  <c r="H645" i="16" s="1"/>
  <c r="I646" i="16" s="1"/>
  <c r="J647" i="16" s="1"/>
  <c r="K648" i="16" s="1"/>
  <c r="L649" i="16" s="1"/>
  <c r="D642" i="16"/>
  <c r="K598" i="3"/>
  <c r="L598" i="3" s="1"/>
  <c r="E600" i="3"/>
  <c r="D599" i="3"/>
  <c r="H599" i="3" s="1"/>
  <c r="J599" i="3"/>
  <c r="R599" i="3"/>
  <c r="I598" i="3"/>
  <c r="D598" i="4" s="1"/>
  <c r="E598" i="4"/>
  <c r="F598" i="4" s="1"/>
  <c r="S598" i="3"/>
  <c r="T598" i="3" s="1"/>
  <c r="U598" i="3"/>
  <c r="F602" i="3"/>
  <c r="G145" i="4"/>
  <c r="I145" i="4" s="1"/>
  <c r="J145" i="4" s="1"/>
  <c r="H145" i="4"/>
  <c r="AI146" i="3"/>
  <c r="O146" i="3"/>
  <c r="N146" i="3"/>
  <c r="E643" i="16" l="1"/>
  <c r="F644" i="16" s="1"/>
  <c r="G645" i="16" s="1"/>
  <c r="H646" i="16" s="1"/>
  <c r="I647" i="16" s="1"/>
  <c r="J648" i="16" s="1"/>
  <c r="K649" i="16" s="1"/>
  <c r="L650" i="16" s="1"/>
  <c r="D643" i="16"/>
  <c r="P644" i="16"/>
  <c r="Q644" i="16"/>
  <c r="R645" i="16" s="1"/>
  <c r="S646" i="16" s="1"/>
  <c r="T647" i="16" s="1"/>
  <c r="P146" i="3"/>
  <c r="Q146" i="3" s="1"/>
  <c r="V146" i="3" s="1"/>
  <c r="K599" i="3"/>
  <c r="L599" i="3" s="1"/>
  <c r="F603" i="3"/>
  <c r="S599" i="3"/>
  <c r="T599" i="3" s="1"/>
  <c r="U599" i="3"/>
  <c r="I599" i="3"/>
  <c r="D599" i="4" s="1"/>
  <c r="E599" i="4"/>
  <c r="F599" i="4" s="1"/>
  <c r="K145" i="4"/>
  <c r="M145" i="4"/>
  <c r="E601" i="3"/>
  <c r="D600" i="3"/>
  <c r="H600" i="3" s="1"/>
  <c r="J600" i="3"/>
  <c r="R600" i="3"/>
  <c r="L146" i="4" l="1"/>
  <c r="P645" i="16"/>
  <c r="Q645" i="16"/>
  <c r="R646" i="16" s="1"/>
  <c r="S647" i="16" s="1"/>
  <c r="T648" i="16" s="1"/>
  <c r="E644" i="16"/>
  <c r="F645" i="16" s="1"/>
  <c r="G646" i="16" s="1"/>
  <c r="H647" i="16" s="1"/>
  <c r="I648" i="16" s="1"/>
  <c r="J649" i="16" s="1"/>
  <c r="K650" i="16" s="1"/>
  <c r="L651" i="16" s="1"/>
  <c r="D644" i="16"/>
  <c r="E600" i="4"/>
  <c r="F600" i="4" s="1"/>
  <c r="I600" i="3"/>
  <c r="D600" i="4" s="1"/>
  <c r="E602" i="3"/>
  <c r="J601" i="3"/>
  <c r="D601" i="3"/>
  <c r="H601" i="3" s="1"/>
  <c r="R601" i="3"/>
  <c r="K600" i="3"/>
  <c r="L600" i="3" s="1"/>
  <c r="F604" i="3"/>
  <c r="W146" i="3"/>
  <c r="X146" i="3" s="1"/>
  <c r="Y146" i="3" s="1"/>
  <c r="Z146" i="3" s="1"/>
  <c r="AA146" i="3" s="1"/>
  <c r="AB146" i="3" s="1"/>
  <c r="S600" i="3"/>
  <c r="T600" i="3" s="1"/>
  <c r="U600" i="3"/>
  <c r="D645" i="16" l="1"/>
  <c r="E645" i="16"/>
  <c r="F646" i="16" s="1"/>
  <c r="G647" i="16" s="1"/>
  <c r="H648" i="16" s="1"/>
  <c r="I649" i="16" s="1"/>
  <c r="J650" i="16" s="1"/>
  <c r="K651" i="16" s="1"/>
  <c r="L652" i="16" s="1"/>
  <c r="Q646" i="16"/>
  <c r="R647" i="16" s="1"/>
  <c r="S648" i="16" s="1"/>
  <c r="T649" i="16" s="1"/>
  <c r="P646" i="16"/>
  <c r="C146" i="4"/>
  <c r="M147" i="3"/>
  <c r="AC146" i="3"/>
  <c r="AD146" i="3" s="1"/>
  <c r="K601" i="3"/>
  <c r="L601" i="3" s="1"/>
  <c r="I601" i="3"/>
  <c r="D601" i="4" s="1"/>
  <c r="E601" i="4"/>
  <c r="F601" i="4" s="1"/>
  <c r="F605" i="3"/>
  <c r="U601" i="3"/>
  <c r="S601" i="3"/>
  <c r="T601" i="3" s="1"/>
  <c r="E603" i="3"/>
  <c r="D602" i="3"/>
  <c r="H602" i="3" s="1"/>
  <c r="J602" i="3"/>
  <c r="R602" i="3"/>
  <c r="P647" i="16" l="1"/>
  <c r="Q647" i="16"/>
  <c r="R648" i="16" s="1"/>
  <c r="S649" i="16" s="1"/>
  <c r="T650" i="16" s="1"/>
  <c r="E646" i="16"/>
  <c r="F647" i="16" s="1"/>
  <c r="G648" i="16" s="1"/>
  <c r="H649" i="16" s="1"/>
  <c r="I650" i="16" s="1"/>
  <c r="J651" i="16" s="1"/>
  <c r="K652" i="16" s="1"/>
  <c r="L653" i="16" s="1"/>
  <c r="D646" i="16"/>
  <c r="E604" i="3"/>
  <c r="D603" i="3"/>
  <c r="H603" i="3" s="1"/>
  <c r="R603" i="3"/>
  <c r="J603" i="3"/>
  <c r="F606" i="3"/>
  <c r="S602" i="3"/>
  <c r="T602" i="3" s="1"/>
  <c r="U602" i="3"/>
  <c r="K602" i="3"/>
  <c r="L602" i="3" s="1"/>
  <c r="O147" i="3"/>
  <c r="N147" i="3"/>
  <c r="AI147" i="3"/>
  <c r="I602" i="3"/>
  <c r="D602" i="4" s="1"/>
  <c r="E602" i="4"/>
  <c r="F602" i="4" s="1"/>
  <c r="H146" i="4"/>
  <c r="G146" i="4"/>
  <c r="I146" i="4" s="1"/>
  <c r="J146" i="4" s="1"/>
  <c r="D647" i="16" l="1"/>
  <c r="E647" i="16"/>
  <c r="F648" i="16" s="1"/>
  <c r="G649" i="16" s="1"/>
  <c r="H650" i="16" s="1"/>
  <c r="I651" i="16" s="1"/>
  <c r="J652" i="16" s="1"/>
  <c r="K653" i="16" s="1"/>
  <c r="L654" i="16" s="1"/>
  <c r="P648" i="16"/>
  <c r="Q648" i="16"/>
  <c r="R649" i="16" s="1"/>
  <c r="S650" i="16" s="1"/>
  <c r="T651" i="16" s="1"/>
  <c r="P147" i="3"/>
  <c r="Q147" i="3" s="1"/>
  <c r="L147" i="4" s="1"/>
  <c r="K603" i="3"/>
  <c r="L603" i="3" s="1"/>
  <c r="K146" i="4"/>
  <c r="M146" i="4"/>
  <c r="S603" i="3"/>
  <c r="T603" i="3" s="1"/>
  <c r="U603" i="3"/>
  <c r="E605" i="3"/>
  <c r="D604" i="3"/>
  <c r="H604" i="3" s="1"/>
  <c r="J604" i="3"/>
  <c r="R604" i="3"/>
  <c r="F607" i="3"/>
  <c r="I603" i="3"/>
  <c r="D603" i="4" s="1"/>
  <c r="E603" i="4"/>
  <c r="F603" i="4" s="1"/>
  <c r="V147" i="3" l="1"/>
  <c r="W147" i="3" s="1"/>
  <c r="X147" i="3" s="1"/>
  <c r="Y147" i="3" s="1"/>
  <c r="Z147" i="3" s="1"/>
  <c r="AA147" i="3" s="1"/>
  <c r="AB147" i="3" s="1"/>
  <c r="P649" i="16"/>
  <c r="Q649" i="16"/>
  <c r="R650" i="16" s="1"/>
  <c r="S651" i="16" s="1"/>
  <c r="T652" i="16" s="1"/>
  <c r="E648" i="16"/>
  <c r="F649" i="16" s="1"/>
  <c r="G650" i="16" s="1"/>
  <c r="H651" i="16" s="1"/>
  <c r="I652" i="16" s="1"/>
  <c r="J653" i="16" s="1"/>
  <c r="K654" i="16" s="1"/>
  <c r="L655" i="16" s="1"/>
  <c r="D648" i="16"/>
  <c r="S604" i="3"/>
  <c r="T604" i="3" s="1"/>
  <c r="U604" i="3"/>
  <c r="I604" i="3"/>
  <c r="D604" i="4" s="1"/>
  <c r="E604" i="4"/>
  <c r="F604" i="4" s="1"/>
  <c r="K604" i="3"/>
  <c r="L604" i="3" s="1"/>
  <c r="E606" i="3"/>
  <c r="R605" i="3"/>
  <c r="D605" i="3"/>
  <c r="H605" i="3" s="1"/>
  <c r="J605" i="3"/>
  <c r="F608" i="3"/>
  <c r="D649" i="16" l="1"/>
  <c r="E649" i="16"/>
  <c r="F650" i="16" s="1"/>
  <c r="G651" i="16" s="1"/>
  <c r="H652" i="16" s="1"/>
  <c r="I653" i="16" s="1"/>
  <c r="J654" i="16" s="1"/>
  <c r="K655" i="16" s="1"/>
  <c r="L656" i="16" s="1"/>
  <c r="P650" i="16"/>
  <c r="Q650" i="16"/>
  <c r="R651" i="16" s="1"/>
  <c r="S652" i="16" s="1"/>
  <c r="T653" i="16" s="1"/>
  <c r="K605" i="3"/>
  <c r="L605" i="3" s="1"/>
  <c r="M148" i="3"/>
  <c r="C147" i="4"/>
  <c r="AC147" i="3"/>
  <c r="AD147" i="3" s="1"/>
  <c r="E607" i="3"/>
  <c r="J606" i="3"/>
  <c r="R606" i="3"/>
  <c r="D606" i="3"/>
  <c r="H606" i="3" s="1"/>
  <c r="E605" i="4"/>
  <c r="F605" i="4" s="1"/>
  <c r="I605" i="3"/>
  <c r="D605" i="4" s="1"/>
  <c r="F609" i="3"/>
  <c r="S605" i="3"/>
  <c r="T605" i="3" s="1"/>
  <c r="U605" i="3"/>
  <c r="P651" i="16" l="1"/>
  <c r="Q651" i="16"/>
  <c r="R652" i="16" s="1"/>
  <c r="S653" i="16" s="1"/>
  <c r="T654" i="16" s="1"/>
  <c r="D650" i="16"/>
  <c r="E650" i="16"/>
  <c r="F651" i="16" s="1"/>
  <c r="G652" i="16" s="1"/>
  <c r="H653" i="16" s="1"/>
  <c r="I654" i="16" s="1"/>
  <c r="J655" i="16" s="1"/>
  <c r="K656" i="16" s="1"/>
  <c r="L657" i="16" s="1"/>
  <c r="U606" i="3"/>
  <c r="S606" i="3"/>
  <c r="T606" i="3" s="1"/>
  <c r="E606" i="4"/>
  <c r="F606" i="4" s="1"/>
  <c r="I606" i="3"/>
  <c r="D606" i="4" s="1"/>
  <c r="E608" i="3"/>
  <c r="J607" i="3"/>
  <c r="D607" i="3"/>
  <c r="H607" i="3" s="1"/>
  <c r="R607" i="3"/>
  <c r="H147" i="4"/>
  <c r="G147" i="4"/>
  <c r="I147" i="4" s="1"/>
  <c r="J147" i="4" s="1"/>
  <c r="F610" i="3"/>
  <c r="K606" i="3"/>
  <c r="L606" i="3" s="1"/>
  <c r="O148" i="3"/>
  <c r="AI148" i="3"/>
  <c r="N148" i="3"/>
  <c r="E651" i="16" l="1"/>
  <c r="F652" i="16" s="1"/>
  <c r="G653" i="16" s="1"/>
  <c r="H654" i="16" s="1"/>
  <c r="I655" i="16" s="1"/>
  <c r="J656" i="16" s="1"/>
  <c r="K657" i="16" s="1"/>
  <c r="L658" i="16" s="1"/>
  <c r="D651" i="16"/>
  <c r="P652" i="16"/>
  <c r="Q652" i="16"/>
  <c r="R653" i="16" s="1"/>
  <c r="S654" i="16" s="1"/>
  <c r="T655" i="16" s="1"/>
  <c r="P148" i="3"/>
  <c r="Q148" i="3" s="1"/>
  <c r="L148" i="4" s="1"/>
  <c r="F611" i="3"/>
  <c r="E607" i="4"/>
  <c r="F607" i="4" s="1"/>
  <c r="I607" i="3"/>
  <c r="D607" i="4" s="1"/>
  <c r="K147" i="4"/>
  <c r="M147" i="4"/>
  <c r="S607" i="3"/>
  <c r="T607" i="3" s="1"/>
  <c r="U607" i="3"/>
  <c r="K607" i="3"/>
  <c r="L607" i="3" s="1"/>
  <c r="E609" i="3"/>
  <c r="J608" i="3"/>
  <c r="D608" i="3"/>
  <c r="H608" i="3" s="1"/>
  <c r="R608" i="3"/>
  <c r="V148" i="3" l="1"/>
  <c r="P653" i="16"/>
  <c r="Q653" i="16"/>
  <c r="R654" i="16" s="1"/>
  <c r="S655" i="16" s="1"/>
  <c r="T656" i="16" s="1"/>
  <c r="E652" i="16"/>
  <c r="F653" i="16" s="1"/>
  <c r="G654" i="16" s="1"/>
  <c r="H655" i="16" s="1"/>
  <c r="I656" i="16" s="1"/>
  <c r="J657" i="16" s="1"/>
  <c r="K658" i="16" s="1"/>
  <c r="L659" i="16" s="1"/>
  <c r="D652" i="16"/>
  <c r="E608" i="4"/>
  <c r="F608" i="4" s="1"/>
  <c r="I608" i="3"/>
  <c r="D608" i="4" s="1"/>
  <c r="W148" i="3"/>
  <c r="X148" i="3" s="1"/>
  <c r="Y148" i="3" s="1"/>
  <c r="Z148" i="3" s="1"/>
  <c r="AA148" i="3" s="1"/>
  <c r="AB148" i="3" s="1"/>
  <c r="K608" i="3"/>
  <c r="L608" i="3" s="1"/>
  <c r="E610" i="3"/>
  <c r="R609" i="3"/>
  <c r="D609" i="3"/>
  <c r="H609" i="3" s="1"/>
  <c r="J609" i="3"/>
  <c r="S608" i="3"/>
  <c r="T608" i="3" s="1"/>
  <c r="U608" i="3"/>
  <c r="F612" i="3"/>
  <c r="D653" i="16" l="1"/>
  <c r="E653" i="16"/>
  <c r="F654" i="16" s="1"/>
  <c r="G655" i="16" s="1"/>
  <c r="H656" i="16" s="1"/>
  <c r="I657" i="16" s="1"/>
  <c r="J658" i="16" s="1"/>
  <c r="K659" i="16" s="1"/>
  <c r="L660" i="16" s="1"/>
  <c r="Q654" i="16"/>
  <c r="R655" i="16" s="1"/>
  <c r="S656" i="16" s="1"/>
  <c r="T657" i="16" s="1"/>
  <c r="P654" i="16"/>
  <c r="K609" i="3"/>
  <c r="L609" i="3" s="1"/>
  <c r="C148" i="4"/>
  <c r="AC148" i="3"/>
  <c r="AD148" i="3" s="1"/>
  <c r="M149" i="3"/>
  <c r="F613" i="3"/>
  <c r="I609" i="3"/>
  <c r="D609" i="4" s="1"/>
  <c r="E609" i="4"/>
  <c r="F609" i="4" s="1"/>
  <c r="E611" i="3"/>
  <c r="R610" i="3"/>
  <c r="J610" i="3"/>
  <c r="D610" i="3"/>
  <c r="H610" i="3" s="1"/>
  <c r="S609" i="3"/>
  <c r="T609" i="3" s="1"/>
  <c r="U609" i="3"/>
  <c r="P655" i="16" l="1"/>
  <c r="Q655" i="16"/>
  <c r="R656" i="16" s="1"/>
  <c r="S657" i="16" s="1"/>
  <c r="T658" i="16" s="1"/>
  <c r="E654" i="16"/>
  <c r="F655" i="16" s="1"/>
  <c r="G656" i="16" s="1"/>
  <c r="H657" i="16" s="1"/>
  <c r="I658" i="16" s="1"/>
  <c r="J659" i="16" s="1"/>
  <c r="K660" i="16" s="1"/>
  <c r="L661" i="16" s="1"/>
  <c r="D654" i="16"/>
  <c r="E610" i="4"/>
  <c r="F610" i="4" s="1"/>
  <c r="I610" i="3"/>
  <c r="D610" i="4" s="1"/>
  <c r="E612" i="3"/>
  <c r="J611" i="3"/>
  <c r="D611" i="3"/>
  <c r="H611" i="3" s="1"/>
  <c r="R611" i="3"/>
  <c r="U610" i="3"/>
  <c r="S610" i="3"/>
  <c r="T610" i="3" s="1"/>
  <c r="F614" i="3"/>
  <c r="O149" i="3"/>
  <c r="N149" i="3"/>
  <c r="AI149" i="3"/>
  <c r="K610" i="3"/>
  <c r="L610" i="3" s="1"/>
  <c r="H148" i="4"/>
  <c r="G148" i="4"/>
  <c r="I148" i="4" s="1"/>
  <c r="J148" i="4" s="1"/>
  <c r="E655" i="16" l="1"/>
  <c r="F656" i="16" s="1"/>
  <c r="G657" i="16" s="1"/>
  <c r="H658" i="16" s="1"/>
  <c r="I659" i="16" s="1"/>
  <c r="J660" i="16" s="1"/>
  <c r="K661" i="16" s="1"/>
  <c r="L662" i="16" s="1"/>
  <c r="D655" i="16"/>
  <c r="P656" i="16"/>
  <c r="Q656" i="16"/>
  <c r="R657" i="16" s="1"/>
  <c r="S658" i="16" s="1"/>
  <c r="T659" i="16" s="1"/>
  <c r="P149" i="3"/>
  <c r="Q149" i="3" s="1"/>
  <c r="L149" i="4" s="1"/>
  <c r="S611" i="3"/>
  <c r="T611" i="3" s="1"/>
  <c r="U611" i="3"/>
  <c r="K611" i="3"/>
  <c r="L611" i="3" s="1"/>
  <c r="K148" i="4"/>
  <c r="M148" i="4"/>
  <c r="E613" i="3"/>
  <c r="J612" i="3"/>
  <c r="R612" i="3"/>
  <c r="D612" i="3"/>
  <c r="H612" i="3" s="1"/>
  <c r="F615" i="3"/>
  <c r="E611" i="4"/>
  <c r="F611" i="4" s="1"/>
  <c r="I611" i="3"/>
  <c r="D611" i="4" s="1"/>
  <c r="P657" i="16" l="1"/>
  <c r="Q657" i="16"/>
  <c r="R658" i="16" s="1"/>
  <c r="S659" i="16" s="1"/>
  <c r="T660" i="16" s="1"/>
  <c r="E656" i="16"/>
  <c r="F657" i="16" s="1"/>
  <c r="G658" i="16" s="1"/>
  <c r="H659" i="16" s="1"/>
  <c r="I660" i="16" s="1"/>
  <c r="J661" i="16" s="1"/>
  <c r="K662" i="16" s="1"/>
  <c r="L663" i="16" s="1"/>
  <c r="D656" i="16"/>
  <c r="V149" i="3"/>
  <c r="W149" i="3" s="1"/>
  <c r="X149" i="3" s="1"/>
  <c r="Y149" i="3" s="1"/>
  <c r="Z149" i="3" s="1"/>
  <c r="AA149" i="3" s="1"/>
  <c r="AB149" i="3" s="1"/>
  <c r="E614" i="3"/>
  <c r="D613" i="3"/>
  <c r="H613" i="3" s="1"/>
  <c r="R613" i="3"/>
  <c r="J613" i="3"/>
  <c r="E612" i="4"/>
  <c r="F612" i="4" s="1"/>
  <c r="I612" i="3"/>
  <c r="D612" i="4" s="1"/>
  <c r="U612" i="3"/>
  <c r="S612" i="3"/>
  <c r="T612" i="3" s="1"/>
  <c r="F616" i="3"/>
  <c r="K612" i="3"/>
  <c r="L612" i="3" s="1"/>
  <c r="E657" i="16" l="1"/>
  <c r="F658" i="16" s="1"/>
  <c r="G659" i="16" s="1"/>
  <c r="H660" i="16" s="1"/>
  <c r="I661" i="16" s="1"/>
  <c r="J662" i="16" s="1"/>
  <c r="K663" i="16" s="1"/>
  <c r="L664" i="16" s="1"/>
  <c r="D657" i="16"/>
  <c r="P658" i="16"/>
  <c r="Q658" i="16"/>
  <c r="R659" i="16" s="1"/>
  <c r="S660" i="16" s="1"/>
  <c r="T661" i="16" s="1"/>
  <c r="C149" i="4"/>
  <c r="M150" i="3"/>
  <c r="AC149" i="3"/>
  <c r="AD149" i="3" s="1"/>
  <c r="F617" i="3"/>
  <c r="I613" i="3"/>
  <c r="D613" i="4" s="1"/>
  <c r="E613" i="4"/>
  <c r="F613" i="4" s="1"/>
  <c r="K613" i="3"/>
  <c r="L613" i="3" s="1"/>
  <c r="E615" i="3"/>
  <c r="D614" i="3"/>
  <c r="H614" i="3" s="1"/>
  <c r="R614" i="3"/>
  <c r="J614" i="3"/>
  <c r="S613" i="3"/>
  <c r="T613" i="3" s="1"/>
  <c r="U613" i="3"/>
  <c r="P659" i="16" l="1"/>
  <c r="Q659" i="16"/>
  <c r="R660" i="16" s="1"/>
  <c r="S661" i="16" s="1"/>
  <c r="T662" i="16" s="1"/>
  <c r="E658" i="16"/>
  <c r="F659" i="16" s="1"/>
  <c r="G660" i="16" s="1"/>
  <c r="H661" i="16" s="1"/>
  <c r="I662" i="16" s="1"/>
  <c r="J663" i="16" s="1"/>
  <c r="K664" i="16" s="1"/>
  <c r="L665" i="16" s="1"/>
  <c r="D658" i="16"/>
  <c r="K614" i="3"/>
  <c r="L614" i="3" s="1"/>
  <c r="S614" i="3"/>
  <c r="T614" i="3" s="1"/>
  <c r="U614" i="3"/>
  <c r="E616" i="3"/>
  <c r="J615" i="3"/>
  <c r="D615" i="3"/>
  <c r="H615" i="3" s="1"/>
  <c r="R615" i="3"/>
  <c r="F618" i="3"/>
  <c r="N150" i="3"/>
  <c r="O150" i="3"/>
  <c r="AI150" i="3"/>
  <c r="I614" i="3"/>
  <c r="D614" i="4" s="1"/>
  <c r="E614" i="4"/>
  <c r="F614" i="4" s="1"/>
  <c r="G149" i="4"/>
  <c r="I149" i="4" s="1"/>
  <c r="J149" i="4" s="1"/>
  <c r="H149" i="4"/>
  <c r="E659" i="16" l="1"/>
  <c r="F660" i="16" s="1"/>
  <c r="G661" i="16" s="1"/>
  <c r="H662" i="16" s="1"/>
  <c r="I663" i="16" s="1"/>
  <c r="J664" i="16" s="1"/>
  <c r="K665" i="16" s="1"/>
  <c r="L666" i="16" s="1"/>
  <c r="D659" i="16"/>
  <c r="P660" i="16"/>
  <c r="Q660" i="16"/>
  <c r="R661" i="16" s="1"/>
  <c r="S662" i="16" s="1"/>
  <c r="T663" i="16" s="1"/>
  <c r="U615" i="3"/>
  <c r="S615" i="3"/>
  <c r="T615" i="3" s="1"/>
  <c r="P150" i="3"/>
  <c r="Q150" i="3" s="1"/>
  <c r="I615" i="3"/>
  <c r="D615" i="4" s="1"/>
  <c r="E615" i="4"/>
  <c r="F615" i="4" s="1"/>
  <c r="E617" i="3"/>
  <c r="R616" i="3"/>
  <c r="D616" i="3"/>
  <c r="H616" i="3" s="1"/>
  <c r="J616" i="3"/>
  <c r="F619" i="3"/>
  <c r="K615" i="3"/>
  <c r="L615" i="3" s="1"/>
  <c r="K149" i="4"/>
  <c r="M149" i="4"/>
  <c r="P661" i="16" l="1"/>
  <c r="Q661" i="16"/>
  <c r="R662" i="16" s="1"/>
  <c r="S663" i="16" s="1"/>
  <c r="T664" i="16" s="1"/>
  <c r="D660" i="16"/>
  <c r="E660" i="16"/>
  <c r="F661" i="16" s="1"/>
  <c r="G662" i="16" s="1"/>
  <c r="H663" i="16" s="1"/>
  <c r="I664" i="16" s="1"/>
  <c r="J665" i="16" s="1"/>
  <c r="K666" i="16" s="1"/>
  <c r="L667" i="16" s="1"/>
  <c r="K616" i="3"/>
  <c r="L616" i="3" s="1"/>
  <c r="S616" i="3"/>
  <c r="T616" i="3" s="1"/>
  <c r="U616" i="3"/>
  <c r="F620" i="3"/>
  <c r="E616" i="4"/>
  <c r="F616" i="4" s="1"/>
  <c r="I616" i="3"/>
  <c r="D616" i="4" s="1"/>
  <c r="E618" i="3"/>
  <c r="R617" i="3"/>
  <c r="J617" i="3"/>
  <c r="D617" i="3"/>
  <c r="H617" i="3" s="1"/>
  <c r="L150" i="4"/>
  <c r="V150" i="3"/>
  <c r="D661" i="16" l="1"/>
  <c r="E661" i="16"/>
  <c r="F662" i="16" s="1"/>
  <c r="G663" i="16" s="1"/>
  <c r="H664" i="16" s="1"/>
  <c r="I665" i="16" s="1"/>
  <c r="J666" i="16" s="1"/>
  <c r="K667" i="16" s="1"/>
  <c r="L668" i="16" s="1"/>
  <c r="Q662" i="16"/>
  <c r="R663" i="16" s="1"/>
  <c r="S664" i="16" s="1"/>
  <c r="T665" i="16" s="1"/>
  <c r="P662" i="16"/>
  <c r="W150" i="3"/>
  <c r="X150" i="3" s="1"/>
  <c r="Y150" i="3" s="1"/>
  <c r="Z150" i="3" s="1"/>
  <c r="AA150" i="3" s="1"/>
  <c r="AB150" i="3" s="1"/>
  <c r="K617" i="3"/>
  <c r="L617" i="3" s="1"/>
  <c r="E617" i="4"/>
  <c r="F617" i="4" s="1"/>
  <c r="I617" i="3"/>
  <c r="D617" i="4" s="1"/>
  <c r="S617" i="3"/>
  <c r="T617" i="3" s="1"/>
  <c r="U617" i="3"/>
  <c r="E619" i="3"/>
  <c r="D618" i="3"/>
  <c r="H618" i="3" s="1"/>
  <c r="J618" i="3"/>
  <c r="R618" i="3"/>
  <c r="F621" i="3"/>
  <c r="P663" i="16" l="1"/>
  <c r="Q663" i="16"/>
  <c r="R664" i="16" s="1"/>
  <c r="S665" i="16" s="1"/>
  <c r="T666" i="16" s="1"/>
  <c r="D662" i="16"/>
  <c r="E662" i="16"/>
  <c r="F663" i="16" s="1"/>
  <c r="G664" i="16" s="1"/>
  <c r="H665" i="16" s="1"/>
  <c r="I666" i="16" s="1"/>
  <c r="J667" i="16" s="1"/>
  <c r="K668" i="16" s="1"/>
  <c r="L669" i="16" s="1"/>
  <c r="M151" i="3"/>
  <c r="AC150" i="3"/>
  <c r="AD150" i="3" s="1"/>
  <c r="C150" i="4"/>
  <c r="E618" i="4"/>
  <c r="F618" i="4" s="1"/>
  <c r="I618" i="3"/>
  <c r="D618" i="4" s="1"/>
  <c r="F622" i="3"/>
  <c r="K618" i="3"/>
  <c r="L618" i="3" s="1"/>
  <c r="S618" i="3"/>
  <c r="T618" i="3" s="1"/>
  <c r="U618" i="3"/>
  <c r="E620" i="3"/>
  <c r="R619" i="3"/>
  <c r="D619" i="3"/>
  <c r="H619" i="3" s="1"/>
  <c r="J619" i="3"/>
  <c r="E663" i="16" l="1"/>
  <c r="F664" i="16" s="1"/>
  <c r="G665" i="16" s="1"/>
  <c r="H666" i="16" s="1"/>
  <c r="I667" i="16" s="1"/>
  <c r="J668" i="16" s="1"/>
  <c r="K669" i="16" s="1"/>
  <c r="L670" i="16" s="1"/>
  <c r="D663" i="16"/>
  <c r="P664" i="16"/>
  <c r="Q664" i="16"/>
  <c r="R665" i="16" s="1"/>
  <c r="S666" i="16" s="1"/>
  <c r="T667" i="16" s="1"/>
  <c r="S619" i="3"/>
  <c r="T619" i="3" s="1"/>
  <c r="U619" i="3"/>
  <c r="H150" i="4"/>
  <c r="G150" i="4"/>
  <c r="I150" i="4" s="1"/>
  <c r="J150" i="4" s="1"/>
  <c r="F623" i="3"/>
  <c r="K619" i="3"/>
  <c r="L619" i="3" s="1"/>
  <c r="E621" i="3"/>
  <c r="J620" i="3"/>
  <c r="R620" i="3"/>
  <c r="D620" i="3"/>
  <c r="H620" i="3" s="1"/>
  <c r="E619" i="4"/>
  <c r="F619" i="4" s="1"/>
  <c r="I619" i="3"/>
  <c r="D619" i="4" s="1"/>
  <c r="N151" i="3"/>
  <c r="AI151" i="3"/>
  <c r="O151" i="3"/>
  <c r="P665" i="16" l="1"/>
  <c r="Q665" i="16"/>
  <c r="R666" i="16" s="1"/>
  <c r="S667" i="16" s="1"/>
  <c r="T668" i="16" s="1"/>
  <c r="D664" i="16"/>
  <c r="E664" i="16"/>
  <c r="F665" i="16" s="1"/>
  <c r="G666" i="16" s="1"/>
  <c r="H667" i="16" s="1"/>
  <c r="I668" i="16" s="1"/>
  <c r="J669" i="16" s="1"/>
  <c r="K670" i="16" s="1"/>
  <c r="L671" i="16" s="1"/>
  <c r="P151" i="3"/>
  <c r="Q151" i="3" s="1"/>
  <c r="V151" i="3" s="1"/>
  <c r="U620" i="3"/>
  <c r="S620" i="3"/>
  <c r="T620" i="3" s="1"/>
  <c r="M150" i="4"/>
  <c r="K150" i="4"/>
  <c r="K620" i="3"/>
  <c r="L620" i="3" s="1"/>
  <c r="E622" i="3"/>
  <c r="D621" i="3"/>
  <c r="H621" i="3" s="1"/>
  <c r="J621" i="3"/>
  <c r="R621" i="3"/>
  <c r="F624" i="3"/>
  <c r="I620" i="3"/>
  <c r="D620" i="4" s="1"/>
  <c r="E620" i="4"/>
  <c r="F620" i="4" s="1"/>
  <c r="E665" i="16" l="1"/>
  <c r="F666" i="16" s="1"/>
  <c r="G667" i="16" s="1"/>
  <c r="H668" i="16" s="1"/>
  <c r="I669" i="16" s="1"/>
  <c r="J670" i="16" s="1"/>
  <c r="K671" i="16" s="1"/>
  <c r="L672" i="16" s="1"/>
  <c r="D665" i="16"/>
  <c r="Q666" i="16"/>
  <c r="R667" i="16" s="1"/>
  <c r="S668" i="16" s="1"/>
  <c r="T669" i="16" s="1"/>
  <c r="P666" i="16"/>
  <c r="L151" i="4"/>
  <c r="U621" i="3"/>
  <c r="S621" i="3"/>
  <c r="T621" i="3" s="1"/>
  <c r="F625" i="3"/>
  <c r="E621" i="4"/>
  <c r="F621" i="4" s="1"/>
  <c r="I621" i="3"/>
  <c r="D621" i="4" s="1"/>
  <c r="W151" i="3"/>
  <c r="X151" i="3" s="1"/>
  <c r="Y151" i="3" s="1"/>
  <c r="Z151" i="3" s="1"/>
  <c r="AA151" i="3" s="1"/>
  <c r="AB151" i="3" s="1"/>
  <c r="K621" i="3"/>
  <c r="L621" i="3" s="1"/>
  <c r="E623" i="3"/>
  <c r="R622" i="3"/>
  <c r="J622" i="3"/>
  <c r="D622" i="3"/>
  <c r="H622" i="3" s="1"/>
  <c r="P667" i="16" l="1"/>
  <c r="Q667" i="16"/>
  <c r="R668" i="16" s="1"/>
  <c r="S669" i="16" s="1"/>
  <c r="T670" i="16" s="1"/>
  <c r="E666" i="16"/>
  <c r="F667" i="16" s="1"/>
  <c r="G668" i="16" s="1"/>
  <c r="H669" i="16" s="1"/>
  <c r="I670" i="16" s="1"/>
  <c r="J671" i="16" s="1"/>
  <c r="K672" i="16" s="1"/>
  <c r="L673" i="16" s="1"/>
  <c r="D666" i="16"/>
  <c r="K622" i="3"/>
  <c r="L622" i="3" s="1"/>
  <c r="F626" i="3"/>
  <c r="C151" i="4"/>
  <c r="M152" i="3"/>
  <c r="AC151" i="3"/>
  <c r="AD151" i="3" s="1"/>
  <c r="I622" i="3"/>
  <c r="D622" i="4" s="1"/>
  <c r="E622" i="4"/>
  <c r="F622" i="4" s="1"/>
  <c r="S622" i="3"/>
  <c r="T622" i="3" s="1"/>
  <c r="U622" i="3"/>
  <c r="E624" i="3"/>
  <c r="D623" i="3"/>
  <c r="H623" i="3" s="1"/>
  <c r="J623" i="3"/>
  <c r="R623" i="3"/>
  <c r="D667" i="16" l="1"/>
  <c r="E667" i="16"/>
  <c r="F668" i="16" s="1"/>
  <c r="G669" i="16" s="1"/>
  <c r="H670" i="16" s="1"/>
  <c r="I671" i="16" s="1"/>
  <c r="J672" i="16" s="1"/>
  <c r="K673" i="16" s="1"/>
  <c r="L674" i="16" s="1"/>
  <c r="P668" i="16"/>
  <c r="Q668" i="16"/>
  <c r="R669" i="16" s="1"/>
  <c r="S670" i="16" s="1"/>
  <c r="T671" i="16" s="1"/>
  <c r="E623" i="4"/>
  <c r="F623" i="4" s="1"/>
  <c r="I623" i="3"/>
  <c r="D623" i="4" s="1"/>
  <c r="G151" i="4"/>
  <c r="I151" i="4" s="1"/>
  <c r="J151" i="4" s="1"/>
  <c r="H151" i="4"/>
  <c r="K623" i="3"/>
  <c r="L623" i="3" s="1"/>
  <c r="F627" i="3"/>
  <c r="E625" i="3"/>
  <c r="J624" i="3"/>
  <c r="R624" i="3"/>
  <c r="D624" i="3"/>
  <c r="H624" i="3" s="1"/>
  <c r="O152" i="3"/>
  <c r="N152" i="3"/>
  <c r="AI152" i="3"/>
  <c r="S623" i="3"/>
  <c r="T623" i="3" s="1"/>
  <c r="U623" i="3"/>
  <c r="P669" i="16" l="1"/>
  <c r="Q669" i="16"/>
  <c r="R670" i="16" s="1"/>
  <c r="S671" i="16" s="1"/>
  <c r="T672" i="16" s="1"/>
  <c r="D668" i="16"/>
  <c r="E668" i="16"/>
  <c r="F669" i="16" s="1"/>
  <c r="G670" i="16" s="1"/>
  <c r="H671" i="16" s="1"/>
  <c r="I672" i="16" s="1"/>
  <c r="J673" i="16" s="1"/>
  <c r="K674" i="16" s="1"/>
  <c r="L675" i="16" s="1"/>
  <c r="E624" i="4"/>
  <c r="F624" i="4" s="1"/>
  <c r="I624" i="3"/>
  <c r="D624" i="4" s="1"/>
  <c r="E626" i="3"/>
  <c r="J625" i="3"/>
  <c r="D625" i="3"/>
  <c r="H625" i="3" s="1"/>
  <c r="R625" i="3"/>
  <c r="M151" i="4"/>
  <c r="K151" i="4"/>
  <c r="K624" i="3"/>
  <c r="L624" i="3" s="1"/>
  <c r="S624" i="3"/>
  <c r="T624" i="3" s="1"/>
  <c r="U624" i="3"/>
  <c r="F628" i="3"/>
  <c r="P152" i="3"/>
  <c r="Q152" i="3" s="1"/>
  <c r="D669" i="16" l="1"/>
  <c r="E669" i="16"/>
  <c r="F670" i="16" s="1"/>
  <c r="G671" i="16" s="1"/>
  <c r="H672" i="16" s="1"/>
  <c r="I673" i="16" s="1"/>
  <c r="J674" i="16" s="1"/>
  <c r="K675" i="16" s="1"/>
  <c r="L676" i="16" s="1"/>
  <c r="Q670" i="16"/>
  <c r="R671" i="16" s="1"/>
  <c r="S672" i="16" s="1"/>
  <c r="T673" i="16" s="1"/>
  <c r="P670" i="16"/>
  <c r="E625" i="4"/>
  <c r="F625" i="4" s="1"/>
  <c r="I625" i="3"/>
  <c r="D625" i="4" s="1"/>
  <c r="E627" i="3"/>
  <c r="D626" i="3"/>
  <c r="H626" i="3" s="1"/>
  <c r="R626" i="3"/>
  <c r="J626" i="3"/>
  <c r="F629" i="3"/>
  <c r="S625" i="3"/>
  <c r="T625" i="3" s="1"/>
  <c r="U625" i="3"/>
  <c r="L152" i="4"/>
  <c r="V152" i="3"/>
  <c r="K625" i="3"/>
  <c r="L625" i="3" s="1"/>
  <c r="P671" i="16" l="1"/>
  <c r="Q671" i="16"/>
  <c r="R672" i="16" s="1"/>
  <c r="S673" i="16" s="1"/>
  <c r="T674" i="16" s="1"/>
  <c r="E670" i="16"/>
  <c r="F671" i="16" s="1"/>
  <c r="G672" i="16" s="1"/>
  <c r="H673" i="16" s="1"/>
  <c r="I674" i="16" s="1"/>
  <c r="J675" i="16" s="1"/>
  <c r="K676" i="16" s="1"/>
  <c r="L677" i="16" s="1"/>
  <c r="D670" i="16"/>
  <c r="K626" i="3"/>
  <c r="L626" i="3" s="1"/>
  <c r="E628" i="3"/>
  <c r="R627" i="3"/>
  <c r="J627" i="3"/>
  <c r="D627" i="3"/>
  <c r="H627" i="3" s="1"/>
  <c r="W152" i="3"/>
  <c r="X152" i="3" s="1"/>
  <c r="Y152" i="3" s="1"/>
  <c r="Z152" i="3" s="1"/>
  <c r="AA152" i="3" s="1"/>
  <c r="AB152" i="3" s="1"/>
  <c r="I626" i="3"/>
  <c r="D626" i="4" s="1"/>
  <c r="E626" i="4"/>
  <c r="F626" i="4" s="1"/>
  <c r="F630" i="3"/>
  <c r="S626" i="3"/>
  <c r="T626" i="3" s="1"/>
  <c r="U626" i="3"/>
  <c r="E671" i="16" l="1"/>
  <c r="F672" i="16" s="1"/>
  <c r="G673" i="16" s="1"/>
  <c r="H674" i="16" s="1"/>
  <c r="I675" i="16" s="1"/>
  <c r="J676" i="16" s="1"/>
  <c r="K677" i="16" s="1"/>
  <c r="L678" i="16" s="1"/>
  <c r="D671" i="16"/>
  <c r="P672" i="16"/>
  <c r="Q672" i="16"/>
  <c r="R673" i="16" s="1"/>
  <c r="S674" i="16" s="1"/>
  <c r="T675" i="16" s="1"/>
  <c r="F631" i="3"/>
  <c r="I627" i="3"/>
  <c r="D627" i="4" s="1"/>
  <c r="E627" i="4"/>
  <c r="F627" i="4" s="1"/>
  <c r="S627" i="3"/>
  <c r="T627" i="3" s="1"/>
  <c r="U627" i="3"/>
  <c r="K627" i="3"/>
  <c r="L627" i="3" s="1"/>
  <c r="AC152" i="3"/>
  <c r="AD152" i="3" s="1"/>
  <c r="C152" i="4"/>
  <c r="M153" i="3"/>
  <c r="E629" i="3"/>
  <c r="R628" i="3"/>
  <c r="D628" i="3"/>
  <c r="H628" i="3" s="1"/>
  <c r="J628" i="3"/>
  <c r="P673" i="16" l="1"/>
  <c r="Q673" i="16"/>
  <c r="R674" i="16" s="1"/>
  <c r="S675" i="16" s="1"/>
  <c r="T676" i="16" s="1"/>
  <c r="D672" i="16"/>
  <c r="E672" i="16"/>
  <c r="F673" i="16" s="1"/>
  <c r="G674" i="16" s="1"/>
  <c r="H675" i="16" s="1"/>
  <c r="I676" i="16" s="1"/>
  <c r="J677" i="16" s="1"/>
  <c r="K678" i="16" s="1"/>
  <c r="L679" i="16" s="1"/>
  <c r="K628" i="3"/>
  <c r="L628" i="3" s="1"/>
  <c r="E630" i="3"/>
  <c r="J629" i="3"/>
  <c r="D629" i="3"/>
  <c r="H629" i="3" s="1"/>
  <c r="R629" i="3"/>
  <c r="N153" i="3"/>
  <c r="AI153" i="3"/>
  <c r="O153" i="3"/>
  <c r="U628" i="3"/>
  <c r="S628" i="3"/>
  <c r="T628" i="3" s="1"/>
  <c r="G152" i="4"/>
  <c r="I152" i="4" s="1"/>
  <c r="J152" i="4" s="1"/>
  <c r="H152" i="4"/>
  <c r="F632" i="3"/>
  <c r="E628" i="4"/>
  <c r="F628" i="4" s="1"/>
  <c r="I628" i="3"/>
  <c r="D628" i="4" s="1"/>
  <c r="D673" i="16" l="1"/>
  <c r="E673" i="16"/>
  <c r="F674" i="16" s="1"/>
  <c r="G675" i="16" s="1"/>
  <c r="H676" i="16" s="1"/>
  <c r="I677" i="16" s="1"/>
  <c r="J678" i="16" s="1"/>
  <c r="K679" i="16" s="1"/>
  <c r="L680" i="16" s="1"/>
  <c r="P674" i="16"/>
  <c r="Q674" i="16"/>
  <c r="R675" i="16" s="1"/>
  <c r="S676" i="16" s="1"/>
  <c r="T677" i="16" s="1"/>
  <c r="M152" i="4"/>
  <c r="K152" i="4"/>
  <c r="P153" i="3"/>
  <c r="Q153" i="3" s="1"/>
  <c r="U629" i="3"/>
  <c r="S629" i="3"/>
  <c r="T629" i="3" s="1"/>
  <c r="I629" i="3"/>
  <c r="D629" i="4" s="1"/>
  <c r="E629" i="4"/>
  <c r="F629" i="4" s="1"/>
  <c r="K629" i="3"/>
  <c r="L629" i="3" s="1"/>
  <c r="E631" i="3"/>
  <c r="D630" i="3"/>
  <c r="H630" i="3" s="1"/>
  <c r="R630" i="3"/>
  <c r="J630" i="3"/>
  <c r="F633" i="3"/>
  <c r="Q675" i="16" l="1"/>
  <c r="R676" i="16" s="1"/>
  <c r="S677" i="16" s="1"/>
  <c r="T678" i="16" s="1"/>
  <c r="P675" i="16"/>
  <c r="E674" i="16"/>
  <c r="F675" i="16" s="1"/>
  <c r="G676" i="16" s="1"/>
  <c r="H677" i="16" s="1"/>
  <c r="I678" i="16" s="1"/>
  <c r="J679" i="16" s="1"/>
  <c r="K680" i="16" s="1"/>
  <c r="L681" i="16" s="1"/>
  <c r="D674" i="16"/>
  <c r="E630" i="4"/>
  <c r="F630" i="4" s="1"/>
  <c r="I630" i="3"/>
  <c r="D630" i="4" s="1"/>
  <c r="S630" i="3"/>
  <c r="T630" i="3" s="1"/>
  <c r="U630" i="3"/>
  <c r="F634" i="3"/>
  <c r="K630" i="3"/>
  <c r="L630" i="3" s="1"/>
  <c r="E632" i="3"/>
  <c r="R631" i="3"/>
  <c r="D631" i="3"/>
  <c r="H631" i="3" s="1"/>
  <c r="J631" i="3"/>
  <c r="L153" i="4"/>
  <c r="V153" i="3"/>
  <c r="E675" i="16" l="1"/>
  <c r="F676" i="16" s="1"/>
  <c r="G677" i="16" s="1"/>
  <c r="H678" i="16" s="1"/>
  <c r="I679" i="16" s="1"/>
  <c r="J680" i="16" s="1"/>
  <c r="K681" i="16" s="1"/>
  <c r="L682" i="16" s="1"/>
  <c r="D675" i="16"/>
  <c r="P676" i="16"/>
  <c r="Q676" i="16"/>
  <c r="R677" i="16" s="1"/>
  <c r="S678" i="16" s="1"/>
  <c r="T679" i="16" s="1"/>
  <c r="K631" i="3"/>
  <c r="L631" i="3" s="1"/>
  <c r="S631" i="3"/>
  <c r="T631" i="3" s="1"/>
  <c r="U631" i="3"/>
  <c r="E631" i="4"/>
  <c r="F631" i="4" s="1"/>
  <c r="I631" i="3"/>
  <c r="D631" i="4" s="1"/>
  <c r="F635" i="3"/>
  <c r="E633" i="3"/>
  <c r="J632" i="3"/>
  <c r="R632" i="3"/>
  <c r="D632" i="3"/>
  <c r="H632" i="3" s="1"/>
  <c r="W153" i="3"/>
  <c r="X153" i="3" s="1"/>
  <c r="Y153" i="3" s="1"/>
  <c r="Z153" i="3" s="1"/>
  <c r="AA153" i="3" s="1"/>
  <c r="AB153" i="3" s="1"/>
  <c r="P677" i="16" l="1"/>
  <c r="Q677" i="16"/>
  <c r="R678" i="16" s="1"/>
  <c r="S679" i="16" s="1"/>
  <c r="T680" i="16" s="1"/>
  <c r="D676" i="16"/>
  <c r="E676" i="16"/>
  <c r="F677" i="16" s="1"/>
  <c r="G678" i="16" s="1"/>
  <c r="H679" i="16" s="1"/>
  <c r="I680" i="16" s="1"/>
  <c r="J681" i="16" s="1"/>
  <c r="K682" i="16" s="1"/>
  <c r="L683" i="16" s="1"/>
  <c r="C153" i="4"/>
  <c r="M154" i="3"/>
  <c r="AC153" i="3"/>
  <c r="AD153" i="3" s="1"/>
  <c r="K632" i="3"/>
  <c r="L632" i="3" s="1"/>
  <c r="E632" i="4"/>
  <c r="F632" i="4" s="1"/>
  <c r="I632" i="3"/>
  <c r="D632" i="4" s="1"/>
  <c r="E634" i="3"/>
  <c r="D633" i="3"/>
  <c r="H633" i="3" s="1"/>
  <c r="J633" i="3"/>
  <c r="R633" i="3"/>
  <c r="F636" i="3"/>
  <c r="S632" i="3"/>
  <c r="T632" i="3" s="1"/>
  <c r="U632" i="3"/>
  <c r="E677" i="16" l="1"/>
  <c r="F678" i="16" s="1"/>
  <c r="G679" i="16" s="1"/>
  <c r="H680" i="16" s="1"/>
  <c r="I681" i="16" s="1"/>
  <c r="J682" i="16" s="1"/>
  <c r="K683" i="16" s="1"/>
  <c r="L684" i="16" s="1"/>
  <c r="D677" i="16"/>
  <c r="Q678" i="16"/>
  <c r="R679" i="16" s="1"/>
  <c r="S680" i="16" s="1"/>
  <c r="T681" i="16" s="1"/>
  <c r="P678" i="16"/>
  <c r="K633" i="3"/>
  <c r="L633" i="3" s="1"/>
  <c r="U633" i="3"/>
  <c r="S633" i="3"/>
  <c r="T633" i="3" s="1"/>
  <c r="N154" i="3"/>
  <c r="AI154" i="3"/>
  <c r="O154" i="3"/>
  <c r="F637" i="3"/>
  <c r="E633" i="4"/>
  <c r="F633" i="4" s="1"/>
  <c r="I633" i="3"/>
  <c r="D633" i="4" s="1"/>
  <c r="E635" i="3"/>
  <c r="J634" i="3"/>
  <c r="D634" i="3"/>
  <c r="H634" i="3" s="1"/>
  <c r="R634" i="3"/>
  <c r="H153" i="4"/>
  <c r="G153" i="4"/>
  <c r="I153" i="4" s="1"/>
  <c r="J153" i="4" s="1"/>
  <c r="P679" i="16" l="1"/>
  <c r="Q679" i="16"/>
  <c r="R680" i="16" s="1"/>
  <c r="S681" i="16" s="1"/>
  <c r="T682" i="16" s="1"/>
  <c r="D678" i="16"/>
  <c r="E678" i="16"/>
  <c r="F679" i="16" s="1"/>
  <c r="G680" i="16" s="1"/>
  <c r="H681" i="16" s="1"/>
  <c r="I682" i="16" s="1"/>
  <c r="J683" i="16" s="1"/>
  <c r="K684" i="16" s="1"/>
  <c r="L685" i="16" s="1"/>
  <c r="I634" i="3"/>
  <c r="D634" i="4" s="1"/>
  <c r="E634" i="4"/>
  <c r="F634" i="4" s="1"/>
  <c r="E636" i="3"/>
  <c r="D635" i="3"/>
  <c r="H635" i="3" s="1"/>
  <c r="R635" i="3"/>
  <c r="J635" i="3"/>
  <c r="F638" i="3"/>
  <c r="K634" i="3"/>
  <c r="L634" i="3" s="1"/>
  <c r="K153" i="4"/>
  <c r="M153" i="4"/>
  <c r="P154" i="3"/>
  <c r="Q154" i="3" s="1"/>
  <c r="U634" i="3"/>
  <c r="S634" i="3"/>
  <c r="T634" i="3" s="1"/>
  <c r="E679" i="16" l="1"/>
  <c r="F680" i="16" s="1"/>
  <c r="G681" i="16" s="1"/>
  <c r="H682" i="16" s="1"/>
  <c r="I683" i="16" s="1"/>
  <c r="J684" i="16" s="1"/>
  <c r="K685" i="16" s="1"/>
  <c r="L686" i="16" s="1"/>
  <c r="D679" i="16"/>
  <c r="P680" i="16"/>
  <c r="Q680" i="16"/>
  <c r="R681" i="16" s="1"/>
  <c r="S682" i="16" s="1"/>
  <c r="T683" i="16" s="1"/>
  <c r="K635" i="3"/>
  <c r="L635" i="3" s="1"/>
  <c r="S635" i="3"/>
  <c r="T635" i="3" s="1"/>
  <c r="U635" i="3"/>
  <c r="L154" i="4"/>
  <c r="C28" i="5" s="1"/>
  <c r="N28" i="5" s="1"/>
  <c r="V154" i="3"/>
  <c r="F639" i="3"/>
  <c r="I635" i="3"/>
  <c r="D635" i="4" s="1"/>
  <c r="E635" i="4"/>
  <c r="F635" i="4" s="1"/>
  <c r="E637" i="3"/>
  <c r="R636" i="3"/>
  <c r="J636" i="3"/>
  <c r="D636" i="3"/>
  <c r="H636" i="3" s="1"/>
  <c r="P681" i="16" l="1"/>
  <c r="Q681" i="16"/>
  <c r="R682" i="16" s="1"/>
  <c r="S683" i="16" s="1"/>
  <c r="T684" i="16" s="1"/>
  <c r="E680" i="16"/>
  <c r="F681" i="16" s="1"/>
  <c r="G682" i="16" s="1"/>
  <c r="H683" i="16" s="1"/>
  <c r="I684" i="16" s="1"/>
  <c r="J685" i="16" s="1"/>
  <c r="K686" i="16" s="1"/>
  <c r="L687" i="16" s="1"/>
  <c r="D680" i="16"/>
  <c r="K636" i="3"/>
  <c r="L636" i="3" s="1"/>
  <c r="U636" i="3"/>
  <c r="S636" i="3"/>
  <c r="T636" i="3" s="1"/>
  <c r="E638" i="3"/>
  <c r="D637" i="3"/>
  <c r="H637" i="3" s="1"/>
  <c r="J637" i="3"/>
  <c r="R637" i="3"/>
  <c r="F640" i="3"/>
  <c r="W154" i="3"/>
  <c r="X154" i="3" s="1"/>
  <c r="Y154" i="3" s="1"/>
  <c r="Z154" i="3" s="1"/>
  <c r="AA154" i="3" s="1"/>
  <c r="AB154" i="3" s="1"/>
  <c r="I636" i="3"/>
  <c r="D636" i="4" s="1"/>
  <c r="E636" i="4"/>
  <c r="F636" i="4" s="1"/>
  <c r="D681" i="16" l="1"/>
  <c r="E681" i="16"/>
  <c r="F682" i="16" s="1"/>
  <c r="G683" i="16" s="1"/>
  <c r="H684" i="16" s="1"/>
  <c r="I685" i="16" s="1"/>
  <c r="J686" i="16" s="1"/>
  <c r="K687" i="16" s="1"/>
  <c r="L688" i="16" s="1"/>
  <c r="P682" i="16"/>
  <c r="Q682" i="16"/>
  <c r="R683" i="16" s="1"/>
  <c r="S684" i="16" s="1"/>
  <c r="T685" i="16" s="1"/>
  <c r="K637" i="3"/>
  <c r="L637" i="3" s="1"/>
  <c r="C154" i="4"/>
  <c r="M155" i="3"/>
  <c r="AC154" i="3"/>
  <c r="AD154" i="3" s="1"/>
  <c r="F641" i="3"/>
  <c r="U637" i="3"/>
  <c r="S637" i="3"/>
  <c r="T637" i="3" s="1"/>
  <c r="I637" i="3"/>
  <c r="D637" i="4" s="1"/>
  <c r="E637" i="4"/>
  <c r="F637" i="4" s="1"/>
  <c r="E639" i="3"/>
  <c r="R638" i="3"/>
  <c r="D638" i="3"/>
  <c r="H638" i="3" s="1"/>
  <c r="J638" i="3"/>
  <c r="P683" i="16" l="1"/>
  <c r="Q683" i="16"/>
  <c r="R684" i="16" s="1"/>
  <c r="S685" i="16" s="1"/>
  <c r="T686" i="16" s="1"/>
  <c r="E682" i="16"/>
  <c r="F683" i="16" s="1"/>
  <c r="G684" i="16" s="1"/>
  <c r="H685" i="16" s="1"/>
  <c r="I686" i="16" s="1"/>
  <c r="J687" i="16" s="1"/>
  <c r="K688" i="16" s="1"/>
  <c r="L689" i="16" s="1"/>
  <c r="D682" i="16"/>
  <c r="E638" i="4"/>
  <c r="F638" i="4" s="1"/>
  <c r="I638" i="3"/>
  <c r="D638" i="4" s="1"/>
  <c r="F642" i="3"/>
  <c r="U638" i="3"/>
  <c r="S638" i="3"/>
  <c r="T638" i="3" s="1"/>
  <c r="K638" i="3"/>
  <c r="L638" i="3" s="1"/>
  <c r="E640" i="3"/>
  <c r="R639" i="3"/>
  <c r="J639" i="3"/>
  <c r="D639" i="3"/>
  <c r="H639" i="3" s="1"/>
  <c r="O155" i="3"/>
  <c r="AI155" i="3"/>
  <c r="N155" i="3"/>
  <c r="H154" i="4"/>
  <c r="G154" i="4"/>
  <c r="I154" i="4" s="1"/>
  <c r="J154" i="4" s="1"/>
  <c r="E683" i="16" l="1"/>
  <c r="F684" i="16" s="1"/>
  <c r="G685" i="16" s="1"/>
  <c r="H686" i="16" s="1"/>
  <c r="I687" i="16" s="1"/>
  <c r="J688" i="16" s="1"/>
  <c r="K689" i="16" s="1"/>
  <c r="L690" i="16" s="1"/>
  <c r="D683" i="16"/>
  <c r="P684" i="16"/>
  <c r="Q684" i="16"/>
  <c r="R685" i="16" s="1"/>
  <c r="S686" i="16" s="1"/>
  <c r="T687" i="16" s="1"/>
  <c r="K639" i="3"/>
  <c r="L639" i="3" s="1"/>
  <c r="K154" i="4"/>
  <c r="E28" i="5" s="1"/>
  <c r="D28" i="5"/>
  <c r="M154" i="4"/>
  <c r="I639" i="3"/>
  <c r="D639" i="4" s="1"/>
  <c r="E639" i="4"/>
  <c r="F639" i="4" s="1"/>
  <c r="E641" i="3"/>
  <c r="J640" i="3"/>
  <c r="D640" i="3"/>
  <c r="H640" i="3" s="1"/>
  <c r="R640" i="3"/>
  <c r="U639" i="3"/>
  <c r="S639" i="3"/>
  <c r="T639" i="3" s="1"/>
  <c r="F643" i="3"/>
  <c r="P155" i="3"/>
  <c r="Q155" i="3" s="1"/>
  <c r="P685" i="16" l="1"/>
  <c r="Q685" i="16"/>
  <c r="R686" i="16" s="1"/>
  <c r="S687" i="16" s="1"/>
  <c r="T688" i="16" s="1"/>
  <c r="D684" i="16"/>
  <c r="E684" i="16"/>
  <c r="F685" i="16" s="1"/>
  <c r="G686" i="16" s="1"/>
  <c r="H687" i="16" s="1"/>
  <c r="I688" i="16" s="1"/>
  <c r="J689" i="16" s="1"/>
  <c r="K690" i="16" s="1"/>
  <c r="L691" i="16" s="1"/>
  <c r="K640" i="3"/>
  <c r="L640" i="3" s="1"/>
  <c r="S640" i="3"/>
  <c r="T640" i="3" s="1"/>
  <c r="U640" i="3"/>
  <c r="I640" i="3"/>
  <c r="D640" i="4" s="1"/>
  <c r="E640" i="4"/>
  <c r="F640" i="4" s="1"/>
  <c r="E642" i="3"/>
  <c r="D641" i="3"/>
  <c r="H641" i="3" s="1"/>
  <c r="R641" i="3"/>
  <c r="J641" i="3"/>
  <c r="L155" i="4"/>
  <c r="V155" i="3"/>
  <c r="F644" i="3"/>
  <c r="D685" i="16" l="1"/>
  <c r="E685" i="16"/>
  <c r="F686" i="16" s="1"/>
  <c r="G687" i="16" s="1"/>
  <c r="H688" i="16" s="1"/>
  <c r="I689" i="16" s="1"/>
  <c r="J690" i="16" s="1"/>
  <c r="K691" i="16" s="1"/>
  <c r="L692" i="16" s="1"/>
  <c r="Q686" i="16"/>
  <c r="R687" i="16" s="1"/>
  <c r="S688" i="16" s="1"/>
  <c r="T689" i="16" s="1"/>
  <c r="P686" i="16"/>
  <c r="K641" i="3"/>
  <c r="L641" i="3" s="1"/>
  <c r="E641" i="4"/>
  <c r="F641" i="4" s="1"/>
  <c r="I641" i="3"/>
  <c r="D641" i="4" s="1"/>
  <c r="F645" i="3"/>
  <c r="E643" i="3"/>
  <c r="J642" i="3"/>
  <c r="D642" i="3"/>
  <c r="H642" i="3" s="1"/>
  <c r="R642" i="3"/>
  <c r="W155" i="3"/>
  <c r="X155" i="3" s="1"/>
  <c r="Y155" i="3" s="1"/>
  <c r="Z155" i="3" s="1"/>
  <c r="AA155" i="3" s="1"/>
  <c r="AB155" i="3" s="1"/>
  <c r="S641" i="3"/>
  <c r="T641" i="3" s="1"/>
  <c r="U641" i="3"/>
  <c r="P687" i="16" l="1"/>
  <c r="Q687" i="16"/>
  <c r="R688" i="16" s="1"/>
  <c r="S689" i="16" s="1"/>
  <c r="T690" i="16" s="1"/>
  <c r="D686" i="16"/>
  <c r="E686" i="16"/>
  <c r="F687" i="16" s="1"/>
  <c r="G688" i="16" s="1"/>
  <c r="H689" i="16" s="1"/>
  <c r="I690" i="16" s="1"/>
  <c r="J691" i="16" s="1"/>
  <c r="K692" i="16" s="1"/>
  <c r="L693" i="16" s="1"/>
  <c r="C155" i="4"/>
  <c r="AC155" i="3"/>
  <c r="AD155" i="3" s="1"/>
  <c r="M156" i="3"/>
  <c r="E642" i="4"/>
  <c r="F642" i="4" s="1"/>
  <c r="I642" i="3"/>
  <c r="D642" i="4" s="1"/>
  <c r="E644" i="3"/>
  <c r="J643" i="3"/>
  <c r="D643" i="3"/>
  <c r="H643" i="3" s="1"/>
  <c r="R643" i="3"/>
  <c r="S642" i="3"/>
  <c r="T642" i="3" s="1"/>
  <c r="U642" i="3"/>
  <c r="K642" i="3"/>
  <c r="L642" i="3" s="1"/>
  <c r="F646" i="3"/>
  <c r="D687" i="16" l="1"/>
  <c r="E687" i="16"/>
  <c r="F688" i="16" s="1"/>
  <c r="G689" i="16" s="1"/>
  <c r="H690" i="16" s="1"/>
  <c r="I691" i="16" s="1"/>
  <c r="J692" i="16" s="1"/>
  <c r="K693" i="16" s="1"/>
  <c r="L694" i="16" s="1"/>
  <c r="P688" i="16"/>
  <c r="Q688" i="16"/>
  <c r="R689" i="16" s="1"/>
  <c r="S690" i="16" s="1"/>
  <c r="T691" i="16" s="1"/>
  <c r="F647" i="3"/>
  <c r="E643" i="4"/>
  <c r="F643" i="4" s="1"/>
  <c r="I643" i="3"/>
  <c r="D643" i="4" s="1"/>
  <c r="U643" i="3"/>
  <c r="S643" i="3"/>
  <c r="T643" i="3" s="1"/>
  <c r="E645" i="3"/>
  <c r="D644" i="3"/>
  <c r="H644" i="3" s="1"/>
  <c r="R644" i="3"/>
  <c r="J644" i="3"/>
  <c r="K643" i="3"/>
  <c r="L643" i="3" s="1"/>
  <c r="O156" i="3"/>
  <c r="N156" i="3"/>
  <c r="AI156" i="3"/>
  <c r="H155" i="4"/>
  <c r="G155" i="4"/>
  <c r="I155" i="4" s="1"/>
  <c r="J155" i="4" s="1"/>
  <c r="P689" i="16" l="1"/>
  <c r="Q689" i="16"/>
  <c r="R690" i="16" s="1"/>
  <c r="S691" i="16" s="1"/>
  <c r="T692" i="16" s="1"/>
  <c r="E688" i="16"/>
  <c r="F689" i="16" s="1"/>
  <c r="G690" i="16" s="1"/>
  <c r="H691" i="16" s="1"/>
  <c r="I692" i="16" s="1"/>
  <c r="J693" i="16" s="1"/>
  <c r="K694" i="16" s="1"/>
  <c r="L695" i="16" s="1"/>
  <c r="D688" i="16"/>
  <c r="P156" i="3"/>
  <c r="Q156" i="3" s="1"/>
  <c r="V156" i="3" s="1"/>
  <c r="K644" i="3"/>
  <c r="L644" i="3" s="1"/>
  <c r="K155" i="4"/>
  <c r="M155" i="4"/>
  <c r="S644" i="3"/>
  <c r="T644" i="3" s="1"/>
  <c r="U644" i="3"/>
  <c r="F648" i="3"/>
  <c r="I644" i="3"/>
  <c r="D644" i="4" s="1"/>
  <c r="E644" i="4"/>
  <c r="F644" i="4" s="1"/>
  <c r="E646" i="3"/>
  <c r="J645" i="3"/>
  <c r="D645" i="3"/>
  <c r="H645" i="3" s="1"/>
  <c r="R645" i="3"/>
  <c r="L156" i="4" l="1"/>
  <c r="E689" i="16"/>
  <c r="F690" i="16" s="1"/>
  <c r="G691" i="16" s="1"/>
  <c r="H692" i="16" s="1"/>
  <c r="I693" i="16" s="1"/>
  <c r="J694" i="16" s="1"/>
  <c r="K695" i="16" s="1"/>
  <c r="L696" i="16" s="1"/>
  <c r="D689" i="16"/>
  <c r="P690" i="16"/>
  <c r="Q690" i="16"/>
  <c r="R691" i="16" s="1"/>
  <c r="S692" i="16" s="1"/>
  <c r="T693" i="16" s="1"/>
  <c r="K645" i="3"/>
  <c r="L645" i="3" s="1"/>
  <c r="W156" i="3"/>
  <c r="X156" i="3" s="1"/>
  <c r="Y156" i="3" s="1"/>
  <c r="Z156" i="3" s="1"/>
  <c r="AA156" i="3" s="1"/>
  <c r="AB156" i="3" s="1"/>
  <c r="E647" i="3"/>
  <c r="R646" i="3"/>
  <c r="J646" i="3"/>
  <c r="D646" i="3"/>
  <c r="H646" i="3" s="1"/>
  <c r="F649" i="3"/>
  <c r="S645" i="3"/>
  <c r="T645" i="3" s="1"/>
  <c r="U645" i="3"/>
  <c r="I645" i="3"/>
  <c r="D645" i="4" s="1"/>
  <c r="E645" i="4"/>
  <c r="F645" i="4" s="1"/>
  <c r="P691" i="16" l="1"/>
  <c r="Q691" i="16"/>
  <c r="R692" i="16" s="1"/>
  <c r="S693" i="16" s="1"/>
  <c r="T694" i="16" s="1"/>
  <c r="E690" i="16"/>
  <c r="F691" i="16" s="1"/>
  <c r="G692" i="16" s="1"/>
  <c r="H693" i="16" s="1"/>
  <c r="I694" i="16" s="1"/>
  <c r="J695" i="16" s="1"/>
  <c r="K696" i="16" s="1"/>
  <c r="L697" i="16" s="1"/>
  <c r="D690" i="16"/>
  <c r="E646" i="4"/>
  <c r="F646" i="4" s="1"/>
  <c r="I646" i="3"/>
  <c r="D646" i="4" s="1"/>
  <c r="K646" i="3"/>
  <c r="L646" i="3" s="1"/>
  <c r="E648" i="3"/>
  <c r="J647" i="3"/>
  <c r="D647" i="3"/>
  <c r="H647" i="3" s="1"/>
  <c r="R647" i="3"/>
  <c r="F650" i="3"/>
  <c r="S646" i="3"/>
  <c r="T646" i="3" s="1"/>
  <c r="U646" i="3"/>
  <c r="M157" i="3"/>
  <c r="C156" i="4"/>
  <c r="AC156" i="3"/>
  <c r="AD156" i="3" s="1"/>
  <c r="E691" i="16" l="1"/>
  <c r="F692" i="16" s="1"/>
  <c r="G693" i="16" s="1"/>
  <c r="H694" i="16" s="1"/>
  <c r="I695" i="16" s="1"/>
  <c r="J696" i="16" s="1"/>
  <c r="K697" i="16" s="1"/>
  <c r="L698" i="16" s="1"/>
  <c r="D691" i="16"/>
  <c r="Q692" i="16"/>
  <c r="R693" i="16" s="1"/>
  <c r="S694" i="16" s="1"/>
  <c r="T695" i="16" s="1"/>
  <c r="P692" i="16"/>
  <c r="S647" i="3"/>
  <c r="T647" i="3" s="1"/>
  <c r="U647" i="3"/>
  <c r="K647" i="3"/>
  <c r="L647" i="3" s="1"/>
  <c r="E647" i="4"/>
  <c r="F647" i="4" s="1"/>
  <c r="I647" i="3"/>
  <c r="D647" i="4" s="1"/>
  <c r="N157" i="3"/>
  <c r="AI157" i="3"/>
  <c r="O157" i="3"/>
  <c r="F651" i="3"/>
  <c r="E649" i="3"/>
  <c r="R648" i="3"/>
  <c r="D648" i="3"/>
  <c r="H648" i="3" s="1"/>
  <c r="J648" i="3"/>
  <c r="G156" i="4"/>
  <c r="I156" i="4" s="1"/>
  <c r="J156" i="4" s="1"/>
  <c r="H156" i="4"/>
  <c r="P693" i="16" l="1"/>
  <c r="Q693" i="16"/>
  <c r="R694" i="16" s="1"/>
  <c r="S695" i="16" s="1"/>
  <c r="T696" i="16" s="1"/>
  <c r="D692" i="16"/>
  <c r="E692" i="16"/>
  <c r="F693" i="16" s="1"/>
  <c r="G694" i="16" s="1"/>
  <c r="H695" i="16" s="1"/>
  <c r="I696" i="16" s="1"/>
  <c r="J697" i="16" s="1"/>
  <c r="K698" i="16" s="1"/>
  <c r="L699" i="16" s="1"/>
  <c r="K648" i="3"/>
  <c r="L648" i="3" s="1"/>
  <c r="F652" i="3"/>
  <c r="E650" i="3"/>
  <c r="R649" i="3"/>
  <c r="D649" i="3"/>
  <c r="H649" i="3" s="1"/>
  <c r="J649" i="3"/>
  <c r="P157" i="3"/>
  <c r="Q157" i="3" s="1"/>
  <c r="M156" i="4"/>
  <c r="K156" i="4"/>
  <c r="I648" i="3"/>
  <c r="D648" i="4" s="1"/>
  <c r="E648" i="4"/>
  <c r="F648" i="4" s="1"/>
  <c r="U648" i="3"/>
  <c r="S648" i="3"/>
  <c r="T648" i="3" s="1"/>
  <c r="E693" i="16" l="1"/>
  <c r="F694" i="16" s="1"/>
  <c r="G695" i="16" s="1"/>
  <c r="H696" i="16" s="1"/>
  <c r="I697" i="16" s="1"/>
  <c r="J698" i="16" s="1"/>
  <c r="K699" i="16" s="1"/>
  <c r="L700" i="16" s="1"/>
  <c r="D693" i="16"/>
  <c r="Q694" i="16"/>
  <c r="R695" i="16" s="1"/>
  <c r="S696" i="16" s="1"/>
  <c r="T697" i="16" s="1"/>
  <c r="P694" i="16"/>
  <c r="K649" i="3"/>
  <c r="L649" i="3" s="1"/>
  <c r="E649" i="4"/>
  <c r="F649" i="4" s="1"/>
  <c r="I649" i="3"/>
  <c r="D649" i="4" s="1"/>
  <c r="L157" i="4"/>
  <c r="V157" i="3"/>
  <c r="S649" i="3"/>
  <c r="T649" i="3" s="1"/>
  <c r="U649" i="3"/>
  <c r="E651" i="3"/>
  <c r="R650" i="3"/>
  <c r="J650" i="3"/>
  <c r="D650" i="3"/>
  <c r="H650" i="3" s="1"/>
  <c r="F653" i="3"/>
  <c r="P695" i="16" l="1"/>
  <c r="Q695" i="16"/>
  <c r="R696" i="16" s="1"/>
  <c r="S697" i="16" s="1"/>
  <c r="T698" i="16" s="1"/>
  <c r="E694" i="16"/>
  <c r="F695" i="16" s="1"/>
  <c r="G696" i="16" s="1"/>
  <c r="H697" i="16" s="1"/>
  <c r="I698" i="16" s="1"/>
  <c r="J699" i="16" s="1"/>
  <c r="K700" i="16" s="1"/>
  <c r="L701" i="16" s="1"/>
  <c r="D694" i="16"/>
  <c r="E650" i="4"/>
  <c r="F650" i="4" s="1"/>
  <c r="I650" i="3"/>
  <c r="D650" i="4" s="1"/>
  <c r="E652" i="3"/>
  <c r="D651" i="3"/>
  <c r="H651" i="3" s="1"/>
  <c r="R651" i="3"/>
  <c r="J651" i="3"/>
  <c r="F654" i="3"/>
  <c r="S650" i="3"/>
  <c r="T650" i="3" s="1"/>
  <c r="U650" i="3"/>
  <c r="K650" i="3"/>
  <c r="L650" i="3" s="1"/>
  <c r="W157" i="3"/>
  <c r="X157" i="3" s="1"/>
  <c r="Y157" i="3" s="1"/>
  <c r="Z157" i="3" s="1"/>
  <c r="AA157" i="3" s="1"/>
  <c r="AB157" i="3" s="1"/>
  <c r="D695" i="16" l="1"/>
  <c r="E695" i="16"/>
  <c r="F696" i="16" s="1"/>
  <c r="G697" i="16" s="1"/>
  <c r="H698" i="16" s="1"/>
  <c r="I699" i="16" s="1"/>
  <c r="J700" i="16" s="1"/>
  <c r="K701" i="16" s="1"/>
  <c r="L702" i="16" s="1"/>
  <c r="P696" i="16"/>
  <c r="Q696" i="16"/>
  <c r="R697" i="16" s="1"/>
  <c r="S698" i="16" s="1"/>
  <c r="T699" i="16" s="1"/>
  <c r="K651" i="3"/>
  <c r="L651" i="3" s="1"/>
  <c r="C157" i="4"/>
  <c r="M158" i="3"/>
  <c r="AC157" i="3"/>
  <c r="AD157" i="3" s="1"/>
  <c r="F655" i="3"/>
  <c r="I651" i="3"/>
  <c r="D651" i="4" s="1"/>
  <c r="E651" i="4"/>
  <c r="F651" i="4" s="1"/>
  <c r="S651" i="3"/>
  <c r="T651" i="3" s="1"/>
  <c r="U651" i="3"/>
  <c r="E653" i="3"/>
  <c r="D652" i="3"/>
  <c r="H652" i="3" s="1"/>
  <c r="R652" i="3"/>
  <c r="J652" i="3"/>
  <c r="P697" i="16" l="1"/>
  <c r="Q697" i="16"/>
  <c r="R698" i="16" s="1"/>
  <c r="S699" i="16" s="1"/>
  <c r="T700" i="16" s="1"/>
  <c r="E696" i="16"/>
  <c r="F697" i="16" s="1"/>
  <c r="G698" i="16" s="1"/>
  <c r="H699" i="16" s="1"/>
  <c r="I700" i="16" s="1"/>
  <c r="J701" i="16" s="1"/>
  <c r="K702" i="16" s="1"/>
  <c r="L703" i="16" s="1"/>
  <c r="D696" i="16"/>
  <c r="E654" i="3"/>
  <c r="D653" i="3"/>
  <c r="H653" i="3" s="1"/>
  <c r="R653" i="3"/>
  <c r="J653" i="3"/>
  <c r="K652" i="3"/>
  <c r="L652" i="3" s="1"/>
  <c r="AI158" i="3"/>
  <c r="O158" i="3"/>
  <c r="N158" i="3"/>
  <c r="I652" i="3"/>
  <c r="D652" i="4" s="1"/>
  <c r="E652" i="4"/>
  <c r="F652" i="4" s="1"/>
  <c r="F656" i="3"/>
  <c r="S652" i="3"/>
  <c r="T652" i="3" s="1"/>
  <c r="U652" i="3"/>
  <c r="H157" i="4"/>
  <c r="G157" i="4"/>
  <c r="I157" i="4" s="1"/>
  <c r="J157" i="4" s="1"/>
  <c r="P158" i="3" l="1"/>
  <c r="Q158" i="3" s="1"/>
  <c r="V158" i="3" s="1"/>
  <c r="E697" i="16"/>
  <c r="F698" i="16" s="1"/>
  <c r="G699" i="16" s="1"/>
  <c r="H700" i="16" s="1"/>
  <c r="I701" i="16" s="1"/>
  <c r="J702" i="16" s="1"/>
  <c r="K703" i="16" s="1"/>
  <c r="L704" i="16" s="1"/>
  <c r="D697" i="16"/>
  <c r="P698" i="16"/>
  <c r="Q698" i="16"/>
  <c r="R699" i="16" s="1"/>
  <c r="S700" i="16" s="1"/>
  <c r="T701" i="16" s="1"/>
  <c r="K653" i="3"/>
  <c r="L653" i="3" s="1"/>
  <c r="M157" i="4"/>
  <c r="K157" i="4"/>
  <c r="F657" i="3"/>
  <c r="E653" i="4"/>
  <c r="F653" i="4" s="1"/>
  <c r="I653" i="3"/>
  <c r="D653" i="4" s="1"/>
  <c r="U653" i="3"/>
  <c r="S653" i="3"/>
  <c r="T653" i="3" s="1"/>
  <c r="E655" i="3"/>
  <c r="R654" i="3"/>
  <c r="J654" i="3"/>
  <c r="D654" i="3"/>
  <c r="H654" i="3" s="1"/>
  <c r="L158" i="4" l="1"/>
  <c r="P699" i="16"/>
  <c r="Q699" i="16"/>
  <c r="R700" i="16" s="1"/>
  <c r="S701" i="16" s="1"/>
  <c r="T702" i="16" s="1"/>
  <c r="D698" i="16"/>
  <c r="E698" i="16"/>
  <c r="F699" i="16" s="1"/>
  <c r="G700" i="16" s="1"/>
  <c r="H701" i="16" s="1"/>
  <c r="I702" i="16" s="1"/>
  <c r="J703" i="16" s="1"/>
  <c r="K704" i="16" s="1"/>
  <c r="L705" i="16" s="1"/>
  <c r="F658" i="3"/>
  <c r="I654" i="3"/>
  <c r="D654" i="4" s="1"/>
  <c r="E654" i="4"/>
  <c r="F654" i="4" s="1"/>
  <c r="W158" i="3"/>
  <c r="X158" i="3" s="1"/>
  <c r="Y158" i="3" s="1"/>
  <c r="Z158" i="3" s="1"/>
  <c r="AA158" i="3" s="1"/>
  <c r="AB158" i="3" s="1"/>
  <c r="E656" i="3"/>
  <c r="J655" i="3"/>
  <c r="R655" i="3"/>
  <c r="D655" i="3"/>
  <c r="H655" i="3" s="1"/>
  <c r="K654" i="3"/>
  <c r="L654" i="3" s="1"/>
  <c r="S654" i="3"/>
  <c r="T654" i="3" s="1"/>
  <c r="U654" i="3"/>
  <c r="E699" i="16" l="1"/>
  <c r="F700" i="16" s="1"/>
  <c r="G701" i="16" s="1"/>
  <c r="H702" i="16" s="1"/>
  <c r="I703" i="16" s="1"/>
  <c r="J704" i="16" s="1"/>
  <c r="K705" i="16" s="1"/>
  <c r="L706" i="16" s="1"/>
  <c r="D699" i="16"/>
  <c r="P700" i="16"/>
  <c r="Q700" i="16"/>
  <c r="R701" i="16" s="1"/>
  <c r="S702" i="16" s="1"/>
  <c r="T703" i="16" s="1"/>
  <c r="S655" i="3"/>
  <c r="T655" i="3" s="1"/>
  <c r="U655" i="3"/>
  <c r="E655" i="4"/>
  <c r="F655" i="4" s="1"/>
  <c r="I655" i="3"/>
  <c r="D655" i="4" s="1"/>
  <c r="K655" i="3"/>
  <c r="L655" i="3" s="1"/>
  <c r="E657" i="3"/>
  <c r="J656" i="3"/>
  <c r="R656" i="3"/>
  <c r="D656" i="3"/>
  <c r="H656" i="3" s="1"/>
  <c r="C158" i="4"/>
  <c r="AC158" i="3"/>
  <c r="AD158" i="3" s="1"/>
  <c r="M159" i="3"/>
  <c r="F659" i="3"/>
  <c r="P701" i="16" l="1"/>
  <c r="Q701" i="16"/>
  <c r="R702" i="16" s="1"/>
  <c r="S703" i="16" s="1"/>
  <c r="D700" i="16"/>
  <c r="E700" i="16"/>
  <c r="F701" i="16" s="1"/>
  <c r="G702" i="16" s="1"/>
  <c r="H703" i="16" s="1"/>
  <c r="I704" i="16" s="1"/>
  <c r="J705" i="16" s="1"/>
  <c r="K706" i="16" s="1"/>
  <c r="L707" i="16" s="1"/>
  <c r="G158" i="4"/>
  <c r="I158" i="4" s="1"/>
  <c r="J158" i="4" s="1"/>
  <c r="H158" i="4"/>
  <c r="F660" i="3"/>
  <c r="O159" i="3"/>
  <c r="AI159" i="3"/>
  <c r="N159" i="3"/>
  <c r="U656" i="3"/>
  <c r="S656" i="3"/>
  <c r="T656" i="3" s="1"/>
  <c r="I656" i="3"/>
  <c r="D656" i="4" s="1"/>
  <c r="E656" i="4"/>
  <c r="F656" i="4" s="1"/>
  <c r="K656" i="3"/>
  <c r="L656" i="3" s="1"/>
  <c r="E658" i="3"/>
  <c r="J657" i="3"/>
  <c r="D657" i="3"/>
  <c r="H657" i="3" s="1"/>
  <c r="R657" i="3"/>
  <c r="E701" i="16" l="1"/>
  <c r="F702" i="16" s="1"/>
  <c r="G703" i="16" s="1"/>
  <c r="H704" i="16" s="1"/>
  <c r="I705" i="16" s="1"/>
  <c r="J706" i="16" s="1"/>
  <c r="K707" i="16" s="1"/>
  <c r="D701" i="16"/>
  <c r="P702" i="16"/>
  <c r="Q702" i="16"/>
  <c r="R703" i="16" s="1"/>
  <c r="F661" i="3"/>
  <c r="S657" i="3"/>
  <c r="T657" i="3" s="1"/>
  <c r="U657" i="3"/>
  <c r="K657" i="3"/>
  <c r="L657" i="3" s="1"/>
  <c r="P159" i="3"/>
  <c r="Q159" i="3" s="1"/>
  <c r="E657" i="4"/>
  <c r="F657" i="4" s="1"/>
  <c r="I657" i="3"/>
  <c r="D657" i="4" s="1"/>
  <c r="E659" i="3"/>
  <c r="R658" i="3"/>
  <c r="D658" i="3"/>
  <c r="H658" i="3" s="1"/>
  <c r="J658" i="3"/>
  <c r="K158" i="4"/>
  <c r="M158" i="4"/>
  <c r="P703" i="16" l="1"/>
  <c r="Q703" i="16"/>
  <c r="E702" i="16"/>
  <c r="F703" i="16" s="1"/>
  <c r="G704" i="16" s="1"/>
  <c r="H705" i="16" s="1"/>
  <c r="I706" i="16" s="1"/>
  <c r="J707" i="16" s="1"/>
  <c r="D702" i="16"/>
  <c r="K658" i="3"/>
  <c r="L658" i="3" s="1"/>
  <c r="L159" i="4"/>
  <c r="V159" i="3"/>
  <c r="U658" i="3"/>
  <c r="S658" i="3"/>
  <c r="T658" i="3" s="1"/>
  <c r="E660" i="3"/>
  <c r="J659" i="3"/>
  <c r="R659" i="3"/>
  <c r="D659" i="3"/>
  <c r="H659" i="3" s="1"/>
  <c r="I658" i="3"/>
  <c r="D658" i="4" s="1"/>
  <c r="E658" i="4"/>
  <c r="F658" i="4" s="1"/>
  <c r="F662" i="3"/>
  <c r="E703" i="16" l="1"/>
  <c r="F704" i="16" s="1"/>
  <c r="G705" i="16" s="1"/>
  <c r="H706" i="16" s="1"/>
  <c r="I707" i="16" s="1"/>
  <c r="D703" i="16"/>
  <c r="E659" i="4"/>
  <c r="F659" i="4" s="1"/>
  <c r="I659" i="3"/>
  <c r="D659" i="4" s="1"/>
  <c r="E661" i="3"/>
  <c r="D660" i="3"/>
  <c r="H660" i="3" s="1"/>
  <c r="R660" i="3"/>
  <c r="J660" i="3"/>
  <c r="K659" i="3"/>
  <c r="L659" i="3" s="1"/>
  <c r="W159" i="3"/>
  <c r="X159" i="3" s="1"/>
  <c r="Y159" i="3" s="1"/>
  <c r="Z159" i="3" s="1"/>
  <c r="AA159" i="3" s="1"/>
  <c r="AB159" i="3" s="1"/>
  <c r="F663" i="3"/>
  <c r="U659" i="3"/>
  <c r="S659" i="3"/>
  <c r="T659" i="3" s="1"/>
  <c r="E704" i="16" l="1"/>
  <c r="F705" i="16" s="1"/>
  <c r="G706" i="16" s="1"/>
  <c r="H707" i="16" s="1"/>
  <c r="D704" i="16"/>
  <c r="K660" i="3"/>
  <c r="L660" i="3" s="1"/>
  <c r="M160" i="3"/>
  <c r="AC159" i="3"/>
  <c r="AD159" i="3" s="1"/>
  <c r="C159" i="4"/>
  <c r="F664" i="3"/>
  <c r="U660" i="3"/>
  <c r="S660" i="3"/>
  <c r="T660" i="3" s="1"/>
  <c r="I660" i="3"/>
  <c r="D660" i="4" s="1"/>
  <c r="E660" i="4"/>
  <c r="F660" i="4" s="1"/>
  <c r="E662" i="3"/>
  <c r="D661" i="3"/>
  <c r="H661" i="3" s="1"/>
  <c r="R661" i="3"/>
  <c r="J661" i="3"/>
  <c r="D705" i="16" l="1"/>
  <c r="E705" i="16"/>
  <c r="F706" i="16" s="1"/>
  <c r="G707" i="16" s="1"/>
  <c r="K661" i="3"/>
  <c r="L661" i="3" s="1"/>
  <c r="E663" i="3"/>
  <c r="R662" i="3"/>
  <c r="J662" i="3"/>
  <c r="D662" i="3"/>
  <c r="H662" i="3" s="1"/>
  <c r="F665" i="3"/>
  <c r="G159" i="4"/>
  <c r="I159" i="4" s="1"/>
  <c r="J159" i="4" s="1"/>
  <c r="H159" i="4"/>
  <c r="S661" i="3"/>
  <c r="T661" i="3" s="1"/>
  <c r="U661" i="3"/>
  <c r="I661" i="3"/>
  <c r="D661" i="4" s="1"/>
  <c r="E661" i="4"/>
  <c r="F661" i="4" s="1"/>
  <c r="O160" i="3"/>
  <c r="N160" i="3"/>
  <c r="AI160" i="3"/>
  <c r="D706" i="16" l="1"/>
  <c r="E706" i="16"/>
  <c r="F707" i="16" s="1"/>
  <c r="I662" i="3"/>
  <c r="D662" i="4" s="1"/>
  <c r="E662" i="4"/>
  <c r="F662" i="4" s="1"/>
  <c r="K662" i="3"/>
  <c r="L662" i="3" s="1"/>
  <c r="S662" i="3"/>
  <c r="T662" i="3" s="1"/>
  <c r="U662" i="3"/>
  <c r="F666" i="3"/>
  <c r="M159" i="4"/>
  <c r="K159" i="4"/>
  <c r="P160" i="3"/>
  <c r="Q160" i="3" s="1"/>
  <c r="E664" i="3"/>
  <c r="D663" i="3"/>
  <c r="H663" i="3" s="1"/>
  <c r="R663" i="3"/>
  <c r="J663" i="3"/>
  <c r="D707" i="16" l="1"/>
  <c r="E707" i="16"/>
  <c r="L160" i="4"/>
  <c r="V160" i="3"/>
  <c r="K663" i="3"/>
  <c r="L663" i="3" s="1"/>
  <c r="E663" i="4"/>
  <c r="F663" i="4" s="1"/>
  <c r="I663" i="3"/>
  <c r="D663" i="4" s="1"/>
  <c r="E665" i="3"/>
  <c r="R664" i="3"/>
  <c r="D664" i="3"/>
  <c r="H664" i="3" s="1"/>
  <c r="J664" i="3"/>
  <c r="F667" i="3"/>
  <c r="S663" i="3"/>
  <c r="T663" i="3" s="1"/>
  <c r="U663" i="3"/>
  <c r="K664" i="3" l="1"/>
  <c r="L664" i="3" s="1"/>
  <c r="E664" i="4"/>
  <c r="F664" i="4" s="1"/>
  <c r="I664" i="3"/>
  <c r="D664" i="4" s="1"/>
  <c r="W160" i="3"/>
  <c r="X160" i="3" s="1"/>
  <c r="Y160" i="3" s="1"/>
  <c r="Z160" i="3" s="1"/>
  <c r="AA160" i="3" s="1"/>
  <c r="AB160" i="3" s="1"/>
  <c r="F668" i="3"/>
  <c r="S664" i="3"/>
  <c r="T664" i="3" s="1"/>
  <c r="U664" i="3"/>
  <c r="E666" i="3"/>
  <c r="J665" i="3"/>
  <c r="D665" i="3"/>
  <c r="H665" i="3" s="1"/>
  <c r="R665" i="3"/>
  <c r="S665" i="3" l="1"/>
  <c r="T665" i="3" s="1"/>
  <c r="U665" i="3"/>
  <c r="M161" i="3"/>
  <c r="AC160" i="3"/>
  <c r="AD160" i="3" s="1"/>
  <c r="C160" i="4"/>
  <c r="E665" i="4"/>
  <c r="F665" i="4" s="1"/>
  <c r="I665" i="3"/>
  <c r="D665" i="4" s="1"/>
  <c r="E667" i="3"/>
  <c r="R666" i="3"/>
  <c r="D666" i="3"/>
  <c r="H666" i="3" s="1"/>
  <c r="J666" i="3"/>
  <c r="F669" i="3"/>
  <c r="K665" i="3"/>
  <c r="L665" i="3" s="1"/>
  <c r="I666" i="3" l="1"/>
  <c r="D666" i="4" s="1"/>
  <c r="E666" i="4"/>
  <c r="F666" i="4" s="1"/>
  <c r="F670" i="3"/>
  <c r="S666" i="3"/>
  <c r="T666" i="3" s="1"/>
  <c r="U666" i="3"/>
  <c r="H160" i="4"/>
  <c r="G160" i="4"/>
  <c r="I160" i="4" s="1"/>
  <c r="J160" i="4" s="1"/>
  <c r="K666" i="3"/>
  <c r="L666" i="3" s="1"/>
  <c r="E668" i="3"/>
  <c r="R667" i="3"/>
  <c r="J667" i="3"/>
  <c r="D667" i="3"/>
  <c r="H667" i="3" s="1"/>
  <c r="N161" i="3"/>
  <c r="O161" i="3"/>
  <c r="AI161" i="3"/>
  <c r="P161" i="3" l="1"/>
  <c r="Q161" i="3" s="1"/>
  <c r="V161" i="3" s="1"/>
  <c r="I667" i="3"/>
  <c r="D667" i="4" s="1"/>
  <c r="E667" i="4"/>
  <c r="F667" i="4" s="1"/>
  <c r="E669" i="3"/>
  <c r="J668" i="3"/>
  <c r="R668" i="3"/>
  <c r="D668" i="3"/>
  <c r="H668" i="3" s="1"/>
  <c r="F671" i="3"/>
  <c r="K667" i="3"/>
  <c r="L667" i="3" s="1"/>
  <c r="S667" i="3"/>
  <c r="T667" i="3" s="1"/>
  <c r="U667" i="3"/>
  <c r="M160" i="4"/>
  <c r="K160" i="4"/>
  <c r="L161" i="4" l="1"/>
  <c r="F672" i="3"/>
  <c r="S668" i="3"/>
  <c r="T668" i="3" s="1"/>
  <c r="U668" i="3"/>
  <c r="I668" i="3"/>
  <c r="D668" i="4" s="1"/>
  <c r="E668" i="4"/>
  <c r="F668" i="4" s="1"/>
  <c r="W161" i="3"/>
  <c r="X161" i="3" s="1"/>
  <c r="Y161" i="3" s="1"/>
  <c r="Z161" i="3" s="1"/>
  <c r="AA161" i="3" s="1"/>
  <c r="AB161" i="3" s="1"/>
  <c r="K668" i="3"/>
  <c r="L668" i="3" s="1"/>
  <c r="E670" i="3"/>
  <c r="D669" i="3"/>
  <c r="H669" i="3" s="1"/>
  <c r="R669" i="3"/>
  <c r="J669" i="3"/>
  <c r="AC161" i="3" l="1"/>
  <c r="AD161" i="3" s="1"/>
  <c r="M162" i="3"/>
  <c r="C161" i="4"/>
  <c r="E671" i="3"/>
  <c r="J670" i="3"/>
  <c r="D670" i="3"/>
  <c r="H670" i="3" s="1"/>
  <c r="R670" i="3"/>
  <c r="E669" i="4"/>
  <c r="F669" i="4" s="1"/>
  <c r="I669" i="3"/>
  <c r="D669" i="4" s="1"/>
  <c r="F673" i="3"/>
  <c r="K669" i="3"/>
  <c r="L669" i="3" s="1"/>
  <c r="S669" i="3"/>
  <c r="T669" i="3" s="1"/>
  <c r="U669" i="3"/>
  <c r="F674" i="3" l="1"/>
  <c r="S670" i="3"/>
  <c r="T670" i="3" s="1"/>
  <c r="U670" i="3"/>
  <c r="I670" i="3"/>
  <c r="D670" i="4" s="1"/>
  <c r="E670" i="4"/>
  <c r="F670" i="4" s="1"/>
  <c r="H161" i="4"/>
  <c r="G161" i="4"/>
  <c r="I161" i="4" s="1"/>
  <c r="J161" i="4" s="1"/>
  <c r="N162" i="3"/>
  <c r="O162" i="3"/>
  <c r="AI162" i="3"/>
  <c r="K670" i="3"/>
  <c r="L670" i="3" s="1"/>
  <c r="E672" i="3"/>
  <c r="D671" i="3"/>
  <c r="H671" i="3" s="1"/>
  <c r="J671" i="3"/>
  <c r="R671" i="3"/>
  <c r="P162" i="3" l="1"/>
  <c r="Q162" i="3" s="1"/>
  <c r="L162" i="4" s="1"/>
  <c r="E673" i="3"/>
  <c r="R672" i="3"/>
  <c r="D672" i="3"/>
  <c r="H672" i="3" s="1"/>
  <c r="J672" i="3"/>
  <c r="S671" i="3"/>
  <c r="T671" i="3" s="1"/>
  <c r="U671" i="3"/>
  <c r="M161" i="4"/>
  <c r="K161" i="4"/>
  <c r="K671" i="3"/>
  <c r="L671" i="3" s="1"/>
  <c r="E671" i="4"/>
  <c r="F671" i="4" s="1"/>
  <c r="I671" i="3"/>
  <c r="D671" i="4" s="1"/>
  <c r="F675" i="3"/>
  <c r="V162" i="3" l="1"/>
  <c r="W162" i="3" s="1"/>
  <c r="X162" i="3" s="1"/>
  <c r="Y162" i="3" s="1"/>
  <c r="Z162" i="3" s="1"/>
  <c r="AA162" i="3" s="1"/>
  <c r="AB162" i="3" s="1"/>
  <c r="E672" i="4"/>
  <c r="F672" i="4" s="1"/>
  <c r="I672" i="3"/>
  <c r="D672" i="4" s="1"/>
  <c r="U672" i="3"/>
  <c r="S672" i="3"/>
  <c r="T672" i="3" s="1"/>
  <c r="K672" i="3"/>
  <c r="L672" i="3" s="1"/>
  <c r="F676" i="3"/>
  <c r="E674" i="3"/>
  <c r="J673" i="3"/>
  <c r="D673" i="3"/>
  <c r="H673" i="3" s="1"/>
  <c r="R673" i="3"/>
  <c r="C162" i="4" l="1"/>
  <c r="M163" i="3"/>
  <c r="AC162" i="3"/>
  <c r="AD162" i="3" s="1"/>
  <c r="E675" i="3"/>
  <c r="J674" i="3"/>
  <c r="D674" i="3"/>
  <c r="H674" i="3" s="1"/>
  <c r="R674" i="3"/>
  <c r="F677" i="3"/>
  <c r="E673" i="4"/>
  <c r="F673" i="4" s="1"/>
  <c r="I673" i="3"/>
  <c r="D673" i="4" s="1"/>
  <c r="K673" i="3"/>
  <c r="L673" i="3" s="1"/>
  <c r="U673" i="3"/>
  <c r="S673" i="3"/>
  <c r="T673" i="3" s="1"/>
  <c r="I674" i="3" l="1"/>
  <c r="D674" i="4" s="1"/>
  <c r="E674" i="4"/>
  <c r="F674" i="4" s="1"/>
  <c r="S674" i="3"/>
  <c r="T674" i="3" s="1"/>
  <c r="U674" i="3"/>
  <c r="E676" i="3"/>
  <c r="D675" i="3"/>
  <c r="H675" i="3" s="1"/>
  <c r="J675" i="3"/>
  <c r="R675" i="3"/>
  <c r="AI163" i="3"/>
  <c r="N163" i="3"/>
  <c r="O163" i="3"/>
  <c r="F678" i="3"/>
  <c r="K674" i="3"/>
  <c r="L674" i="3" s="1"/>
  <c r="H162" i="4"/>
  <c r="G162" i="4"/>
  <c r="I162" i="4" s="1"/>
  <c r="J162" i="4" s="1"/>
  <c r="P163" i="3" l="1"/>
  <c r="Q163" i="3" s="1"/>
  <c r="L163" i="4" s="1"/>
  <c r="E675" i="4"/>
  <c r="F675" i="4" s="1"/>
  <c r="I675" i="3"/>
  <c r="D675" i="4" s="1"/>
  <c r="M162" i="4"/>
  <c r="K162" i="4"/>
  <c r="F679" i="3"/>
  <c r="S675" i="3"/>
  <c r="T675" i="3" s="1"/>
  <c r="U675" i="3"/>
  <c r="K675" i="3"/>
  <c r="L675" i="3" s="1"/>
  <c r="E677" i="3"/>
  <c r="R676" i="3"/>
  <c r="D676" i="3"/>
  <c r="H676" i="3" s="1"/>
  <c r="J676" i="3"/>
  <c r="V163" i="3" l="1"/>
  <c r="K676" i="3"/>
  <c r="L676" i="3" s="1"/>
  <c r="S676" i="3"/>
  <c r="T676" i="3" s="1"/>
  <c r="U676" i="3"/>
  <c r="W163" i="3"/>
  <c r="X163" i="3" s="1"/>
  <c r="Y163" i="3" s="1"/>
  <c r="Z163" i="3" s="1"/>
  <c r="AA163" i="3" s="1"/>
  <c r="AB163" i="3" s="1"/>
  <c r="F680" i="3"/>
  <c r="E678" i="3"/>
  <c r="D677" i="3"/>
  <c r="H677" i="3" s="1"/>
  <c r="R677" i="3"/>
  <c r="J677" i="3"/>
  <c r="E676" i="4"/>
  <c r="F676" i="4" s="1"/>
  <c r="I676" i="3"/>
  <c r="D676" i="4" s="1"/>
  <c r="M164" i="3" l="1"/>
  <c r="C163" i="4"/>
  <c r="AC163" i="3"/>
  <c r="AD163" i="3" s="1"/>
  <c r="S677" i="3"/>
  <c r="T677" i="3" s="1"/>
  <c r="U677" i="3"/>
  <c r="F681" i="3"/>
  <c r="K677" i="3"/>
  <c r="L677" i="3" s="1"/>
  <c r="E679" i="3"/>
  <c r="R678" i="3"/>
  <c r="D678" i="3"/>
  <c r="H678" i="3" s="1"/>
  <c r="J678" i="3"/>
  <c r="E677" i="4"/>
  <c r="F677" i="4" s="1"/>
  <c r="I677" i="3"/>
  <c r="D677" i="4" s="1"/>
  <c r="K678" i="3" l="1"/>
  <c r="L678" i="3" s="1"/>
  <c r="U678" i="3"/>
  <c r="S678" i="3"/>
  <c r="T678" i="3" s="1"/>
  <c r="F682" i="3"/>
  <c r="E678" i="4"/>
  <c r="F678" i="4" s="1"/>
  <c r="I678" i="3"/>
  <c r="D678" i="4" s="1"/>
  <c r="E680" i="3"/>
  <c r="R679" i="3"/>
  <c r="D679" i="3"/>
  <c r="H679" i="3" s="1"/>
  <c r="J679" i="3"/>
  <c r="G163" i="4"/>
  <c r="I163" i="4" s="1"/>
  <c r="J163" i="4" s="1"/>
  <c r="H163" i="4"/>
  <c r="N164" i="3"/>
  <c r="AI164" i="3"/>
  <c r="O164" i="3"/>
  <c r="K679" i="3" l="1"/>
  <c r="L679" i="3" s="1"/>
  <c r="S679" i="3"/>
  <c r="T679" i="3" s="1"/>
  <c r="U679" i="3"/>
  <c r="K163" i="4"/>
  <c r="M163" i="4"/>
  <c r="F683" i="3"/>
  <c r="E679" i="4"/>
  <c r="F679" i="4" s="1"/>
  <c r="I679" i="3"/>
  <c r="D679" i="4" s="1"/>
  <c r="P164" i="3"/>
  <c r="Q164" i="3" s="1"/>
  <c r="E681" i="3"/>
  <c r="R680" i="3"/>
  <c r="J680" i="3"/>
  <c r="D680" i="3"/>
  <c r="H680" i="3" s="1"/>
  <c r="K680" i="3" l="1"/>
  <c r="L680" i="3" s="1"/>
  <c r="E682" i="3"/>
  <c r="R681" i="3"/>
  <c r="J681" i="3"/>
  <c r="D681" i="3"/>
  <c r="H681" i="3" s="1"/>
  <c r="F684" i="3"/>
  <c r="L164" i="4"/>
  <c r="V164" i="3"/>
  <c r="S680" i="3"/>
  <c r="T680" i="3" s="1"/>
  <c r="U680" i="3"/>
  <c r="E680" i="4"/>
  <c r="F680" i="4" s="1"/>
  <c r="I680" i="3"/>
  <c r="D680" i="4" s="1"/>
  <c r="K681" i="3" l="1"/>
  <c r="L681" i="3" s="1"/>
  <c r="F685" i="3"/>
  <c r="W164" i="3"/>
  <c r="X164" i="3" s="1"/>
  <c r="Y164" i="3" s="1"/>
  <c r="Z164" i="3" s="1"/>
  <c r="AA164" i="3" s="1"/>
  <c r="AB164" i="3" s="1"/>
  <c r="I681" i="3"/>
  <c r="D681" i="4" s="1"/>
  <c r="E681" i="4"/>
  <c r="F681" i="4" s="1"/>
  <c r="S681" i="3"/>
  <c r="T681" i="3" s="1"/>
  <c r="U681" i="3"/>
  <c r="E683" i="3"/>
  <c r="D682" i="3"/>
  <c r="H682" i="3" s="1"/>
  <c r="R682" i="3"/>
  <c r="J682" i="3"/>
  <c r="C164" i="4" l="1"/>
  <c r="M165" i="3"/>
  <c r="AC164" i="3"/>
  <c r="AD164" i="3" s="1"/>
  <c r="E682" i="4"/>
  <c r="F682" i="4" s="1"/>
  <c r="I682" i="3"/>
  <c r="D682" i="4" s="1"/>
  <c r="U682" i="3"/>
  <c r="S682" i="3"/>
  <c r="T682" i="3" s="1"/>
  <c r="E684" i="3"/>
  <c r="J683" i="3"/>
  <c r="D683" i="3"/>
  <c r="H683" i="3" s="1"/>
  <c r="R683" i="3"/>
  <c r="F686" i="3"/>
  <c r="K682" i="3"/>
  <c r="L682" i="3" s="1"/>
  <c r="K683" i="3" l="1"/>
  <c r="L683" i="3" s="1"/>
  <c r="S683" i="3"/>
  <c r="T683" i="3" s="1"/>
  <c r="U683" i="3"/>
  <c r="E685" i="3"/>
  <c r="R684" i="3"/>
  <c r="D684" i="3"/>
  <c r="H684" i="3" s="1"/>
  <c r="J684" i="3"/>
  <c r="O165" i="3"/>
  <c r="N165" i="3"/>
  <c r="AI165" i="3"/>
  <c r="E683" i="4"/>
  <c r="F683" i="4" s="1"/>
  <c r="I683" i="3"/>
  <c r="D683" i="4" s="1"/>
  <c r="F687" i="3"/>
  <c r="H164" i="4"/>
  <c r="G164" i="4"/>
  <c r="I164" i="4" s="1"/>
  <c r="J164" i="4" s="1"/>
  <c r="P165" i="3" l="1"/>
  <c r="Q165" i="3" s="1"/>
  <c r="L165" i="4" s="1"/>
  <c r="K684" i="3"/>
  <c r="L684" i="3" s="1"/>
  <c r="I684" i="3"/>
  <c r="D684" i="4" s="1"/>
  <c r="E684" i="4"/>
  <c r="F684" i="4" s="1"/>
  <c r="S684" i="3"/>
  <c r="T684" i="3" s="1"/>
  <c r="U684" i="3"/>
  <c r="E686" i="3"/>
  <c r="R685" i="3"/>
  <c r="D685" i="3"/>
  <c r="H685" i="3" s="1"/>
  <c r="J685" i="3"/>
  <c r="M164" i="4"/>
  <c r="K164" i="4"/>
  <c r="F688" i="3"/>
  <c r="V165" i="3" l="1"/>
  <c r="W165" i="3" s="1"/>
  <c r="X165" i="3" s="1"/>
  <c r="Y165" i="3" s="1"/>
  <c r="Z165" i="3" s="1"/>
  <c r="AA165" i="3" s="1"/>
  <c r="AB165" i="3" s="1"/>
  <c r="K685" i="3"/>
  <c r="L685" i="3" s="1"/>
  <c r="S685" i="3"/>
  <c r="T685" i="3" s="1"/>
  <c r="U685" i="3"/>
  <c r="E687" i="3"/>
  <c r="D686" i="3"/>
  <c r="H686" i="3" s="1"/>
  <c r="R686" i="3"/>
  <c r="J686" i="3"/>
  <c r="F689" i="3"/>
  <c r="E685" i="4"/>
  <c r="F685" i="4" s="1"/>
  <c r="I685" i="3"/>
  <c r="D685" i="4" s="1"/>
  <c r="K686" i="3" l="1"/>
  <c r="L686" i="3" s="1"/>
  <c r="C165" i="4"/>
  <c r="AC165" i="3"/>
  <c r="AD165" i="3" s="1"/>
  <c r="M166" i="3"/>
  <c r="E686" i="4"/>
  <c r="F686" i="4" s="1"/>
  <c r="I686" i="3"/>
  <c r="D686" i="4" s="1"/>
  <c r="F690" i="3"/>
  <c r="U686" i="3"/>
  <c r="S686" i="3"/>
  <c r="T686" i="3" s="1"/>
  <c r="E688" i="3"/>
  <c r="R687" i="3"/>
  <c r="J687" i="3"/>
  <c r="D687" i="3"/>
  <c r="H687" i="3" s="1"/>
  <c r="E687" i="4" l="1"/>
  <c r="F687" i="4" s="1"/>
  <c r="I687" i="3"/>
  <c r="D687" i="4" s="1"/>
  <c r="K687" i="3"/>
  <c r="L687" i="3" s="1"/>
  <c r="E689" i="3"/>
  <c r="R688" i="3"/>
  <c r="J688" i="3"/>
  <c r="D688" i="3"/>
  <c r="H688" i="3" s="1"/>
  <c r="F691" i="3"/>
  <c r="S687" i="3"/>
  <c r="T687" i="3" s="1"/>
  <c r="U687" i="3"/>
  <c r="AI166" i="3"/>
  <c r="N166" i="3"/>
  <c r="O166" i="3"/>
  <c r="H165" i="4"/>
  <c r="G165" i="4"/>
  <c r="I165" i="4" s="1"/>
  <c r="J165" i="4" s="1"/>
  <c r="P166" i="3" l="1"/>
  <c r="Q166" i="3" s="1"/>
  <c r="L166" i="4" s="1"/>
  <c r="K688" i="3"/>
  <c r="L688" i="3" s="1"/>
  <c r="F692" i="3"/>
  <c r="U688" i="3"/>
  <c r="S688" i="3"/>
  <c r="T688" i="3" s="1"/>
  <c r="E688" i="4"/>
  <c r="F688" i="4" s="1"/>
  <c r="I688" i="3"/>
  <c r="D688" i="4" s="1"/>
  <c r="M165" i="4"/>
  <c r="K165" i="4"/>
  <c r="E690" i="3"/>
  <c r="R689" i="3"/>
  <c r="J689" i="3"/>
  <c r="D689" i="3"/>
  <c r="H689" i="3" s="1"/>
  <c r="V166" i="3" l="1"/>
  <c r="W166" i="3" s="1"/>
  <c r="X166" i="3" s="1"/>
  <c r="Y166" i="3" s="1"/>
  <c r="Z166" i="3" s="1"/>
  <c r="AA166" i="3" s="1"/>
  <c r="AB166" i="3" s="1"/>
  <c r="F693" i="3"/>
  <c r="I689" i="3"/>
  <c r="D689" i="4" s="1"/>
  <c r="E689" i="4"/>
  <c r="F689" i="4" s="1"/>
  <c r="U689" i="3"/>
  <c r="S689" i="3"/>
  <c r="T689" i="3" s="1"/>
  <c r="K689" i="3"/>
  <c r="L689" i="3" s="1"/>
  <c r="E691" i="3"/>
  <c r="R690" i="3"/>
  <c r="D690" i="3"/>
  <c r="H690" i="3" s="1"/>
  <c r="J690" i="3"/>
  <c r="S690" i="3" l="1"/>
  <c r="T690" i="3" s="1"/>
  <c r="U690" i="3"/>
  <c r="E692" i="3"/>
  <c r="R691" i="3"/>
  <c r="D691" i="3"/>
  <c r="H691" i="3" s="1"/>
  <c r="J691" i="3"/>
  <c r="F694" i="3"/>
  <c r="C166" i="4"/>
  <c r="AC166" i="3"/>
  <c r="AD166" i="3" s="1"/>
  <c r="M167" i="3"/>
  <c r="I690" i="3"/>
  <c r="D690" i="4" s="1"/>
  <c r="E690" i="4"/>
  <c r="F690" i="4" s="1"/>
  <c r="K690" i="3"/>
  <c r="L690" i="3" s="1"/>
  <c r="F695" i="3" l="1"/>
  <c r="K691" i="3"/>
  <c r="L691" i="3" s="1"/>
  <c r="AI167" i="3"/>
  <c r="N167" i="3"/>
  <c r="O167" i="3"/>
  <c r="E691" i="4"/>
  <c r="F691" i="4" s="1"/>
  <c r="I691" i="3"/>
  <c r="D691" i="4" s="1"/>
  <c r="S691" i="3"/>
  <c r="T691" i="3" s="1"/>
  <c r="U691" i="3"/>
  <c r="E693" i="3"/>
  <c r="J692" i="3"/>
  <c r="D692" i="3"/>
  <c r="H692" i="3" s="1"/>
  <c r="R692" i="3"/>
  <c r="H166" i="4"/>
  <c r="G166" i="4"/>
  <c r="I166" i="4" s="1"/>
  <c r="J166" i="4" s="1"/>
  <c r="I692" i="3" l="1"/>
  <c r="D692" i="4" s="1"/>
  <c r="E692" i="4"/>
  <c r="F692" i="4" s="1"/>
  <c r="P167" i="3"/>
  <c r="Q167" i="3" s="1"/>
  <c r="S692" i="3"/>
  <c r="T692" i="3" s="1"/>
  <c r="U692" i="3"/>
  <c r="E694" i="3"/>
  <c r="J693" i="3"/>
  <c r="R693" i="3"/>
  <c r="D693" i="3"/>
  <c r="H693" i="3" s="1"/>
  <c r="K692" i="3"/>
  <c r="L692" i="3" s="1"/>
  <c r="M166" i="4"/>
  <c r="K166" i="4"/>
  <c r="F696" i="3"/>
  <c r="U693" i="3" l="1"/>
  <c r="S693" i="3"/>
  <c r="T693" i="3" s="1"/>
  <c r="E693" i="4"/>
  <c r="F693" i="4" s="1"/>
  <c r="I693" i="3"/>
  <c r="D693" i="4" s="1"/>
  <c r="E695" i="3"/>
  <c r="D694" i="3"/>
  <c r="H694" i="3" s="1"/>
  <c r="J694" i="3"/>
  <c r="R694" i="3"/>
  <c r="L167" i="4"/>
  <c r="V167" i="3"/>
  <c r="K693" i="3"/>
  <c r="L693" i="3" s="1"/>
  <c r="F697" i="3"/>
  <c r="U694" i="3" l="1"/>
  <c r="S694" i="3"/>
  <c r="T694" i="3" s="1"/>
  <c r="I694" i="3"/>
  <c r="D694" i="4" s="1"/>
  <c r="E694" i="4"/>
  <c r="F694" i="4" s="1"/>
  <c r="F698" i="3"/>
  <c r="W167" i="3"/>
  <c r="X167" i="3" s="1"/>
  <c r="Y167" i="3" s="1"/>
  <c r="Z167" i="3" s="1"/>
  <c r="AA167" i="3" s="1"/>
  <c r="AB167" i="3" s="1"/>
  <c r="K694" i="3"/>
  <c r="L694" i="3" s="1"/>
  <c r="E696" i="3"/>
  <c r="J695" i="3"/>
  <c r="D695" i="3"/>
  <c r="H695" i="3" s="1"/>
  <c r="R695" i="3"/>
  <c r="K695" i="3" l="1"/>
  <c r="L695" i="3" s="1"/>
  <c r="C167" i="4"/>
  <c r="AC167" i="3"/>
  <c r="AD167" i="3" s="1"/>
  <c r="M168" i="3"/>
  <c r="S695" i="3"/>
  <c r="T695" i="3" s="1"/>
  <c r="U695" i="3"/>
  <c r="I695" i="3"/>
  <c r="D695" i="4" s="1"/>
  <c r="E695" i="4"/>
  <c r="F695" i="4" s="1"/>
  <c r="E697" i="3"/>
  <c r="D696" i="3"/>
  <c r="H696" i="3" s="1"/>
  <c r="J696" i="3"/>
  <c r="R696" i="3"/>
  <c r="F699" i="3"/>
  <c r="U696" i="3" l="1"/>
  <c r="S696" i="3"/>
  <c r="T696" i="3" s="1"/>
  <c r="F700" i="3"/>
  <c r="K696" i="3"/>
  <c r="L696" i="3" s="1"/>
  <c r="E698" i="3"/>
  <c r="J697" i="3"/>
  <c r="D697" i="3"/>
  <c r="H697" i="3" s="1"/>
  <c r="R697" i="3"/>
  <c r="E696" i="4"/>
  <c r="F696" i="4" s="1"/>
  <c r="I696" i="3"/>
  <c r="D696" i="4" s="1"/>
  <c r="AI168" i="3"/>
  <c r="O168" i="3"/>
  <c r="N168" i="3"/>
  <c r="G167" i="4"/>
  <c r="I167" i="4" s="1"/>
  <c r="J167" i="4" s="1"/>
  <c r="H167" i="4"/>
  <c r="P168" i="3" l="1"/>
  <c r="Q168" i="3" s="1"/>
  <c r="L168" i="4" s="1"/>
  <c r="K697" i="3"/>
  <c r="L697" i="3" s="1"/>
  <c r="E699" i="3"/>
  <c r="D698" i="3"/>
  <c r="H698" i="3" s="1"/>
  <c r="R698" i="3"/>
  <c r="J698" i="3"/>
  <c r="F701" i="3"/>
  <c r="S697" i="3"/>
  <c r="T697" i="3" s="1"/>
  <c r="U697" i="3"/>
  <c r="E697" i="4"/>
  <c r="F697" i="4" s="1"/>
  <c r="I697" i="3"/>
  <c r="D697" i="4" s="1"/>
  <c r="M167" i="4"/>
  <c r="K167" i="4"/>
  <c r="V168" i="3" l="1"/>
  <c r="W168" i="3" s="1"/>
  <c r="X168" i="3" s="1"/>
  <c r="Y168" i="3" s="1"/>
  <c r="Z168" i="3" s="1"/>
  <c r="AA168" i="3" s="1"/>
  <c r="AB168" i="3" s="1"/>
  <c r="K698" i="3"/>
  <c r="L698" i="3" s="1"/>
  <c r="F702" i="3"/>
  <c r="S698" i="3"/>
  <c r="T698" i="3" s="1"/>
  <c r="U698" i="3"/>
  <c r="E700" i="3"/>
  <c r="J699" i="3"/>
  <c r="D699" i="3"/>
  <c r="H699" i="3" s="1"/>
  <c r="R699" i="3"/>
  <c r="I698" i="3"/>
  <c r="D698" i="4" s="1"/>
  <c r="E698" i="4"/>
  <c r="F698" i="4" s="1"/>
  <c r="C168" i="4" l="1"/>
  <c r="M169" i="3"/>
  <c r="AC168" i="3"/>
  <c r="AD168" i="3" s="1"/>
  <c r="U699" i="3"/>
  <c r="S699" i="3"/>
  <c r="T699" i="3" s="1"/>
  <c r="E701" i="3"/>
  <c r="J700" i="3"/>
  <c r="D700" i="3"/>
  <c r="H700" i="3" s="1"/>
  <c r="R700" i="3"/>
  <c r="E699" i="4"/>
  <c r="F699" i="4" s="1"/>
  <c r="I699" i="3"/>
  <c r="D699" i="4" s="1"/>
  <c r="K699" i="3"/>
  <c r="L699" i="3" s="1"/>
  <c r="F703" i="3"/>
  <c r="F704" i="3" l="1"/>
  <c r="E700" i="4"/>
  <c r="F700" i="4" s="1"/>
  <c r="I700" i="3"/>
  <c r="D700" i="4" s="1"/>
  <c r="K700" i="3"/>
  <c r="L700" i="3" s="1"/>
  <c r="U700" i="3"/>
  <c r="S700" i="3"/>
  <c r="T700" i="3" s="1"/>
  <c r="E702" i="3"/>
  <c r="J701" i="3"/>
  <c r="D701" i="3"/>
  <c r="H701" i="3" s="1"/>
  <c r="R701" i="3"/>
  <c r="AI169" i="3"/>
  <c r="N169" i="3"/>
  <c r="O169" i="3"/>
  <c r="G168" i="4"/>
  <c r="I168" i="4" s="1"/>
  <c r="J168" i="4" s="1"/>
  <c r="H168" i="4"/>
  <c r="I701" i="3" l="1"/>
  <c r="D701" i="4" s="1"/>
  <c r="E701" i="4"/>
  <c r="F701" i="4" s="1"/>
  <c r="F705" i="3"/>
  <c r="K701" i="3"/>
  <c r="L701" i="3" s="1"/>
  <c r="E703" i="3"/>
  <c r="R702" i="3"/>
  <c r="J702" i="3"/>
  <c r="D702" i="3"/>
  <c r="H702" i="3" s="1"/>
  <c r="U701" i="3"/>
  <c r="S701" i="3"/>
  <c r="T701" i="3" s="1"/>
  <c r="K168" i="4"/>
  <c r="M168" i="4"/>
  <c r="P169" i="3"/>
  <c r="Q169" i="3" s="1"/>
  <c r="K702" i="3" l="1"/>
  <c r="L702" i="3" s="1"/>
  <c r="U702" i="3"/>
  <c r="S702" i="3"/>
  <c r="T702" i="3" s="1"/>
  <c r="E702" i="4"/>
  <c r="F702" i="4" s="1"/>
  <c r="I702" i="3"/>
  <c r="D702" i="4" s="1"/>
  <c r="E704" i="3"/>
  <c r="D703" i="3"/>
  <c r="H703" i="3" s="1"/>
  <c r="R703" i="3"/>
  <c r="J703" i="3"/>
  <c r="F706" i="3"/>
  <c r="L169" i="4"/>
  <c r="V169" i="3"/>
  <c r="K703" i="3" l="1"/>
  <c r="L703" i="3" s="1"/>
  <c r="F707" i="3"/>
  <c r="I703" i="3"/>
  <c r="D703" i="4" s="1"/>
  <c r="E703" i="4"/>
  <c r="F703" i="4" s="1"/>
  <c r="S703" i="3"/>
  <c r="T703" i="3" s="1"/>
  <c r="U703" i="3"/>
  <c r="E705" i="3"/>
  <c r="R704" i="3"/>
  <c r="D704" i="3"/>
  <c r="H704" i="3" s="1"/>
  <c r="J704" i="3"/>
  <c r="W169" i="3"/>
  <c r="X169" i="3" s="1"/>
  <c r="Y169" i="3" s="1"/>
  <c r="Z169" i="3" s="1"/>
  <c r="AA169" i="3" s="1"/>
  <c r="AB169" i="3" s="1"/>
  <c r="K704" i="3" l="1"/>
  <c r="L704" i="3" s="1"/>
  <c r="M170" i="3"/>
  <c r="AC169" i="3"/>
  <c r="AD169" i="3" s="1"/>
  <c r="C169" i="4"/>
  <c r="E706" i="3"/>
  <c r="R705" i="3"/>
  <c r="D705" i="3"/>
  <c r="H705" i="3" s="1"/>
  <c r="J705" i="3"/>
  <c r="E704" i="4"/>
  <c r="F704" i="4" s="1"/>
  <c r="I704" i="3"/>
  <c r="D704" i="4" s="1"/>
  <c r="S704" i="3"/>
  <c r="T704" i="3" s="1"/>
  <c r="U704" i="3"/>
  <c r="F708" i="3"/>
  <c r="K705" i="3" l="1"/>
  <c r="L705" i="3" s="1"/>
  <c r="F709" i="3"/>
  <c r="U705" i="3"/>
  <c r="S705" i="3"/>
  <c r="T705" i="3" s="1"/>
  <c r="H169" i="4"/>
  <c r="G169" i="4"/>
  <c r="I169" i="4" s="1"/>
  <c r="J169" i="4" s="1"/>
  <c r="E705" i="4"/>
  <c r="F705" i="4" s="1"/>
  <c r="I705" i="3"/>
  <c r="D705" i="4" s="1"/>
  <c r="E707" i="3"/>
  <c r="J706" i="3"/>
  <c r="D706" i="3"/>
  <c r="H706" i="3" s="1"/>
  <c r="R706" i="3"/>
  <c r="N170" i="3"/>
  <c r="O170" i="3"/>
  <c r="AI170" i="3"/>
  <c r="I706" i="3" l="1"/>
  <c r="D706" i="4" s="1"/>
  <c r="E706" i="4"/>
  <c r="F706" i="4" s="1"/>
  <c r="K706" i="3"/>
  <c r="L706" i="3" s="1"/>
  <c r="E708" i="3"/>
  <c r="J707" i="3"/>
  <c r="R707" i="3"/>
  <c r="D707" i="3"/>
  <c r="H707" i="3" s="1"/>
  <c r="S706" i="3"/>
  <c r="T706" i="3" s="1"/>
  <c r="U706" i="3"/>
  <c r="F710" i="3"/>
  <c r="K169" i="4"/>
  <c r="M169" i="4"/>
  <c r="P170" i="3"/>
  <c r="Q170" i="3" s="1"/>
  <c r="F711" i="3" l="1"/>
  <c r="U707" i="3"/>
  <c r="S707" i="3"/>
  <c r="T707" i="3" s="1"/>
  <c r="I707" i="3"/>
  <c r="D707" i="4" s="1"/>
  <c r="E707" i="4"/>
  <c r="F707" i="4" s="1"/>
  <c r="E709" i="3"/>
  <c r="J708" i="3"/>
  <c r="D708" i="3"/>
  <c r="H708" i="3" s="1"/>
  <c r="R708" i="3"/>
  <c r="K707" i="3"/>
  <c r="L707" i="3" s="1"/>
  <c r="L170" i="4"/>
  <c r="V170" i="3"/>
  <c r="K708" i="3" l="1"/>
  <c r="L708" i="3" s="1"/>
  <c r="I708" i="3"/>
  <c r="D708" i="4" s="1"/>
  <c r="E708" i="4"/>
  <c r="F708" i="4" s="1"/>
  <c r="E710" i="3"/>
  <c r="D709" i="3"/>
  <c r="H709" i="3" s="1"/>
  <c r="J709" i="3"/>
  <c r="R709" i="3"/>
  <c r="U708" i="3"/>
  <c r="S708" i="3"/>
  <c r="T708" i="3" s="1"/>
  <c r="F712" i="3"/>
  <c r="W170" i="3"/>
  <c r="X170" i="3" s="1"/>
  <c r="Y170" i="3" s="1"/>
  <c r="Z170" i="3" s="1"/>
  <c r="AA170" i="3" s="1"/>
  <c r="AB170" i="3" s="1"/>
  <c r="K709" i="3" l="1"/>
  <c r="L709" i="3" s="1"/>
  <c r="AC170" i="3"/>
  <c r="AD170" i="3" s="1"/>
  <c r="C170" i="4"/>
  <c r="M171" i="3"/>
  <c r="F713" i="3"/>
  <c r="S709" i="3"/>
  <c r="T709" i="3" s="1"/>
  <c r="U709" i="3"/>
  <c r="E709" i="4"/>
  <c r="F709" i="4" s="1"/>
  <c r="I709" i="3"/>
  <c r="D709" i="4" s="1"/>
  <c r="E711" i="3"/>
  <c r="J710" i="3"/>
  <c r="R710" i="3"/>
  <c r="D710" i="3"/>
  <c r="H710" i="3" s="1"/>
  <c r="K710" i="3" l="1"/>
  <c r="L710" i="3" s="1"/>
  <c r="S710" i="3"/>
  <c r="T710" i="3" s="1"/>
  <c r="U710" i="3"/>
  <c r="E712" i="3"/>
  <c r="R711" i="3"/>
  <c r="J711" i="3"/>
  <c r="D711" i="3"/>
  <c r="H711" i="3" s="1"/>
  <c r="AI171" i="3"/>
  <c r="O171" i="3"/>
  <c r="N171" i="3"/>
  <c r="F714" i="3"/>
  <c r="H170" i="4"/>
  <c r="G170" i="4"/>
  <c r="I170" i="4" s="1"/>
  <c r="J170" i="4" s="1"/>
  <c r="E710" i="4"/>
  <c r="F710" i="4" s="1"/>
  <c r="I710" i="3"/>
  <c r="D710" i="4" s="1"/>
  <c r="P171" i="3" l="1"/>
  <c r="Q171" i="3" s="1"/>
  <c r="L171" i="4" s="1"/>
  <c r="F715" i="3"/>
  <c r="S711" i="3"/>
  <c r="T711" i="3" s="1"/>
  <c r="U711" i="3"/>
  <c r="E713" i="3"/>
  <c r="D712" i="3"/>
  <c r="H712" i="3" s="1"/>
  <c r="R712" i="3"/>
  <c r="J712" i="3"/>
  <c r="K711" i="3"/>
  <c r="L711" i="3" s="1"/>
  <c r="E711" i="4"/>
  <c r="F711" i="4" s="1"/>
  <c r="I711" i="3"/>
  <c r="D711" i="4" s="1"/>
  <c r="K170" i="4"/>
  <c r="M170" i="4"/>
  <c r="V171" i="3" l="1"/>
  <c r="W171" i="3" s="1"/>
  <c r="X171" i="3" s="1"/>
  <c r="Y171" i="3" s="1"/>
  <c r="Z171" i="3" s="1"/>
  <c r="AA171" i="3" s="1"/>
  <c r="AB171" i="3" s="1"/>
  <c r="K712" i="3"/>
  <c r="L712" i="3" s="1"/>
  <c r="E712" i="4"/>
  <c r="F712" i="4" s="1"/>
  <c r="I712" i="3"/>
  <c r="D712" i="4" s="1"/>
  <c r="E714" i="3"/>
  <c r="R713" i="3"/>
  <c r="J713" i="3"/>
  <c r="D713" i="3"/>
  <c r="H713" i="3" s="1"/>
  <c r="F716" i="3"/>
  <c r="U712" i="3"/>
  <c r="S712" i="3"/>
  <c r="T712" i="3" s="1"/>
  <c r="F717" i="3" l="1"/>
  <c r="K713" i="3"/>
  <c r="L713" i="3" s="1"/>
  <c r="E715" i="3"/>
  <c r="R714" i="3"/>
  <c r="J714" i="3"/>
  <c r="D714" i="3"/>
  <c r="H714" i="3" s="1"/>
  <c r="I713" i="3"/>
  <c r="D713" i="4" s="1"/>
  <c r="E713" i="4"/>
  <c r="F713" i="4" s="1"/>
  <c r="S713" i="3"/>
  <c r="T713" i="3" s="1"/>
  <c r="U713" i="3"/>
  <c r="AC171" i="3"/>
  <c r="AD171" i="3" s="1"/>
  <c r="M172" i="3"/>
  <c r="C171" i="4"/>
  <c r="K714" i="3" l="1"/>
  <c r="L714" i="3" s="1"/>
  <c r="E716" i="3"/>
  <c r="R715" i="3"/>
  <c r="D715" i="3"/>
  <c r="H715" i="3" s="1"/>
  <c r="J715" i="3"/>
  <c r="N172" i="3"/>
  <c r="O172" i="3"/>
  <c r="AI172" i="3"/>
  <c r="S714" i="3"/>
  <c r="T714" i="3" s="1"/>
  <c r="U714" i="3"/>
  <c r="F718" i="3"/>
  <c r="I714" i="3"/>
  <c r="D714" i="4" s="1"/>
  <c r="E714" i="4"/>
  <c r="F714" i="4" s="1"/>
  <c r="H171" i="4"/>
  <c r="G171" i="4"/>
  <c r="I171" i="4" s="1"/>
  <c r="J171" i="4" s="1"/>
  <c r="K715" i="3" l="1"/>
  <c r="L715" i="3" s="1"/>
  <c r="K171" i="4"/>
  <c r="M171" i="4"/>
  <c r="P172" i="3"/>
  <c r="Q172" i="3" s="1"/>
  <c r="I715" i="3"/>
  <c r="D715" i="4" s="1"/>
  <c r="E715" i="4"/>
  <c r="F715" i="4" s="1"/>
  <c r="F719" i="3"/>
  <c r="U715" i="3"/>
  <c r="S715" i="3"/>
  <c r="T715" i="3" s="1"/>
  <c r="E717" i="3"/>
  <c r="D716" i="3"/>
  <c r="H716" i="3" s="1"/>
  <c r="R716" i="3"/>
  <c r="J716" i="3"/>
  <c r="S716" i="3" l="1"/>
  <c r="T716" i="3" s="1"/>
  <c r="U716" i="3"/>
  <c r="L172" i="4"/>
  <c r="V172" i="3"/>
  <c r="I716" i="3"/>
  <c r="D716" i="4" s="1"/>
  <c r="E716" i="4"/>
  <c r="F716" i="4" s="1"/>
  <c r="E718" i="3"/>
  <c r="R717" i="3"/>
  <c r="J717" i="3"/>
  <c r="D717" i="3"/>
  <c r="H717" i="3" s="1"/>
  <c r="F720" i="3"/>
  <c r="K716" i="3"/>
  <c r="L716" i="3" s="1"/>
  <c r="S717" i="3" l="1"/>
  <c r="T717" i="3" s="1"/>
  <c r="U717" i="3"/>
  <c r="E717" i="4"/>
  <c r="F717" i="4" s="1"/>
  <c r="I717" i="3"/>
  <c r="D717" i="4" s="1"/>
  <c r="E719" i="3"/>
  <c r="R718" i="3"/>
  <c r="D718" i="3"/>
  <c r="H718" i="3" s="1"/>
  <c r="J718" i="3"/>
  <c r="W172" i="3"/>
  <c r="X172" i="3" s="1"/>
  <c r="Y172" i="3" s="1"/>
  <c r="Z172" i="3" s="1"/>
  <c r="AA172" i="3" s="1"/>
  <c r="AB172" i="3" s="1"/>
  <c r="F721" i="3"/>
  <c r="K717" i="3"/>
  <c r="L717" i="3" s="1"/>
  <c r="K718" i="3" l="1"/>
  <c r="L718" i="3" s="1"/>
  <c r="F722" i="3"/>
  <c r="I718" i="3"/>
  <c r="D718" i="4" s="1"/>
  <c r="E718" i="4"/>
  <c r="F718" i="4" s="1"/>
  <c r="E720" i="3"/>
  <c r="D719" i="3"/>
  <c r="H719" i="3" s="1"/>
  <c r="R719" i="3"/>
  <c r="J719" i="3"/>
  <c r="M173" i="3"/>
  <c r="C172" i="4"/>
  <c r="AC172" i="3"/>
  <c r="AD172" i="3" s="1"/>
  <c r="S718" i="3"/>
  <c r="T718" i="3" s="1"/>
  <c r="U718" i="3"/>
  <c r="K719" i="3" l="1"/>
  <c r="L719" i="3" s="1"/>
  <c r="E721" i="3"/>
  <c r="R720" i="3"/>
  <c r="D720" i="3"/>
  <c r="H720" i="3" s="1"/>
  <c r="J720" i="3"/>
  <c r="H172" i="4"/>
  <c r="G172" i="4"/>
  <c r="I172" i="4" s="1"/>
  <c r="J172" i="4" s="1"/>
  <c r="S719" i="3"/>
  <c r="T719" i="3" s="1"/>
  <c r="U719" i="3"/>
  <c r="O173" i="3"/>
  <c r="AI173" i="3"/>
  <c r="N173" i="3"/>
  <c r="I719" i="3"/>
  <c r="D719" i="4" s="1"/>
  <c r="E719" i="4"/>
  <c r="F719" i="4" s="1"/>
  <c r="F723" i="3"/>
  <c r="P173" i="3" l="1"/>
  <c r="Q173" i="3" s="1"/>
  <c r="L173" i="4" s="1"/>
  <c r="K720" i="3"/>
  <c r="L720" i="3" s="1"/>
  <c r="M172" i="4"/>
  <c r="K172" i="4"/>
  <c r="E722" i="3"/>
  <c r="D721" i="3"/>
  <c r="H721" i="3" s="1"/>
  <c r="J721" i="3"/>
  <c r="R721" i="3"/>
  <c r="E720" i="4"/>
  <c r="F720" i="4" s="1"/>
  <c r="I720" i="3"/>
  <c r="D720" i="4" s="1"/>
  <c r="U720" i="3"/>
  <c r="S720" i="3"/>
  <c r="T720" i="3" s="1"/>
  <c r="F724" i="3"/>
  <c r="V173" i="3" l="1"/>
  <c r="W173" i="3" s="1"/>
  <c r="X173" i="3" s="1"/>
  <c r="Y173" i="3" s="1"/>
  <c r="Z173" i="3" s="1"/>
  <c r="AA173" i="3" s="1"/>
  <c r="AB173" i="3" s="1"/>
  <c r="K721" i="3"/>
  <c r="L721" i="3" s="1"/>
  <c r="F725" i="3"/>
  <c r="U721" i="3"/>
  <c r="S721" i="3"/>
  <c r="T721" i="3" s="1"/>
  <c r="E723" i="3"/>
  <c r="R722" i="3"/>
  <c r="J722" i="3"/>
  <c r="D722" i="3"/>
  <c r="H722" i="3" s="1"/>
  <c r="E721" i="4"/>
  <c r="F721" i="4" s="1"/>
  <c r="I721" i="3"/>
  <c r="D721" i="4" s="1"/>
  <c r="M174" i="3" l="1"/>
  <c r="AC173" i="3"/>
  <c r="AD173" i="3" s="1"/>
  <c r="C173" i="4"/>
  <c r="I722" i="3"/>
  <c r="D722" i="4" s="1"/>
  <c r="E722" i="4"/>
  <c r="F722" i="4" s="1"/>
  <c r="E724" i="3"/>
  <c r="J723" i="3"/>
  <c r="R723" i="3"/>
  <c r="D723" i="3"/>
  <c r="H723" i="3" s="1"/>
  <c r="K722" i="3"/>
  <c r="L722" i="3" s="1"/>
  <c r="S722" i="3"/>
  <c r="T722" i="3" s="1"/>
  <c r="U722" i="3"/>
  <c r="F726" i="3"/>
  <c r="F727" i="3" l="1"/>
  <c r="E723" i="4"/>
  <c r="F723" i="4" s="1"/>
  <c r="I723" i="3"/>
  <c r="D723" i="4" s="1"/>
  <c r="S723" i="3"/>
  <c r="T723" i="3" s="1"/>
  <c r="U723" i="3"/>
  <c r="E725" i="3"/>
  <c r="J724" i="3"/>
  <c r="D724" i="3"/>
  <c r="H724" i="3" s="1"/>
  <c r="R724" i="3"/>
  <c r="K723" i="3"/>
  <c r="L723" i="3" s="1"/>
  <c r="H173" i="4"/>
  <c r="G173" i="4"/>
  <c r="I173" i="4" s="1"/>
  <c r="J173" i="4" s="1"/>
  <c r="AI174" i="3"/>
  <c r="N174" i="3"/>
  <c r="O174" i="3"/>
  <c r="I724" i="3" l="1"/>
  <c r="D724" i="4" s="1"/>
  <c r="E724" i="4"/>
  <c r="F724" i="4" s="1"/>
  <c r="K724" i="3"/>
  <c r="L724" i="3" s="1"/>
  <c r="M173" i="4"/>
  <c r="K173" i="4"/>
  <c r="S724" i="3"/>
  <c r="T724" i="3" s="1"/>
  <c r="U724" i="3"/>
  <c r="E726" i="3"/>
  <c r="R725" i="3"/>
  <c r="J725" i="3"/>
  <c r="D725" i="3"/>
  <c r="H725" i="3" s="1"/>
  <c r="P174" i="3"/>
  <c r="Q174" i="3" s="1"/>
  <c r="F728" i="3"/>
  <c r="L174" i="4" l="1"/>
  <c r="V174" i="3"/>
  <c r="S725" i="3"/>
  <c r="T725" i="3" s="1"/>
  <c r="U725" i="3"/>
  <c r="E727" i="3"/>
  <c r="D726" i="3"/>
  <c r="H726" i="3" s="1"/>
  <c r="J726" i="3"/>
  <c r="R726" i="3"/>
  <c r="E725" i="4"/>
  <c r="F725" i="4" s="1"/>
  <c r="I725" i="3"/>
  <c r="D725" i="4" s="1"/>
  <c r="K725" i="3"/>
  <c r="L725" i="3" s="1"/>
  <c r="F729" i="3"/>
  <c r="E726" i="4" l="1"/>
  <c r="F726" i="4" s="1"/>
  <c r="I726" i="3"/>
  <c r="D726" i="4" s="1"/>
  <c r="U726" i="3"/>
  <c r="S726" i="3"/>
  <c r="T726" i="3" s="1"/>
  <c r="K726" i="3"/>
  <c r="L726" i="3" s="1"/>
  <c r="E728" i="3"/>
  <c r="J727" i="3"/>
  <c r="D727" i="3"/>
  <c r="H727" i="3" s="1"/>
  <c r="R727" i="3"/>
  <c r="W174" i="3"/>
  <c r="X174" i="3" s="1"/>
  <c r="Y174" i="3" s="1"/>
  <c r="Z174" i="3" s="1"/>
  <c r="AA174" i="3" s="1"/>
  <c r="AB174" i="3" s="1"/>
  <c r="F730" i="3"/>
  <c r="I727" i="3" l="1"/>
  <c r="D727" i="4" s="1"/>
  <c r="E727" i="4"/>
  <c r="F727" i="4" s="1"/>
  <c r="F731" i="3"/>
  <c r="S727" i="3"/>
  <c r="T727" i="3" s="1"/>
  <c r="U727" i="3"/>
  <c r="E729" i="3"/>
  <c r="J728" i="3"/>
  <c r="D728" i="3"/>
  <c r="H728" i="3" s="1"/>
  <c r="R728" i="3"/>
  <c r="M175" i="3"/>
  <c r="C174" i="4"/>
  <c r="AC174" i="3"/>
  <c r="AD174" i="3" s="1"/>
  <c r="K727" i="3"/>
  <c r="L727" i="3" s="1"/>
  <c r="H174" i="4" l="1"/>
  <c r="G174" i="4"/>
  <c r="I174" i="4" s="1"/>
  <c r="J174" i="4" s="1"/>
  <c r="E728" i="4"/>
  <c r="F728" i="4" s="1"/>
  <c r="I728" i="3"/>
  <c r="D728" i="4" s="1"/>
  <c r="E730" i="3"/>
  <c r="R729" i="3"/>
  <c r="D729" i="3"/>
  <c r="H729" i="3" s="1"/>
  <c r="J729" i="3"/>
  <c r="S728" i="3"/>
  <c r="T728" i="3" s="1"/>
  <c r="U728" i="3"/>
  <c r="N175" i="3"/>
  <c r="O175" i="3"/>
  <c r="AI175" i="3"/>
  <c r="K728" i="3"/>
  <c r="L728" i="3" s="1"/>
  <c r="F732" i="3"/>
  <c r="K729" i="3" l="1"/>
  <c r="L729" i="3" s="1"/>
  <c r="S729" i="3"/>
  <c r="T729" i="3" s="1"/>
  <c r="U729" i="3"/>
  <c r="P175" i="3"/>
  <c r="Q175" i="3" s="1"/>
  <c r="E731" i="3"/>
  <c r="D730" i="3"/>
  <c r="H730" i="3" s="1"/>
  <c r="R730" i="3"/>
  <c r="J730" i="3"/>
  <c r="K174" i="4"/>
  <c r="M174" i="4"/>
  <c r="E729" i="4"/>
  <c r="F729" i="4" s="1"/>
  <c r="I729" i="3"/>
  <c r="D729" i="4" s="1"/>
  <c r="F733" i="3"/>
  <c r="K730" i="3" l="1"/>
  <c r="L730" i="3" s="1"/>
  <c r="S730" i="3"/>
  <c r="T730" i="3" s="1"/>
  <c r="U730" i="3"/>
  <c r="E732" i="3"/>
  <c r="D731" i="3"/>
  <c r="H731" i="3" s="1"/>
  <c r="R731" i="3"/>
  <c r="J731" i="3"/>
  <c r="L175" i="4"/>
  <c r="V175" i="3"/>
  <c r="E730" i="4"/>
  <c r="F730" i="4" s="1"/>
  <c r="I730" i="3"/>
  <c r="D730" i="4" s="1"/>
  <c r="F734" i="3"/>
  <c r="K731" i="3" l="1"/>
  <c r="L731" i="3" s="1"/>
  <c r="S731" i="3"/>
  <c r="T731" i="3" s="1"/>
  <c r="U731" i="3"/>
  <c r="F735" i="3"/>
  <c r="W175" i="3"/>
  <c r="X175" i="3" s="1"/>
  <c r="Y175" i="3" s="1"/>
  <c r="Z175" i="3" s="1"/>
  <c r="AA175" i="3" s="1"/>
  <c r="AB175" i="3" s="1"/>
  <c r="I731" i="3"/>
  <c r="D731" i="4" s="1"/>
  <c r="E731" i="4"/>
  <c r="F731" i="4" s="1"/>
  <c r="E733" i="3"/>
  <c r="J732" i="3"/>
  <c r="D732" i="3"/>
  <c r="H732" i="3" s="1"/>
  <c r="R732" i="3"/>
  <c r="C175" i="4" l="1"/>
  <c r="AC175" i="3"/>
  <c r="AD175" i="3" s="1"/>
  <c r="M176" i="3"/>
  <c r="U732" i="3"/>
  <c r="S732" i="3"/>
  <c r="T732" i="3" s="1"/>
  <c r="I732" i="3"/>
  <c r="D732" i="4" s="1"/>
  <c r="E732" i="4"/>
  <c r="F732" i="4" s="1"/>
  <c r="E734" i="3"/>
  <c r="D733" i="3"/>
  <c r="H733" i="3" s="1"/>
  <c r="J733" i="3"/>
  <c r="R733" i="3"/>
  <c r="F736" i="3"/>
  <c r="K732" i="3"/>
  <c r="L732" i="3" s="1"/>
  <c r="U733" i="3" l="1"/>
  <c r="S733" i="3"/>
  <c r="T733" i="3" s="1"/>
  <c r="E733" i="4"/>
  <c r="F733" i="4" s="1"/>
  <c r="I733" i="3"/>
  <c r="D733" i="4" s="1"/>
  <c r="F737" i="3"/>
  <c r="K733" i="3"/>
  <c r="L733" i="3" s="1"/>
  <c r="E735" i="3"/>
  <c r="D734" i="3"/>
  <c r="H734" i="3" s="1"/>
  <c r="R734" i="3"/>
  <c r="J734" i="3"/>
  <c r="N176" i="3"/>
  <c r="AI176" i="3"/>
  <c r="O176" i="3"/>
  <c r="G175" i="4"/>
  <c r="I175" i="4" s="1"/>
  <c r="J175" i="4" s="1"/>
  <c r="H175" i="4"/>
  <c r="P176" i="3" l="1"/>
  <c r="Q176" i="3" s="1"/>
  <c r="V176" i="3" s="1"/>
  <c r="K734" i="3"/>
  <c r="L734" i="3" s="1"/>
  <c r="S734" i="3"/>
  <c r="T734" i="3" s="1"/>
  <c r="U734" i="3"/>
  <c r="E734" i="4"/>
  <c r="F734" i="4" s="1"/>
  <c r="I734" i="3"/>
  <c r="D734" i="4" s="1"/>
  <c r="E736" i="3"/>
  <c r="J735" i="3"/>
  <c r="D735" i="3"/>
  <c r="H735" i="3" s="1"/>
  <c r="R735" i="3"/>
  <c r="F738" i="3"/>
  <c r="K175" i="4"/>
  <c r="M175" i="4"/>
  <c r="L176" i="4" l="1"/>
  <c r="K735" i="3"/>
  <c r="L735" i="3" s="1"/>
  <c r="E735" i="4"/>
  <c r="F735" i="4" s="1"/>
  <c r="I735" i="3"/>
  <c r="D735" i="4" s="1"/>
  <c r="F739" i="3"/>
  <c r="E737" i="3"/>
  <c r="J736" i="3"/>
  <c r="R736" i="3"/>
  <c r="D736" i="3"/>
  <c r="H736" i="3" s="1"/>
  <c r="W176" i="3"/>
  <c r="X176" i="3" s="1"/>
  <c r="Y176" i="3" s="1"/>
  <c r="Z176" i="3" s="1"/>
  <c r="AA176" i="3" s="1"/>
  <c r="AB176" i="3" s="1"/>
  <c r="S735" i="3"/>
  <c r="T735" i="3" s="1"/>
  <c r="U735" i="3"/>
  <c r="C176" i="4" l="1"/>
  <c r="M177" i="3"/>
  <c r="AC176" i="3"/>
  <c r="AD176" i="3" s="1"/>
  <c r="S736" i="3"/>
  <c r="T736" i="3" s="1"/>
  <c r="U736" i="3"/>
  <c r="E738" i="3"/>
  <c r="R737" i="3"/>
  <c r="D737" i="3"/>
  <c r="H737" i="3" s="1"/>
  <c r="J737" i="3"/>
  <c r="K736" i="3"/>
  <c r="L736" i="3" s="1"/>
  <c r="F740" i="3"/>
  <c r="E736" i="4"/>
  <c r="F736" i="4" s="1"/>
  <c r="I736" i="3"/>
  <c r="D736" i="4" s="1"/>
  <c r="F741" i="3" l="1"/>
  <c r="K737" i="3"/>
  <c r="L737" i="3" s="1"/>
  <c r="E739" i="3"/>
  <c r="R738" i="3"/>
  <c r="D738" i="3"/>
  <c r="H738" i="3" s="1"/>
  <c r="J738" i="3"/>
  <c r="S737" i="3"/>
  <c r="T737" i="3" s="1"/>
  <c r="U737" i="3"/>
  <c r="O177" i="3"/>
  <c r="N177" i="3"/>
  <c r="AI177" i="3"/>
  <c r="I737" i="3"/>
  <c r="D737" i="4" s="1"/>
  <c r="E737" i="4"/>
  <c r="F737" i="4" s="1"/>
  <c r="H176" i="4"/>
  <c r="G176" i="4"/>
  <c r="I176" i="4" s="1"/>
  <c r="J176" i="4" s="1"/>
  <c r="P177" i="3" l="1"/>
  <c r="Q177" i="3" s="1"/>
  <c r="V177" i="3" s="1"/>
  <c r="K738" i="3"/>
  <c r="L738" i="3" s="1"/>
  <c r="E738" i="4"/>
  <c r="F738" i="4" s="1"/>
  <c r="I738" i="3"/>
  <c r="D738" i="4" s="1"/>
  <c r="E740" i="3"/>
  <c r="R739" i="3"/>
  <c r="J739" i="3"/>
  <c r="D739" i="3"/>
  <c r="H739" i="3" s="1"/>
  <c r="M176" i="4"/>
  <c r="K176" i="4"/>
  <c r="S738" i="3"/>
  <c r="T738" i="3" s="1"/>
  <c r="U738" i="3"/>
  <c r="F742" i="3"/>
  <c r="L177" i="4" l="1"/>
  <c r="F743" i="3"/>
  <c r="I739" i="3"/>
  <c r="D739" i="4" s="1"/>
  <c r="E739" i="4"/>
  <c r="F739" i="4" s="1"/>
  <c r="S739" i="3"/>
  <c r="T739" i="3" s="1"/>
  <c r="U739" i="3"/>
  <c r="W177" i="3"/>
  <c r="X177" i="3" s="1"/>
  <c r="Y177" i="3" s="1"/>
  <c r="Z177" i="3" s="1"/>
  <c r="AA177" i="3" s="1"/>
  <c r="AB177" i="3" s="1"/>
  <c r="K739" i="3"/>
  <c r="L739" i="3" s="1"/>
  <c r="E741" i="3"/>
  <c r="J740" i="3"/>
  <c r="R740" i="3"/>
  <c r="D740" i="3"/>
  <c r="H740" i="3" s="1"/>
  <c r="K740" i="3" l="1"/>
  <c r="L740" i="3" s="1"/>
  <c r="AC177" i="3"/>
  <c r="AD177" i="3" s="1"/>
  <c r="M178" i="3"/>
  <c r="C177" i="4"/>
  <c r="S740" i="3"/>
  <c r="T740" i="3" s="1"/>
  <c r="U740" i="3"/>
  <c r="E742" i="3"/>
  <c r="J741" i="3"/>
  <c r="R741" i="3"/>
  <c r="D741" i="3"/>
  <c r="H741" i="3" s="1"/>
  <c r="E740" i="4"/>
  <c r="F740" i="4" s="1"/>
  <c r="I740" i="3"/>
  <c r="D740" i="4" s="1"/>
  <c r="F744" i="3"/>
  <c r="I741" i="3" l="1"/>
  <c r="D741" i="4" s="1"/>
  <c r="E741" i="4"/>
  <c r="F741" i="4" s="1"/>
  <c r="E743" i="3"/>
  <c r="D742" i="3"/>
  <c r="H742" i="3" s="1"/>
  <c r="J742" i="3"/>
  <c r="R742" i="3"/>
  <c r="K741" i="3"/>
  <c r="L741" i="3" s="1"/>
  <c r="F745" i="3"/>
  <c r="U741" i="3"/>
  <c r="S741" i="3"/>
  <c r="T741" i="3" s="1"/>
  <c r="H177" i="4"/>
  <c r="G177" i="4"/>
  <c r="I177" i="4" s="1"/>
  <c r="J177" i="4" s="1"/>
  <c r="AI178" i="3"/>
  <c r="N178" i="3"/>
  <c r="O178" i="3"/>
  <c r="K742" i="3" l="1"/>
  <c r="L742" i="3" s="1"/>
  <c r="F746" i="3"/>
  <c r="I742" i="3"/>
  <c r="D742" i="4" s="1"/>
  <c r="E742" i="4"/>
  <c r="F742" i="4" s="1"/>
  <c r="P178" i="3"/>
  <c r="Q178" i="3" s="1"/>
  <c r="E744" i="3"/>
  <c r="D743" i="3"/>
  <c r="H743" i="3" s="1"/>
  <c r="R743" i="3"/>
  <c r="J743" i="3"/>
  <c r="S742" i="3"/>
  <c r="T742" i="3" s="1"/>
  <c r="U742" i="3"/>
  <c r="M177" i="4"/>
  <c r="K177" i="4"/>
  <c r="K743" i="3" l="1"/>
  <c r="L743" i="3" s="1"/>
  <c r="E743" i="4"/>
  <c r="F743" i="4" s="1"/>
  <c r="I743" i="3"/>
  <c r="D743" i="4" s="1"/>
  <c r="L178" i="4"/>
  <c r="V178" i="3"/>
  <c r="S743" i="3"/>
  <c r="T743" i="3" s="1"/>
  <c r="U743" i="3"/>
  <c r="E745" i="3"/>
  <c r="J744" i="3"/>
  <c r="D744" i="3"/>
  <c r="H744" i="3" s="1"/>
  <c r="R744" i="3"/>
  <c r="F747" i="3"/>
  <c r="U744" i="3" l="1"/>
  <c r="S744" i="3"/>
  <c r="T744" i="3" s="1"/>
  <c r="F748" i="3"/>
  <c r="K744" i="3"/>
  <c r="L744" i="3" s="1"/>
  <c r="E746" i="3"/>
  <c r="R745" i="3"/>
  <c r="D745" i="3"/>
  <c r="H745" i="3" s="1"/>
  <c r="J745" i="3"/>
  <c r="W178" i="3"/>
  <c r="X178" i="3" s="1"/>
  <c r="Y178" i="3" s="1"/>
  <c r="Z178" i="3" s="1"/>
  <c r="AA178" i="3" s="1"/>
  <c r="AB178" i="3" s="1"/>
  <c r="E744" i="4"/>
  <c r="F744" i="4" s="1"/>
  <c r="I744" i="3"/>
  <c r="D744" i="4" s="1"/>
  <c r="AC178" i="3" l="1"/>
  <c r="AD178" i="3" s="1"/>
  <c r="C178" i="4"/>
  <c r="M179" i="3"/>
  <c r="K745" i="3"/>
  <c r="L745" i="3" s="1"/>
  <c r="S745" i="3"/>
  <c r="T745" i="3" s="1"/>
  <c r="U745" i="3"/>
  <c r="E745" i="4"/>
  <c r="F745" i="4" s="1"/>
  <c r="I745" i="3"/>
  <c r="D745" i="4" s="1"/>
  <c r="E747" i="3"/>
  <c r="R746" i="3"/>
  <c r="J746" i="3"/>
  <c r="D746" i="3"/>
  <c r="H746" i="3" s="1"/>
  <c r="F749" i="3"/>
  <c r="U746" i="3" l="1"/>
  <c r="S746" i="3"/>
  <c r="T746" i="3" s="1"/>
  <c r="K746" i="3"/>
  <c r="L746" i="3" s="1"/>
  <c r="H178" i="4"/>
  <c r="G178" i="4"/>
  <c r="I178" i="4" s="1"/>
  <c r="J178" i="4" s="1"/>
  <c r="I746" i="3"/>
  <c r="D746" i="4" s="1"/>
  <c r="E746" i="4"/>
  <c r="F746" i="4" s="1"/>
  <c r="E748" i="3"/>
  <c r="R747" i="3"/>
  <c r="D747" i="3"/>
  <c r="H747" i="3" s="1"/>
  <c r="J747" i="3"/>
  <c r="O179" i="3"/>
  <c r="N179" i="3"/>
  <c r="AI179" i="3"/>
  <c r="F750" i="3"/>
  <c r="K747" i="3" l="1"/>
  <c r="L747" i="3" s="1"/>
  <c r="E749" i="3"/>
  <c r="D748" i="3"/>
  <c r="H748" i="3" s="1"/>
  <c r="J748" i="3"/>
  <c r="R748" i="3"/>
  <c r="K178" i="4"/>
  <c r="M178" i="4"/>
  <c r="F751" i="3"/>
  <c r="P179" i="3"/>
  <c r="Q179" i="3" s="1"/>
  <c r="I747" i="3"/>
  <c r="D747" i="4" s="1"/>
  <c r="E747" i="4"/>
  <c r="F747" i="4" s="1"/>
  <c r="U747" i="3"/>
  <c r="S747" i="3"/>
  <c r="T747" i="3" s="1"/>
  <c r="K748" i="3" l="1"/>
  <c r="L748" i="3" s="1"/>
  <c r="F752" i="3"/>
  <c r="U748" i="3"/>
  <c r="S748" i="3"/>
  <c r="T748" i="3" s="1"/>
  <c r="L179" i="4"/>
  <c r="V179" i="3"/>
  <c r="E750" i="3"/>
  <c r="D749" i="3"/>
  <c r="H749" i="3" s="1"/>
  <c r="R749" i="3"/>
  <c r="J749" i="3"/>
  <c r="E748" i="4"/>
  <c r="F748" i="4" s="1"/>
  <c r="I748" i="3"/>
  <c r="D748" i="4" s="1"/>
  <c r="K749" i="3" l="1"/>
  <c r="L749" i="3" s="1"/>
  <c r="U749" i="3"/>
  <c r="S749" i="3"/>
  <c r="T749" i="3" s="1"/>
  <c r="E751" i="3"/>
  <c r="D750" i="3"/>
  <c r="H750" i="3" s="1"/>
  <c r="R750" i="3"/>
  <c r="J750" i="3"/>
  <c r="E749" i="4"/>
  <c r="F749" i="4" s="1"/>
  <c r="I749" i="3"/>
  <c r="D749" i="4" s="1"/>
  <c r="F753" i="3"/>
  <c r="W179" i="3"/>
  <c r="X179" i="3" s="1"/>
  <c r="Y179" i="3" s="1"/>
  <c r="Z179" i="3" s="1"/>
  <c r="AA179" i="3" s="1"/>
  <c r="AB179" i="3" s="1"/>
  <c r="K750" i="3" l="1"/>
  <c r="L750" i="3" s="1"/>
  <c r="AC179" i="3"/>
  <c r="AD179" i="3" s="1"/>
  <c r="C179" i="4"/>
  <c r="M180" i="3"/>
  <c r="F754" i="3"/>
  <c r="S750" i="3"/>
  <c r="T750" i="3" s="1"/>
  <c r="U750" i="3"/>
  <c r="E752" i="3"/>
  <c r="D751" i="3"/>
  <c r="H751" i="3" s="1"/>
  <c r="R751" i="3"/>
  <c r="J751" i="3"/>
  <c r="E750" i="4"/>
  <c r="F750" i="4" s="1"/>
  <c r="I750" i="3"/>
  <c r="D750" i="4" s="1"/>
  <c r="S751" i="3" l="1"/>
  <c r="T751" i="3" s="1"/>
  <c r="U751" i="3"/>
  <c r="I751" i="3"/>
  <c r="D751" i="4" s="1"/>
  <c r="E751" i="4"/>
  <c r="F751" i="4" s="1"/>
  <c r="E753" i="3"/>
  <c r="D752" i="3"/>
  <c r="H752" i="3" s="1"/>
  <c r="R752" i="3"/>
  <c r="J752" i="3"/>
  <c r="F755" i="3"/>
  <c r="K751" i="3"/>
  <c r="L751" i="3" s="1"/>
  <c r="N180" i="3"/>
  <c r="O180" i="3"/>
  <c r="AI180" i="3"/>
  <c r="G179" i="4"/>
  <c r="I179" i="4" s="1"/>
  <c r="J179" i="4" s="1"/>
  <c r="H179" i="4"/>
  <c r="K752" i="3" l="1"/>
  <c r="L752" i="3" s="1"/>
  <c r="U752" i="3"/>
  <c r="S752" i="3"/>
  <c r="T752" i="3" s="1"/>
  <c r="P180" i="3"/>
  <c r="Q180" i="3" s="1"/>
  <c r="K179" i="4"/>
  <c r="M179" i="4"/>
  <c r="F756" i="3"/>
  <c r="E752" i="4"/>
  <c r="F752" i="4" s="1"/>
  <c r="I752" i="3"/>
  <c r="D752" i="4" s="1"/>
  <c r="E754" i="3"/>
  <c r="R753" i="3"/>
  <c r="J753" i="3"/>
  <c r="D753" i="3"/>
  <c r="H753" i="3" s="1"/>
  <c r="E755" i="3" l="1"/>
  <c r="D754" i="3"/>
  <c r="H754" i="3" s="1"/>
  <c r="J754" i="3"/>
  <c r="R754" i="3"/>
  <c r="U753" i="3"/>
  <c r="S753" i="3"/>
  <c r="T753" i="3" s="1"/>
  <c r="F757" i="3"/>
  <c r="L180" i="4"/>
  <c r="V180" i="3"/>
  <c r="E753" i="4"/>
  <c r="F753" i="4" s="1"/>
  <c r="I753" i="3"/>
  <c r="D753" i="4" s="1"/>
  <c r="K753" i="3"/>
  <c r="L753" i="3" s="1"/>
  <c r="K754" i="3" l="1"/>
  <c r="L754" i="3" s="1"/>
  <c r="W180" i="3"/>
  <c r="X180" i="3" s="1"/>
  <c r="Y180" i="3" s="1"/>
  <c r="Z180" i="3" s="1"/>
  <c r="AA180" i="3" s="1"/>
  <c r="AB180" i="3" s="1"/>
  <c r="F758" i="3"/>
  <c r="S754" i="3"/>
  <c r="T754" i="3" s="1"/>
  <c r="U754" i="3"/>
  <c r="I754" i="3"/>
  <c r="D754" i="4" s="1"/>
  <c r="E754" i="4"/>
  <c r="F754" i="4" s="1"/>
  <c r="E756" i="3"/>
  <c r="J755" i="3"/>
  <c r="D755" i="3"/>
  <c r="H755" i="3" s="1"/>
  <c r="R755" i="3"/>
  <c r="K755" i="3" l="1"/>
  <c r="L755" i="3" s="1"/>
  <c r="I755" i="3"/>
  <c r="D755" i="4" s="1"/>
  <c r="E755" i="4"/>
  <c r="F755" i="4" s="1"/>
  <c r="E757" i="3"/>
  <c r="R756" i="3"/>
  <c r="J756" i="3"/>
  <c r="D756" i="3"/>
  <c r="H756" i="3" s="1"/>
  <c r="M181" i="3"/>
  <c r="C180" i="4"/>
  <c r="AC180" i="3"/>
  <c r="AD180" i="3" s="1"/>
  <c r="F759" i="3"/>
  <c r="S755" i="3"/>
  <c r="T755" i="3" s="1"/>
  <c r="U755" i="3"/>
  <c r="G180" i="4" l="1"/>
  <c r="I180" i="4" s="1"/>
  <c r="J180" i="4" s="1"/>
  <c r="H180" i="4"/>
  <c r="E758" i="3"/>
  <c r="J757" i="3"/>
  <c r="R757" i="3"/>
  <c r="D757" i="3"/>
  <c r="H757" i="3" s="1"/>
  <c r="F760" i="3"/>
  <c r="I756" i="3"/>
  <c r="D756" i="4" s="1"/>
  <c r="E756" i="4"/>
  <c r="F756" i="4" s="1"/>
  <c r="K756" i="3"/>
  <c r="L756" i="3" s="1"/>
  <c r="AI181" i="3"/>
  <c r="N181" i="3"/>
  <c r="O181" i="3"/>
  <c r="U756" i="3"/>
  <c r="S756" i="3"/>
  <c r="T756" i="3" s="1"/>
  <c r="P181" i="3" l="1"/>
  <c r="Q181" i="3" s="1"/>
  <c r="L181" i="4" s="1"/>
  <c r="I757" i="3"/>
  <c r="D757" i="4" s="1"/>
  <c r="E757" i="4"/>
  <c r="F757" i="4" s="1"/>
  <c r="K757" i="3"/>
  <c r="L757" i="3" s="1"/>
  <c r="E759" i="3"/>
  <c r="D758" i="3"/>
  <c r="H758" i="3" s="1"/>
  <c r="R758" i="3"/>
  <c r="J758" i="3"/>
  <c r="F761" i="3"/>
  <c r="S757" i="3"/>
  <c r="T757" i="3" s="1"/>
  <c r="U757" i="3"/>
  <c r="M180" i="4"/>
  <c r="K180" i="4"/>
  <c r="V181" i="3" l="1"/>
  <c r="W181" i="3" s="1"/>
  <c r="X181" i="3" s="1"/>
  <c r="Y181" i="3" s="1"/>
  <c r="Z181" i="3" s="1"/>
  <c r="AA181" i="3" s="1"/>
  <c r="AB181" i="3" s="1"/>
  <c r="K758" i="3"/>
  <c r="L758" i="3" s="1"/>
  <c r="E760" i="3"/>
  <c r="R759" i="3"/>
  <c r="D759" i="3"/>
  <c r="H759" i="3" s="1"/>
  <c r="J759" i="3"/>
  <c r="E758" i="4"/>
  <c r="F758" i="4" s="1"/>
  <c r="I758" i="3"/>
  <c r="D758" i="4" s="1"/>
  <c r="F762" i="3"/>
  <c r="S758" i="3"/>
  <c r="T758" i="3" s="1"/>
  <c r="U758" i="3"/>
  <c r="K759" i="3" l="1"/>
  <c r="L759" i="3" s="1"/>
  <c r="M182" i="3"/>
  <c r="C181" i="4"/>
  <c r="AC181" i="3"/>
  <c r="AD181" i="3" s="1"/>
  <c r="F763" i="3"/>
  <c r="S759" i="3"/>
  <c r="T759" i="3" s="1"/>
  <c r="U759" i="3"/>
  <c r="I759" i="3"/>
  <c r="D759" i="4" s="1"/>
  <c r="E759" i="4"/>
  <c r="F759" i="4" s="1"/>
  <c r="E761" i="3"/>
  <c r="D760" i="3"/>
  <c r="H760" i="3" s="1"/>
  <c r="R760" i="3"/>
  <c r="J760" i="3"/>
  <c r="E760" i="4" l="1"/>
  <c r="F760" i="4" s="1"/>
  <c r="I760" i="3"/>
  <c r="D760" i="4" s="1"/>
  <c r="S760" i="3"/>
  <c r="T760" i="3" s="1"/>
  <c r="U760" i="3"/>
  <c r="E762" i="3"/>
  <c r="J761" i="3"/>
  <c r="D761" i="3"/>
  <c r="H761" i="3" s="1"/>
  <c r="R761" i="3"/>
  <c r="O182" i="3"/>
  <c r="N182" i="3"/>
  <c r="AI182" i="3"/>
  <c r="F764" i="3"/>
  <c r="G181" i="4"/>
  <c r="I181" i="4" s="1"/>
  <c r="J181" i="4" s="1"/>
  <c r="H181" i="4"/>
  <c r="K760" i="3"/>
  <c r="L760" i="3" s="1"/>
  <c r="P182" i="3" l="1"/>
  <c r="Q182" i="3" s="1"/>
  <c r="L182" i="4" s="1"/>
  <c r="K761" i="3"/>
  <c r="L761" i="3" s="1"/>
  <c r="F765" i="3"/>
  <c r="E761" i="4"/>
  <c r="F761" i="4" s="1"/>
  <c r="I761" i="3"/>
  <c r="D761" i="4" s="1"/>
  <c r="E763" i="3"/>
  <c r="D762" i="3"/>
  <c r="H762" i="3" s="1"/>
  <c r="J762" i="3"/>
  <c r="R762" i="3"/>
  <c r="S761" i="3"/>
  <c r="T761" i="3" s="1"/>
  <c r="U761" i="3"/>
  <c r="M181" i="4"/>
  <c r="K181" i="4"/>
  <c r="V182" i="3" l="1"/>
  <c r="W182" i="3" s="1"/>
  <c r="X182" i="3" s="1"/>
  <c r="Y182" i="3" s="1"/>
  <c r="Z182" i="3" s="1"/>
  <c r="AA182" i="3" s="1"/>
  <c r="AB182" i="3" s="1"/>
  <c r="K762" i="3"/>
  <c r="L762" i="3" s="1"/>
  <c r="U762" i="3"/>
  <c r="S762" i="3"/>
  <c r="T762" i="3" s="1"/>
  <c r="E762" i="4"/>
  <c r="F762" i="4" s="1"/>
  <c r="I762" i="3"/>
  <c r="D762" i="4" s="1"/>
  <c r="E764" i="3"/>
  <c r="R763" i="3"/>
  <c r="D763" i="3"/>
  <c r="H763" i="3" s="1"/>
  <c r="J763" i="3"/>
  <c r="F766" i="3"/>
  <c r="C182" i="4" l="1"/>
  <c r="M183" i="3"/>
  <c r="AC182" i="3"/>
  <c r="AD182" i="3" s="1"/>
  <c r="E763" i="4"/>
  <c r="F763" i="4" s="1"/>
  <c r="I763" i="3"/>
  <c r="D763" i="4" s="1"/>
  <c r="F767" i="3"/>
  <c r="U763" i="3"/>
  <c r="S763" i="3"/>
  <c r="T763" i="3" s="1"/>
  <c r="K763" i="3"/>
  <c r="L763" i="3" s="1"/>
  <c r="E765" i="3"/>
  <c r="R764" i="3"/>
  <c r="D764" i="3"/>
  <c r="H764" i="3" s="1"/>
  <c r="J764" i="3"/>
  <c r="K764" i="3" l="1"/>
  <c r="L764" i="3" s="1"/>
  <c r="I764" i="3"/>
  <c r="D764" i="4" s="1"/>
  <c r="E764" i="4"/>
  <c r="F764" i="4" s="1"/>
  <c r="S764" i="3"/>
  <c r="T764" i="3" s="1"/>
  <c r="U764" i="3"/>
  <c r="F768" i="3"/>
  <c r="E766" i="3"/>
  <c r="D765" i="3"/>
  <c r="H765" i="3" s="1"/>
  <c r="J765" i="3"/>
  <c r="R765" i="3"/>
  <c r="AI183" i="3"/>
  <c r="N183" i="3"/>
  <c r="O183" i="3"/>
  <c r="G182" i="4"/>
  <c r="I182" i="4" s="1"/>
  <c r="J182" i="4" s="1"/>
  <c r="H182" i="4"/>
  <c r="P183" i="3" l="1"/>
  <c r="Q183" i="3" s="1"/>
  <c r="L183" i="4" s="1"/>
  <c r="K765" i="3"/>
  <c r="L765" i="3" s="1"/>
  <c r="F769" i="3"/>
  <c r="U765" i="3"/>
  <c r="S765" i="3"/>
  <c r="T765" i="3" s="1"/>
  <c r="E767" i="3"/>
  <c r="R766" i="3"/>
  <c r="J766" i="3"/>
  <c r="D766" i="3"/>
  <c r="H766" i="3" s="1"/>
  <c r="K182" i="4"/>
  <c r="M182" i="4"/>
  <c r="E765" i="4"/>
  <c r="F765" i="4" s="1"/>
  <c r="I765" i="3"/>
  <c r="D765" i="4" s="1"/>
  <c r="V183" i="3" l="1"/>
  <c r="W183" i="3" s="1"/>
  <c r="X183" i="3" s="1"/>
  <c r="Y183" i="3" s="1"/>
  <c r="Z183" i="3" s="1"/>
  <c r="AA183" i="3" s="1"/>
  <c r="AB183" i="3" s="1"/>
  <c r="K766" i="3"/>
  <c r="L766" i="3" s="1"/>
  <c r="E768" i="3"/>
  <c r="R767" i="3"/>
  <c r="D767" i="3"/>
  <c r="H767" i="3" s="1"/>
  <c r="J767" i="3"/>
  <c r="F770" i="3"/>
  <c r="I766" i="3"/>
  <c r="D766" i="4" s="1"/>
  <c r="E766" i="4"/>
  <c r="F766" i="4" s="1"/>
  <c r="S766" i="3"/>
  <c r="T766" i="3" s="1"/>
  <c r="U766" i="3"/>
  <c r="M184" i="3" l="1"/>
  <c r="C183" i="4"/>
  <c r="AC183" i="3"/>
  <c r="AD183" i="3" s="1"/>
  <c r="F771" i="3"/>
  <c r="E767" i="4"/>
  <c r="F767" i="4" s="1"/>
  <c r="I767" i="3"/>
  <c r="D767" i="4" s="1"/>
  <c r="K767" i="3"/>
  <c r="L767" i="3" s="1"/>
  <c r="S767" i="3"/>
  <c r="T767" i="3" s="1"/>
  <c r="U767" i="3"/>
  <c r="E769" i="3"/>
  <c r="D768" i="3"/>
  <c r="H768" i="3" s="1"/>
  <c r="R768" i="3"/>
  <c r="J768" i="3"/>
  <c r="F772" i="3" l="1"/>
  <c r="H183" i="4"/>
  <c r="G183" i="4"/>
  <c r="I183" i="4" s="1"/>
  <c r="J183" i="4" s="1"/>
  <c r="E768" i="4"/>
  <c r="F768" i="4" s="1"/>
  <c r="I768" i="3"/>
  <c r="D768" i="4" s="1"/>
  <c r="K768" i="3"/>
  <c r="L768" i="3" s="1"/>
  <c r="N184" i="3"/>
  <c r="AI184" i="3"/>
  <c r="O184" i="3"/>
  <c r="E770" i="3"/>
  <c r="D769" i="3"/>
  <c r="H769" i="3" s="1"/>
  <c r="R769" i="3"/>
  <c r="J769" i="3"/>
  <c r="S768" i="3"/>
  <c r="T768" i="3" s="1"/>
  <c r="U768" i="3"/>
  <c r="S769" i="3" l="1"/>
  <c r="T769" i="3" s="1"/>
  <c r="U769" i="3"/>
  <c r="E771" i="3"/>
  <c r="J770" i="3"/>
  <c r="D770" i="3"/>
  <c r="H770" i="3" s="1"/>
  <c r="R770" i="3"/>
  <c r="K183" i="4"/>
  <c r="M183" i="4"/>
  <c r="P184" i="3"/>
  <c r="Q184" i="3" s="1"/>
  <c r="E769" i="4"/>
  <c r="F769" i="4" s="1"/>
  <c r="I769" i="3"/>
  <c r="D769" i="4" s="1"/>
  <c r="F773" i="3"/>
  <c r="K769" i="3"/>
  <c r="L769" i="3" s="1"/>
  <c r="I770" i="3" l="1"/>
  <c r="D770" i="4" s="1"/>
  <c r="E770" i="4"/>
  <c r="F770" i="4" s="1"/>
  <c r="L184" i="4"/>
  <c r="V184" i="3"/>
  <c r="S770" i="3"/>
  <c r="T770" i="3" s="1"/>
  <c r="U770" i="3"/>
  <c r="K770" i="3"/>
  <c r="L770" i="3" s="1"/>
  <c r="E772" i="3"/>
  <c r="J771" i="3"/>
  <c r="D771" i="3"/>
  <c r="H771" i="3" s="1"/>
  <c r="R771" i="3"/>
  <c r="F774" i="3"/>
  <c r="K771" i="3" l="1"/>
  <c r="L771" i="3" s="1"/>
  <c r="S771" i="3"/>
  <c r="T771" i="3" s="1"/>
  <c r="U771" i="3"/>
  <c r="E773" i="3"/>
  <c r="R772" i="3"/>
  <c r="D772" i="3"/>
  <c r="H772" i="3" s="1"/>
  <c r="J772" i="3"/>
  <c r="F775" i="3"/>
  <c r="I771" i="3"/>
  <c r="D771" i="4" s="1"/>
  <c r="E771" i="4"/>
  <c r="F771" i="4" s="1"/>
  <c r="W184" i="3"/>
  <c r="X184" i="3" s="1"/>
  <c r="Y184" i="3" s="1"/>
  <c r="Z184" i="3" s="1"/>
  <c r="AA184" i="3" s="1"/>
  <c r="AB184" i="3" s="1"/>
  <c r="C184" i="4" l="1"/>
  <c r="M185" i="3"/>
  <c r="AC184" i="3"/>
  <c r="AD184" i="3" s="1"/>
  <c r="F776" i="3"/>
  <c r="E772" i="4"/>
  <c r="F772" i="4" s="1"/>
  <c r="I772" i="3"/>
  <c r="D772" i="4" s="1"/>
  <c r="K772" i="3"/>
  <c r="L772" i="3" s="1"/>
  <c r="U772" i="3"/>
  <c r="S772" i="3"/>
  <c r="T772" i="3" s="1"/>
  <c r="E774" i="3"/>
  <c r="R773" i="3"/>
  <c r="J773" i="3"/>
  <c r="D773" i="3"/>
  <c r="H773" i="3" s="1"/>
  <c r="K773" i="3" l="1"/>
  <c r="L773" i="3" s="1"/>
  <c r="E775" i="3"/>
  <c r="D774" i="3"/>
  <c r="H774" i="3" s="1"/>
  <c r="R774" i="3"/>
  <c r="J774" i="3"/>
  <c r="O185" i="3"/>
  <c r="AI185" i="3"/>
  <c r="N185" i="3"/>
  <c r="S773" i="3"/>
  <c r="T773" i="3" s="1"/>
  <c r="U773" i="3"/>
  <c r="F777" i="3"/>
  <c r="I773" i="3"/>
  <c r="D773" i="4" s="1"/>
  <c r="E773" i="4"/>
  <c r="F773" i="4" s="1"/>
  <c r="H184" i="4"/>
  <c r="G184" i="4"/>
  <c r="I184" i="4" s="1"/>
  <c r="J184" i="4" s="1"/>
  <c r="K774" i="3" l="1"/>
  <c r="L774" i="3" s="1"/>
  <c r="F778" i="3"/>
  <c r="P185" i="3"/>
  <c r="Q185" i="3" s="1"/>
  <c r="K184" i="4"/>
  <c r="M184" i="4"/>
  <c r="S774" i="3"/>
  <c r="T774" i="3" s="1"/>
  <c r="U774" i="3"/>
  <c r="E774" i="4"/>
  <c r="F774" i="4" s="1"/>
  <c r="I774" i="3"/>
  <c r="D774" i="4" s="1"/>
  <c r="E776" i="3"/>
  <c r="D775" i="3"/>
  <c r="H775" i="3" s="1"/>
  <c r="J775" i="3"/>
  <c r="R775" i="3"/>
  <c r="I775" i="3" l="1"/>
  <c r="D775" i="4" s="1"/>
  <c r="E775" i="4"/>
  <c r="F775" i="4" s="1"/>
  <c r="L185" i="4"/>
  <c r="V185" i="3"/>
  <c r="K775" i="3"/>
  <c r="L775" i="3" s="1"/>
  <c r="E777" i="3"/>
  <c r="R776" i="3"/>
  <c r="D776" i="3"/>
  <c r="H776" i="3" s="1"/>
  <c r="J776" i="3"/>
  <c r="F779" i="3"/>
  <c r="S775" i="3"/>
  <c r="T775" i="3" s="1"/>
  <c r="U775" i="3"/>
  <c r="K776" i="3" l="1"/>
  <c r="L776" i="3" s="1"/>
  <c r="S776" i="3"/>
  <c r="T776" i="3" s="1"/>
  <c r="U776" i="3"/>
  <c r="W185" i="3"/>
  <c r="X185" i="3" s="1"/>
  <c r="Y185" i="3" s="1"/>
  <c r="Z185" i="3" s="1"/>
  <c r="AA185" i="3" s="1"/>
  <c r="AB185" i="3" s="1"/>
  <c r="F780" i="3"/>
  <c r="I776" i="3"/>
  <c r="D776" i="4" s="1"/>
  <c r="E776" i="4"/>
  <c r="F776" i="4" s="1"/>
  <c r="E778" i="3"/>
  <c r="R777" i="3"/>
  <c r="D777" i="3"/>
  <c r="H777" i="3" s="1"/>
  <c r="J777" i="3"/>
  <c r="K777" i="3" l="1"/>
  <c r="L777" i="3" s="1"/>
  <c r="E777" i="4"/>
  <c r="F777" i="4" s="1"/>
  <c r="I777" i="3"/>
  <c r="D777" i="4" s="1"/>
  <c r="E779" i="3"/>
  <c r="J778" i="3"/>
  <c r="D778" i="3"/>
  <c r="H778" i="3" s="1"/>
  <c r="R778" i="3"/>
  <c r="F781" i="3"/>
  <c r="U777" i="3"/>
  <c r="S777" i="3"/>
  <c r="T777" i="3" s="1"/>
  <c r="M186" i="3"/>
  <c r="AC185" i="3"/>
  <c r="AD185" i="3" s="1"/>
  <c r="C185" i="4"/>
  <c r="K778" i="3" l="1"/>
  <c r="L778" i="3" s="1"/>
  <c r="O186" i="3"/>
  <c r="AI186" i="3"/>
  <c r="N186" i="3"/>
  <c r="I778" i="3"/>
  <c r="D778" i="4" s="1"/>
  <c r="E778" i="4"/>
  <c r="F778" i="4" s="1"/>
  <c r="F782" i="3"/>
  <c r="S778" i="3"/>
  <c r="T778" i="3" s="1"/>
  <c r="U778" i="3"/>
  <c r="E780" i="3"/>
  <c r="D779" i="3"/>
  <c r="H779" i="3" s="1"/>
  <c r="R779" i="3"/>
  <c r="J779" i="3"/>
  <c r="G185" i="4"/>
  <c r="I185" i="4" s="1"/>
  <c r="J185" i="4" s="1"/>
  <c r="H185" i="4"/>
  <c r="P186" i="3" l="1"/>
  <c r="Q186" i="3" s="1"/>
  <c r="L186" i="4" s="1"/>
  <c r="F783" i="3"/>
  <c r="E781" i="3"/>
  <c r="J780" i="3"/>
  <c r="D780" i="3"/>
  <c r="H780" i="3" s="1"/>
  <c r="R780" i="3"/>
  <c r="K185" i="4"/>
  <c r="M185" i="4"/>
  <c r="I779" i="3"/>
  <c r="D779" i="4" s="1"/>
  <c r="E779" i="4"/>
  <c r="F779" i="4" s="1"/>
  <c r="K779" i="3"/>
  <c r="L779" i="3" s="1"/>
  <c r="S779" i="3"/>
  <c r="T779" i="3" s="1"/>
  <c r="U779" i="3"/>
  <c r="V186" i="3" l="1"/>
  <c r="W186" i="3" s="1"/>
  <c r="X186" i="3" s="1"/>
  <c r="Y186" i="3" s="1"/>
  <c r="Z186" i="3" s="1"/>
  <c r="AA186" i="3" s="1"/>
  <c r="AB186" i="3" s="1"/>
  <c r="U780" i="3"/>
  <c r="S780" i="3"/>
  <c r="T780" i="3" s="1"/>
  <c r="E782" i="3"/>
  <c r="J781" i="3"/>
  <c r="D781" i="3"/>
  <c r="H781" i="3" s="1"/>
  <c r="R781" i="3"/>
  <c r="K780" i="3"/>
  <c r="L780" i="3" s="1"/>
  <c r="I780" i="3"/>
  <c r="D780" i="4" s="1"/>
  <c r="E780" i="4"/>
  <c r="F780" i="4" s="1"/>
  <c r="F784" i="3"/>
  <c r="AC186" i="3" l="1"/>
  <c r="AD186" i="3" s="1"/>
  <c r="C186" i="4"/>
  <c r="M187" i="3"/>
  <c r="F785" i="3"/>
  <c r="E781" i="4"/>
  <c r="F781" i="4" s="1"/>
  <c r="I781" i="3"/>
  <c r="D781" i="4" s="1"/>
  <c r="E783" i="3"/>
  <c r="J782" i="3"/>
  <c r="R782" i="3"/>
  <c r="D782" i="3"/>
  <c r="H782" i="3" s="1"/>
  <c r="U781" i="3"/>
  <c r="S781" i="3"/>
  <c r="T781" i="3" s="1"/>
  <c r="K781" i="3"/>
  <c r="L781" i="3" s="1"/>
  <c r="K782" i="3" l="1"/>
  <c r="L782" i="3" s="1"/>
  <c r="I782" i="3"/>
  <c r="D782" i="4" s="1"/>
  <c r="E782" i="4"/>
  <c r="F782" i="4" s="1"/>
  <c r="N187" i="3"/>
  <c r="O187" i="3"/>
  <c r="AI187" i="3"/>
  <c r="U782" i="3"/>
  <c r="S782" i="3"/>
  <c r="T782" i="3" s="1"/>
  <c r="E784" i="3"/>
  <c r="D783" i="3"/>
  <c r="H783" i="3" s="1"/>
  <c r="J783" i="3"/>
  <c r="R783" i="3"/>
  <c r="F786" i="3"/>
  <c r="H186" i="4"/>
  <c r="G186" i="4"/>
  <c r="I186" i="4" s="1"/>
  <c r="J186" i="4" s="1"/>
  <c r="K783" i="3" l="1"/>
  <c r="L783" i="3" s="1"/>
  <c r="F787" i="3"/>
  <c r="U783" i="3"/>
  <c r="S783" i="3"/>
  <c r="T783" i="3" s="1"/>
  <c r="K186" i="4"/>
  <c r="M186" i="4"/>
  <c r="I783" i="3"/>
  <c r="D783" i="4" s="1"/>
  <c r="E783" i="4"/>
  <c r="F783" i="4" s="1"/>
  <c r="P187" i="3"/>
  <c r="Q187" i="3" s="1"/>
  <c r="E785" i="3"/>
  <c r="R784" i="3"/>
  <c r="D784" i="3"/>
  <c r="H784" i="3" s="1"/>
  <c r="J784" i="3"/>
  <c r="L187" i="4" l="1"/>
  <c r="V187" i="3"/>
  <c r="K784" i="3"/>
  <c r="L784" i="3" s="1"/>
  <c r="I784" i="3"/>
  <c r="D784" i="4" s="1"/>
  <c r="E784" i="4"/>
  <c r="F784" i="4" s="1"/>
  <c r="E786" i="3"/>
  <c r="R785" i="3"/>
  <c r="J785" i="3"/>
  <c r="D785" i="3"/>
  <c r="H785" i="3" s="1"/>
  <c r="S784" i="3"/>
  <c r="T784" i="3" s="1"/>
  <c r="U784" i="3"/>
  <c r="F788" i="3"/>
  <c r="E785" i="4" l="1"/>
  <c r="F785" i="4" s="1"/>
  <c r="I785" i="3"/>
  <c r="D785" i="4" s="1"/>
  <c r="E787" i="3"/>
  <c r="R786" i="3"/>
  <c r="D786" i="3"/>
  <c r="H786" i="3" s="1"/>
  <c r="J786" i="3"/>
  <c r="F789" i="3"/>
  <c r="K785" i="3"/>
  <c r="L785" i="3" s="1"/>
  <c r="U785" i="3"/>
  <c r="S785" i="3"/>
  <c r="T785" i="3" s="1"/>
  <c r="W187" i="3"/>
  <c r="X187" i="3" s="1"/>
  <c r="Y187" i="3" s="1"/>
  <c r="Z187" i="3" s="1"/>
  <c r="AA187" i="3" s="1"/>
  <c r="AB187" i="3" s="1"/>
  <c r="M188" i="3" l="1"/>
  <c r="C187" i="4"/>
  <c r="AC187" i="3"/>
  <c r="AD187" i="3" s="1"/>
  <c r="I786" i="3"/>
  <c r="D786" i="4" s="1"/>
  <c r="E786" i="4"/>
  <c r="F786" i="4" s="1"/>
  <c r="F790" i="3"/>
  <c r="S786" i="3"/>
  <c r="T786" i="3" s="1"/>
  <c r="U786" i="3"/>
  <c r="K786" i="3"/>
  <c r="L786" i="3" s="1"/>
  <c r="E788" i="3"/>
  <c r="D787" i="3"/>
  <c r="H787" i="3" s="1"/>
  <c r="R787" i="3"/>
  <c r="J787" i="3"/>
  <c r="I787" i="3" l="1"/>
  <c r="D787" i="4" s="1"/>
  <c r="E787" i="4"/>
  <c r="F787" i="4" s="1"/>
  <c r="E789" i="3"/>
  <c r="J788" i="3"/>
  <c r="D788" i="3"/>
  <c r="H788" i="3" s="1"/>
  <c r="R788" i="3"/>
  <c r="F791" i="3"/>
  <c r="H187" i="4"/>
  <c r="G187" i="4"/>
  <c r="I187" i="4" s="1"/>
  <c r="J187" i="4" s="1"/>
  <c r="K787" i="3"/>
  <c r="L787" i="3" s="1"/>
  <c r="U787" i="3"/>
  <c r="S787" i="3"/>
  <c r="T787" i="3" s="1"/>
  <c r="N188" i="3"/>
  <c r="AI188" i="3"/>
  <c r="O188" i="3"/>
  <c r="F792" i="3" l="1"/>
  <c r="U788" i="3"/>
  <c r="S788" i="3"/>
  <c r="T788" i="3" s="1"/>
  <c r="K788" i="3"/>
  <c r="L788" i="3" s="1"/>
  <c r="K187" i="4"/>
  <c r="M187" i="4"/>
  <c r="P188" i="3"/>
  <c r="Q188" i="3" s="1"/>
  <c r="I788" i="3"/>
  <c r="D788" i="4" s="1"/>
  <c r="E788" i="4"/>
  <c r="F788" i="4" s="1"/>
  <c r="E790" i="3"/>
  <c r="J789" i="3"/>
  <c r="D789" i="3"/>
  <c r="H789" i="3" s="1"/>
  <c r="R789" i="3"/>
  <c r="I789" i="3" l="1"/>
  <c r="D789" i="4" s="1"/>
  <c r="E789" i="4"/>
  <c r="F789" i="4" s="1"/>
  <c r="E791" i="3"/>
  <c r="J790" i="3"/>
  <c r="D790" i="3"/>
  <c r="H790" i="3" s="1"/>
  <c r="R790" i="3"/>
  <c r="K789" i="3"/>
  <c r="L789" i="3" s="1"/>
  <c r="L188" i="4"/>
  <c r="V188" i="3"/>
  <c r="F793" i="3"/>
  <c r="U789" i="3"/>
  <c r="S789" i="3"/>
  <c r="T789" i="3" s="1"/>
  <c r="E790" i="4" l="1"/>
  <c r="F790" i="4" s="1"/>
  <c r="I790" i="3"/>
  <c r="D790" i="4" s="1"/>
  <c r="S790" i="3"/>
  <c r="T790" i="3" s="1"/>
  <c r="U790" i="3"/>
  <c r="E792" i="3"/>
  <c r="R791" i="3"/>
  <c r="D791" i="3"/>
  <c r="H791" i="3" s="1"/>
  <c r="J791" i="3"/>
  <c r="F794" i="3"/>
  <c r="W188" i="3"/>
  <c r="X188" i="3" s="1"/>
  <c r="Y188" i="3" s="1"/>
  <c r="Z188" i="3" s="1"/>
  <c r="AA188" i="3" s="1"/>
  <c r="AB188" i="3" s="1"/>
  <c r="K790" i="3"/>
  <c r="L790" i="3" s="1"/>
  <c r="AC188" i="3" l="1"/>
  <c r="AD188" i="3" s="1"/>
  <c r="C188" i="4"/>
  <c r="M189" i="3"/>
  <c r="E791" i="4"/>
  <c r="F791" i="4" s="1"/>
  <c r="I791" i="3"/>
  <c r="D791" i="4" s="1"/>
  <c r="F795" i="3"/>
  <c r="U791" i="3"/>
  <c r="S791" i="3"/>
  <c r="T791" i="3" s="1"/>
  <c r="K791" i="3"/>
  <c r="L791" i="3" s="1"/>
  <c r="E793" i="3"/>
  <c r="J792" i="3"/>
  <c r="R792" i="3"/>
  <c r="D792" i="3"/>
  <c r="H792" i="3" s="1"/>
  <c r="K792" i="3" l="1"/>
  <c r="L792" i="3" s="1"/>
  <c r="E794" i="3"/>
  <c r="R793" i="3"/>
  <c r="D793" i="3"/>
  <c r="H793" i="3" s="1"/>
  <c r="J793" i="3"/>
  <c r="F796" i="3"/>
  <c r="O189" i="3"/>
  <c r="AI189" i="3"/>
  <c r="N189" i="3"/>
  <c r="H188" i="4"/>
  <c r="G188" i="4"/>
  <c r="I188" i="4" s="1"/>
  <c r="J188" i="4" s="1"/>
  <c r="E792" i="4"/>
  <c r="F792" i="4" s="1"/>
  <c r="I792" i="3"/>
  <c r="D792" i="4" s="1"/>
  <c r="S792" i="3"/>
  <c r="T792" i="3" s="1"/>
  <c r="U792" i="3"/>
  <c r="P189" i="3" l="1"/>
  <c r="Q189" i="3" s="1"/>
  <c r="L189" i="4" s="1"/>
  <c r="K793" i="3"/>
  <c r="L793" i="3" s="1"/>
  <c r="F797" i="3"/>
  <c r="M188" i="4"/>
  <c r="K188" i="4"/>
  <c r="S793" i="3"/>
  <c r="T793" i="3" s="1"/>
  <c r="U793" i="3"/>
  <c r="I793" i="3"/>
  <c r="D793" i="4" s="1"/>
  <c r="E793" i="4"/>
  <c r="F793" i="4" s="1"/>
  <c r="E795" i="3"/>
  <c r="J794" i="3"/>
  <c r="D794" i="3"/>
  <c r="H794" i="3" s="1"/>
  <c r="R794" i="3"/>
  <c r="V189" i="3" l="1"/>
  <c r="W189" i="3" s="1"/>
  <c r="X189" i="3" s="1"/>
  <c r="Y189" i="3" s="1"/>
  <c r="Z189" i="3" s="1"/>
  <c r="AA189" i="3" s="1"/>
  <c r="AB189" i="3" s="1"/>
  <c r="K794" i="3"/>
  <c r="L794" i="3" s="1"/>
  <c r="E796" i="3"/>
  <c r="J795" i="3"/>
  <c r="D795" i="3"/>
  <c r="H795" i="3" s="1"/>
  <c r="R795" i="3"/>
  <c r="F798" i="3"/>
  <c r="S794" i="3"/>
  <c r="T794" i="3" s="1"/>
  <c r="U794" i="3"/>
  <c r="E794" i="4"/>
  <c r="F794" i="4" s="1"/>
  <c r="I794" i="3"/>
  <c r="D794" i="4" s="1"/>
  <c r="C189" i="4" l="1"/>
  <c r="M190" i="3"/>
  <c r="AC189" i="3"/>
  <c r="AD189" i="3" s="1"/>
  <c r="U795" i="3"/>
  <c r="S795" i="3"/>
  <c r="T795" i="3" s="1"/>
  <c r="I795" i="3"/>
  <c r="D795" i="4" s="1"/>
  <c r="E795" i="4"/>
  <c r="F795" i="4" s="1"/>
  <c r="E797" i="3"/>
  <c r="R796" i="3"/>
  <c r="J796" i="3"/>
  <c r="D796" i="3"/>
  <c r="H796" i="3" s="1"/>
  <c r="F799" i="3"/>
  <c r="K795" i="3"/>
  <c r="L795" i="3" s="1"/>
  <c r="K796" i="3" l="1"/>
  <c r="L796" i="3" s="1"/>
  <c r="E798" i="3"/>
  <c r="R797" i="3"/>
  <c r="D797" i="3"/>
  <c r="H797" i="3" s="1"/>
  <c r="J797" i="3"/>
  <c r="E796" i="4"/>
  <c r="F796" i="4" s="1"/>
  <c r="I796" i="3"/>
  <c r="D796" i="4" s="1"/>
  <c r="F800" i="3"/>
  <c r="U796" i="3"/>
  <c r="S796" i="3"/>
  <c r="T796" i="3" s="1"/>
  <c r="N190" i="3"/>
  <c r="AI190" i="3"/>
  <c r="O190" i="3"/>
  <c r="H189" i="4"/>
  <c r="G189" i="4"/>
  <c r="I189" i="4" s="1"/>
  <c r="J189" i="4" s="1"/>
  <c r="P190" i="3" l="1"/>
  <c r="Q190" i="3" s="1"/>
  <c r="L190" i="4" s="1"/>
  <c r="K797" i="3"/>
  <c r="L797" i="3" s="1"/>
  <c r="E797" i="4"/>
  <c r="F797" i="4" s="1"/>
  <c r="I797" i="3"/>
  <c r="D797" i="4" s="1"/>
  <c r="S797" i="3"/>
  <c r="T797" i="3" s="1"/>
  <c r="U797" i="3"/>
  <c r="F801" i="3"/>
  <c r="E799" i="3"/>
  <c r="R798" i="3"/>
  <c r="D798" i="3"/>
  <c r="H798" i="3" s="1"/>
  <c r="J798" i="3"/>
  <c r="M189" i="4"/>
  <c r="K189" i="4"/>
  <c r="V190" i="3" l="1"/>
  <c r="E800" i="3"/>
  <c r="D799" i="3"/>
  <c r="H799" i="3" s="1"/>
  <c r="J799" i="3"/>
  <c r="R799" i="3"/>
  <c r="S798" i="3"/>
  <c r="T798" i="3" s="1"/>
  <c r="U798" i="3"/>
  <c r="W190" i="3"/>
  <c r="X190" i="3" s="1"/>
  <c r="Y190" i="3" s="1"/>
  <c r="Z190" i="3" s="1"/>
  <c r="AA190" i="3" s="1"/>
  <c r="AB190" i="3" s="1"/>
  <c r="E798" i="4"/>
  <c r="F798" i="4" s="1"/>
  <c r="I798" i="3"/>
  <c r="D798" i="4" s="1"/>
  <c r="F802" i="3"/>
  <c r="K798" i="3"/>
  <c r="L798" i="3" s="1"/>
  <c r="K799" i="3" l="1"/>
  <c r="L799" i="3" s="1"/>
  <c r="AC190" i="3"/>
  <c r="AD190" i="3" s="1"/>
  <c r="C190" i="4"/>
  <c r="M191" i="3"/>
  <c r="F803" i="3"/>
  <c r="U799" i="3"/>
  <c r="S799" i="3"/>
  <c r="T799" i="3" s="1"/>
  <c r="E799" i="4"/>
  <c r="F799" i="4" s="1"/>
  <c r="I799" i="3"/>
  <c r="D799" i="4" s="1"/>
  <c r="E801" i="3"/>
  <c r="J800" i="3"/>
  <c r="D800" i="3"/>
  <c r="H800" i="3" s="1"/>
  <c r="R800" i="3"/>
  <c r="K800" i="3" l="1"/>
  <c r="L800" i="3" s="1"/>
  <c r="S800" i="3"/>
  <c r="T800" i="3" s="1"/>
  <c r="U800" i="3"/>
  <c r="F804" i="3"/>
  <c r="N191" i="3"/>
  <c r="AI191" i="3"/>
  <c r="O191" i="3"/>
  <c r="E800" i="4"/>
  <c r="F800" i="4" s="1"/>
  <c r="I800" i="3"/>
  <c r="D800" i="4" s="1"/>
  <c r="G190" i="4"/>
  <c r="I190" i="4" s="1"/>
  <c r="J190" i="4" s="1"/>
  <c r="H190" i="4"/>
  <c r="E802" i="3"/>
  <c r="D801" i="3"/>
  <c r="H801" i="3" s="1"/>
  <c r="J801" i="3"/>
  <c r="R801" i="3"/>
  <c r="E801" i="4" l="1"/>
  <c r="F801" i="4" s="1"/>
  <c r="I801" i="3"/>
  <c r="D801" i="4" s="1"/>
  <c r="E803" i="3"/>
  <c r="R802" i="3"/>
  <c r="D802" i="3"/>
  <c r="H802" i="3" s="1"/>
  <c r="J802" i="3"/>
  <c r="F805" i="3"/>
  <c r="M190" i="4"/>
  <c r="K190" i="4"/>
  <c r="P191" i="3"/>
  <c r="Q191" i="3" s="1"/>
  <c r="S801" i="3"/>
  <c r="T801" i="3" s="1"/>
  <c r="U801" i="3"/>
  <c r="K801" i="3"/>
  <c r="L801" i="3" s="1"/>
  <c r="I802" i="3" l="1"/>
  <c r="D802" i="4" s="1"/>
  <c r="E802" i="4"/>
  <c r="F802" i="4" s="1"/>
  <c r="L191" i="4"/>
  <c r="V191" i="3"/>
  <c r="F806" i="3"/>
  <c r="K802" i="3"/>
  <c r="L802" i="3" s="1"/>
  <c r="U802" i="3"/>
  <c r="S802" i="3"/>
  <c r="T802" i="3" s="1"/>
  <c r="E804" i="3"/>
  <c r="R803" i="3"/>
  <c r="D803" i="3"/>
  <c r="H803" i="3" s="1"/>
  <c r="J803" i="3"/>
  <c r="S803" i="3" l="1"/>
  <c r="T803" i="3" s="1"/>
  <c r="U803" i="3"/>
  <c r="E805" i="3"/>
  <c r="J804" i="3"/>
  <c r="R804" i="3"/>
  <c r="D804" i="3"/>
  <c r="H804" i="3" s="1"/>
  <c r="E803" i="4"/>
  <c r="F803" i="4" s="1"/>
  <c r="I803" i="3"/>
  <c r="D803" i="4" s="1"/>
  <c r="F807" i="3"/>
  <c r="W191" i="3"/>
  <c r="X191" i="3" s="1"/>
  <c r="Y191" i="3" s="1"/>
  <c r="Z191" i="3" s="1"/>
  <c r="AA191" i="3" s="1"/>
  <c r="AB191" i="3" s="1"/>
  <c r="K803" i="3"/>
  <c r="L803" i="3" s="1"/>
  <c r="C191" i="4" l="1"/>
  <c r="AC191" i="3"/>
  <c r="AD191" i="3" s="1"/>
  <c r="M192" i="3"/>
  <c r="F808" i="3"/>
  <c r="I804" i="3"/>
  <c r="D804" i="4" s="1"/>
  <c r="E804" i="4"/>
  <c r="F804" i="4" s="1"/>
  <c r="U804" i="3"/>
  <c r="S804" i="3"/>
  <c r="T804" i="3" s="1"/>
  <c r="K804" i="3"/>
  <c r="L804" i="3" s="1"/>
  <c r="E806" i="3"/>
  <c r="J805" i="3"/>
  <c r="D805" i="3"/>
  <c r="H805" i="3" s="1"/>
  <c r="R805" i="3"/>
  <c r="I805" i="3" l="1"/>
  <c r="D805" i="4" s="1"/>
  <c r="E805" i="4"/>
  <c r="F805" i="4" s="1"/>
  <c r="K805" i="3"/>
  <c r="L805" i="3" s="1"/>
  <c r="E807" i="3"/>
  <c r="R806" i="3"/>
  <c r="J806" i="3"/>
  <c r="D806" i="3"/>
  <c r="H806" i="3" s="1"/>
  <c r="F809" i="3"/>
  <c r="O192" i="3"/>
  <c r="N192" i="3"/>
  <c r="AI192" i="3"/>
  <c r="S805" i="3"/>
  <c r="T805" i="3" s="1"/>
  <c r="U805" i="3"/>
  <c r="G191" i="4"/>
  <c r="I191" i="4" s="1"/>
  <c r="J191" i="4" s="1"/>
  <c r="H191" i="4"/>
  <c r="P192" i="3" l="1"/>
  <c r="Q192" i="3" s="1"/>
  <c r="L192" i="4" s="1"/>
  <c r="M191" i="4"/>
  <c r="K191" i="4"/>
  <c r="F810" i="3"/>
  <c r="I806" i="3"/>
  <c r="D806" i="4" s="1"/>
  <c r="E806" i="4"/>
  <c r="F806" i="4" s="1"/>
  <c r="K806" i="3"/>
  <c r="L806" i="3" s="1"/>
  <c r="S806" i="3"/>
  <c r="T806" i="3" s="1"/>
  <c r="U806" i="3"/>
  <c r="E808" i="3"/>
  <c r="D807" i="3"/>
  <c r="H807" i="3" s="1"/>
  <c r="R807" i="3"/>
  <c r="J807" i="3"/>
  <c r="V192" i="3" l="1"/>
  <c r="W192" i="3" s="1"/>
  <c r="X192" i="3" s="1"/>
  <c r="Y192" i="3" s="1"/>
  <c r="Z192" i="3" s="1"/>
  <c r="AA192" i="3" s="1"/>
  <c r="AB192" i="3" s="1"/>
  <c r="E809" i="3"/>
  <c r="J808" i="3"/>
  <c r="R808" i="3"/>
  <c r="D808" i="3"/>
  <c r="H808" i="3" s="1"/>
  <c r="I807" i="3"/>
  <c r="D807" i="4" s="1"/>
  <c r="E807" i="4"/>
  <c r="F807" i="4" s="1"/>
  <c r="F811" i="3"/>
  <c r="K807" i="3"/>
  <c r="L807" i="3" s="1"/>
  <c r="U807" i="3"/>
  <c r="S807" i="3"/>
  <c r="T807" i="3" s="1"/>
  <c r="C192" i="4" l="1"/>
  <c r="M193" i="3"/>
  <c r="AC192" i="3"/>
  <c r="AD192" i="3" s="1"/>
  <c r="I808" i="3"/>
  <c r="D808" i="4" s="1"/>
  <c r="E808" i="4"/>
  <c r="F808" i="4" s="1"/>
  <c r="F812" i="3"/>
  <c r="K808" i="3"/>
  <c r="L808" i="3" s="1"/>
  <c r="E810" i="3"/>
  <c r="J809" i="3"/>
  <c r="R809" i="3"/>
  <c r="D809" i="3"/>
  <c r="H809" i="3" s="1"/>
  <c r="U808" i="3"/>
  <c r="S808" i="3"/>
  <c r="T808" i="3" s="1"/>
  <c r="S809" i="3" l="1"/>
  <c r="T809" i="3" s="1"/>
  <c r="U809" i="3"/>
  <c r="E811" i="3"/>
  <c r="D810" i="3"/>
  <c r="H810" i="3" s="1"/>
  <c r="R810" i="3"/>
  <c r="J810" i="3"/>
  <c r="K809" i="3"/>
  <c r="L809" i="3" s="1"/>
  <c r="F813" i="3"/>
  <c r="AI193" i="3"/>
  <c r="O193" i="3"/>
  <c r="N193" i="3"/>
  <c r="I809" i="3"/>
  <c r="D809" i="4" s="1"/>
  <c r="E809" i="4"/>
  <c r="F809" i="4" s="1"/>
  <c r="H192" i="4"/>
  <c r="G192" i="4"/>
  <c r="I192" i="4" s="1"/>
  <c r="J192" i="4" s="1"/>
  <c r="P193" i="3" l="1"/>
  <c r="Q193" i="3" s="1"/>
  <c r="L193" i="4" s="1"/>
  <c r="K810" i="3"/>
  <c r="L810" i="3" s="1"/>
  <c r="F814" i="3"/>
  <c r="U810" i="3"/>
  <c r="S810" i="3"/>
  <c r="T810" i="3" s="1"/>
  <c r="E810" i="4"/>
  <c r="F810" i="4" s="1"/>
  <c r="I810" i="3"/>
  <c r="D810" i="4" s="1"/>
  <c r="M192" i="4"/>
  <c r="K192" i="4"/>
  <c r="E812" i="3"/>
  <c r="D811" i="3"/>
  <c r="H811" i="3" s="1"/>
  <c r="J811" i="3"/>
  <c r="R811" i="3"/>
  <c r="V193" i="3" l="1"/>
  <c r="W193" i="3" s="1"/>
  <c r="X193" i="3" s="1"/>
  <c r="Y193" i="3" s="1"/>
  <c r="Z193" i="3" s="1"/>
  <c r="AA193" i="3" s="1"/>
  <c r="AB193" i="3" s="1"/>
  <c r="E811" i="4"/>
  <c r="F811" i="4" s="1"/>
  <c r="I811" i="3"/>
  <c r="D811" i="4" s="1"/>
  <c r="E813" i="3"/>
  <c r="R812" i="3"/>
  <c r="J812" i="3"/>
  <c r="D812" i="3"/>
  <c r="H812" i="3" s="1"/>
  <c r="F815" i="3"/>
  <c r="U811" i="3"/>
  <c r="S811" i="3"/>
  <c r="T811" i="3" s="1"/>
  <c r="K811" i="3"/>
  <c r="L811" i="3" s="1"/>
  <c r="M194" i="3" l="1"/>
  <c r="C193" i="4"/>
  <c r="AC193" i="3"/>
  <c r="AD193" i="3" s="1"/>
  <c r="I812" i="3"/>
  <c r="D812" i="4" s="1"/>
  <c r="E812" i="4"/>
  <c r="F812" i="4" s="1"/>
  <c r="F816" i="3"/>
  <c r="K812" i="3"/>
  <c r="L812" i="3" s="1"/>
  <c r="S812" i="3"/>
  <c r="T812" i="3" s="1"/>
  <c r="U812" i="3"/>
  <c r="E814" i="3"/>
  <c r="R813" i="3"/>
  <c r="J813" i="3"/>
  <c r="D813" i="3"/>
  <c r="H813" i="3" s="1"/>
  <c r="K813" i="3" l="1"/>
  <c r="L813" i="3" s="1"/>
  <c r="F817" i="3"/>
  <c r="E815" i="3"/>
  <c r="R814" i="3"/>
  <c r="D814" i="3"/>
  <c r="H814" i="3" s="1"/>
  <c r="J814" i="3"/>
  <c r="H193" i="4"/>
  <c r="G193" i="4"/>
  <c r="I193" i="4" s="1"/>
  <c r="J193" i="4" s="1"/>
  <c r="S813" i="3"/>
  <c r="T813" i="3" s="1"/>
  <c r="U813" i="3"/>
  <c r="I813" i="3"/>
  <c r="D813" i="4" s="1"/>
  <c r="E813" i="4"/>
  <c r="F813" i="4" s="1"/>
  <c r="O194" i="3"/>
  <c r="AI194" i="3"/>
  <c r="N194" i="3"/>
  <c r="P194" i="3" l="1"/>
  <c r="Q194" i="3" s="1"/>
  <c r="L194" i="4" s="1"/>
  <c r="K814" i="3"/>
  <c r="L814" i="3" s="1"/>
  <c r="M193" i="4"/>
  <c r="K193" i="4"/>
  <c r="F818" i="3"/>
  <c r="I814" i="3"/>
  <c r="D814" i="4" s="1"/>
  <c r="E814" i="4"/>
  <c r="F814" i="4" s="1"/>
  <c r="S814" i="3"/>
  <c r="T814" i="3" s="1"/>
  <c r="U814" i="3"/>
  <c r="E816" i="3"/>
  <c r="J815" i="3"/>
  <c r="D815" i="3"/>
  <c r="H815" i="3" s="1"/>
  <c r="R815" i="3"/>
  <c r="V194" i="3" l="1"/>
  <c r="W194" i="3" s="1"/>
  <c r="X194" i="3" s="1"/>
  <c r="Y194" i="3" s="1"/>
  <c r="Z194" i="3" s="1"/>
  <c r="AA194" i="3" s="1"/>
  <c r="AB194" i="3" s="1"/>
  <c r="S815" i="3"/>
  <c r="T815" i="3" s="1"/>
  <c r="U815" i="3"/>
  <c r="I815" i="3"/>
  <c r="D815" i="4" s="1"/>
  <c r="E815" i="4"/>
  <c r="F815" i="4" s="1"/>
  <c r="E817" i="3"/>
  <c r="J816" i="3"/>
  <c r="R816" i="3"/>
  <c r="D816" i="3"/>
  <c r="H816" i="3" s="1"/>
  <c r="F819" i="3"/>
  <c r="K815" i="3"/>
  <c r="L815" i="3" s="1"/>
  <c r="AC194" i="3" l="1"/>
  <c r="AD194" i="3" s="1"/>
  <c r="C194" i="4"/>
  <c r="M195" i="3"/>
  <c r="E816" i="4"/>
  <c r="F816" i="4" s="1"/>
  <c r="I816" i="3"/>
  <c r="D816" i="4" s="1"/>
  <c r="K816" i="3"/>
  <c r="L816" i="3" s="1"/>
  <c r="U816" i="3"/>
  <c r="S816" i="3"/>
  <c r="T816" i="3" s="1"/>
  <c r="E818" i="3"/>
  <c r="J817" i="3"/>
  <c r="D817" i="3"/>
  <c r="H817" i="3" s="1"/>
  <c r="R817" i="3"/>
  <c r="F820" i="3"/>
  <c r="F821" i="3" l="1"/>
  <c r="S817" i="3"/>
  <c r="T817" i="3" s="1"/>
  <c r="U817" i="3"/>
  <c r="K817" i="3"/>
  <c r="L817" i="3" s="1"/>
  <c r="E817" i="4"/>
  <c r="F817" i="4" s="1"/>
  <c r="I817" i="3"/>
  <c r="D817" i="4" s="1"/>
  <c r="E819" i="3"/>
  <c r="D818" i="3"/>
  <c r="H818" i="3" s="1"/>
  <c r="R818" i="3"/>
  <c r="J818" i="3"/>
  <c r="O195" i="3"/>
  <c r="N195" i="3"/>
  <c r="AI195" i="3"/>
  <c r="G194" i="4"/>
  <c r="I194" i="4" s="1"/>
  <c r="J194" i="4" s="1"/>
  <c r="H194" i="4"/>
  <c r="K818" i="3" l="1"/>
  <c r="L818" i="3" s="1"/>
  <c r="P195" i="3"/>
  <c r="Q195" i="3" s="1"/>
  <c r="L195" i="4" s="1"/>
  <c r="E820" i="3"/>
  <c r="J819" i="3"/>
  <c r="R819" i="3"/>
  <c r="D819" i="3"/>
  <c r="H819" i="3" s="1"/>
  <c r="S818" i="3"/>
  <c r="T818" i="3" s="1"/>
  <c r="U818" i="3"/>
  <c r="F822" i="3"/>
  <c r="I818" i="3"/>
  <c r="D818" i="4" s="1"/>
  <c r="E818" i="4"/>
  <c r="F818" i="4" s="1"/>
  <c r="K194" i="4"/>
  <c r="M194" i="4"/>
  <c r="V195" i="3" l="1"/>
  <c r="E819" i="4"/>
  <c r="F819" i="4" s="1"/>
  <c r="I819" i="3"/>
  <c r="D819" i="4" s="1"/>
  <c r="E821" i="3"/>
  <c r="J820" i="3"/>
  <c r="R820" i="3"/>
  <c r="D820" i="3"/>
  <c r="H820" i="3" s="1"/>
  <c r="F823" i="3"/>
  <c r="S819" i="3"/>
  <c r="T819" i="3" s="1"/>
  <c r="U819" i="3"/>
  <c r="K819" i="3"/>
  <c r="L819" i="3" s="1"/>
  <c r="W195" i="3"/>
  <c r="X195" i="3" s="1"/>
  <c r="Y195" i="3" s="1"/>
  <c r="Z195" i="3" s="1"/>
  <c r="AA195" i="3" s="1"/>
  <c r="AB195" i="3" s="1"/>
  <c r="AC195" i="3" l="1"/>
  <c r="AD195" i="3" s="1"/>
  <c r="C195" i="4"/>
  <c r="M196" i="3"/>
  <c r="I820" i="3"/>
  <c r="D820" i="4" s="1"/>
  <c r="E820" i="4"/>
  <c r="F820" i="4" s="1"/>
  <c r="F824" i="3"/>
  <c r="K820" i="3"/>
  <c r="L820" i="3" s="1"/>
  <c r="E822" i="3"/>
  <c r="D821" i="3"/>
  <c r="H821" i="3" s="1"/>
  <c r="J821" i="3"/>
  <c r="R821" i="3"/>
  <c r="S820" i="3"/>
  <c r="T820" i="3" s="1"/>
  <c r="U820" i="3"/>
  <c r="K821" i="3" l="1"/>
  <c r="L821" i="3" s="1"/>
  <c r="I821" i="3"/>
  <c r="D821" i="4" s="1"/>
  <c r="E821" i="4"/>
  <c r="F821" i="4" s="1"/>
  <c r="F825" i="3"/>
  <c r="S821" i="3"/>
  <c r="T821" i="3" s="1"/>
  <c r="U821" i="3"/>
  <c r="H195" i="4"/>
  <c r="G195" i="4"/>
  <c r="I195" i="4" s="1"/>
  <c r="J195" i="4" s="1"/>
  <c r="E823" i="3"/>
  <c r="R822" i="3"/>
  <c r="D822" i="3"/>
  <c r="H822" i="3" s="1"/>
  <c r="J822" i="3"/>
  <c r="N196" i="3"/>
  <c r="AI196" i="3"/>
  <c r="O196" i="3"/>
  <c r="I822" i="3" l="1"/>
  <c r="D822" i="4" s="1"/>
  <c r="E822" i="4"/>
  <c r="F822" i="4" s="1"/>
  <c r="E824" i="3"/>
  <c r="R823" i="3"/>
  <c r="J823" i="3"/>
  <c r="D823" i="3"/>
  <c r="H823" i="3" s="1"/>
  <c r="K195" i="4"/>
  <c r="M195" i="4"/>
  <c r="F826" i="3"/>
  <c r="S822" i="3"/>
  <c r="T822" i="3" s="1"/>
  <c r="U822" i="3"/>
  <c r="P196" i="3"/>
  <c r="Q196" i="3" s="1"/>
  <c r="K822" i="3"/>
  <c r="L822" i="3" s="1"/>
  <c r="I823" i="3" l="1"/>
  <c r="D823" i="4" s="1"/>
  <c r="E823" i="4"/>
  <c r="F823" i="4" s="1"/>
  <c r="F827" i="3"/>
  <c r="K823" i="3"/>
  <c r="L823" i="3" s="1"/>
  <c r="S823" i="3"/>
  <c r="T823" i="3" s="1"/>
  <c r="U823" i="3"/>
  <c r="E825" i="3"/>
  <c r="D824" i="3"/>
  <c r="H824" i="3" s="1"/>
  <c r="R824" i="3"/>
  <c r="J824" i="3"/>
  <c r="L196" i="4"/>
  <c r="C29" i="5" s="1"/>
  <c r="N29" i="5" s="1"/>
  <c r="V196" i="3"/>
  <c r="S824" i="3" l="1"/>
  <c r="T824" i="3" s="1"/>
  <c r="U824" i="3"/>
  <c r="K824" i="3"/>
  <c r="L824" i="3" s="1"/>
  <c r="E826" i="3"/>
  <c r="J825" i="3"/>
  <c r="R825" i="3"/>
  <c r="D825" i="3"/>
  <c r="H825" i="3" s="1"/>
  <c r="F828" i="3"/>
  <c r="W196" i="3"/>
  <c r="X196" i="3" s="1"/>
  <c r="Y196" i="3" s="1"/>
  <c r="Z196" i="3" s="1"/>
  <c r="AA196" i="3" s="1"/>
  <c r="AB196" i="3" s="1"/>
  <c r="E824" i="4"/>
  <c r="F824" i="4" s="1"/>
  <c r="I824" i="3"/>
  <c r="D824" i="4" s="1"/>
  <c r="C196" i="4" l="1"/>
  <c r="AC196" i="3"/>
  <c r="AD196" i="3" s="1"/>
  <c r="M197" i="3"/>
  <c r="F829" i="3"/>
  <c r="S825" i="3"/>
  <c r="T825" i="3" s="1"/>
  <c r="U825" i="3"/>
  <c r="E827" i="3"/>
  <c r="D826" i="3"/>
  <c r="H826" i="3" s="1"/>
  <c r="R826" i="3"/>
  <c r="J826" i="3"/>
  <c r="I825" i="3"/>
  <c r="D825" i="4" s="1"/>
  <c r="E825" i="4"/>
  <c r="F825" i="4" s="1"/>
  <c r="K825" i="3"/>
  <c r="L825" i="3" s="1"/>
  <c r="K826" i="3" l="1"/>
  <c r="L826" i="3" s="1"/>
  <c r="E828" i="3"/>
  <c r="J827" i="3"/>
  <c r="R827" i="3"/>
  <c r="D827" i="3"/>
  <c r="H827" i="3" s="1"/>
  <c r="S826" i="3"/>
  <c r="T826" i="3" s="1"/>
  <c r="U826" i="3"/>
  <c r="F830" i="3"/>
  <c r="I826" i="3"/>
  <c r="D826" i="4" s="1"/>
  <c r="E826" i="4"/>
  <c r="F826" i="4" s="1"/>
  <c r="O197" i="3"/>
  <c r="AI197" i="3"/>
  <c r="N197" i="3"/>
  <c r="H196" i="4"/>
  <c r="G196" i="4"/>
  <c r="I196" i="4" s="1"/>
  <c r="J196" i="4" s="1"/>
  <c r="P197" i="3" l="1"/>
  <c r="Q197" i="3" s="1"/>
  <c r="L197" i="4" s="1"/>
  <c r="D29" i="5"/>
  <c r="M196" i="4"/>
  <c r="K196" i="4"/>
  <c r="E29" i="5" s="1"/>
  <c r="E827" i="4"/>
  <c r="F827" i="4" s="1"/>
  <c r="I827" i="3"/>
  <c r="D827" i="4" s="1"/>
  <c r="F831" i="3"/>
  <c r="S827" i="3"/>
  <c r="T827" i="3" s="1"/>
  <c r="U827" i="3"/>
  <c r="K827" i="3"/>
  <c r="L827" i="3" s="1"/>
  <c r="E829" i="3"/>
  <c r="D828" i="3"/>
  <c r="H828" i="3" s="1"/>
  <c r="J828" i="3"/>
  <c r="R828" i="3"/>
  <c r="V197" i="3" l="1"/>
  <c r="K828" i="3"/>
  <c r="L828" i="3" s="1"/>
  <c r="S828" i="3"/>
  <c r="T828" i="3" s="1"/>
  <c r="U828" i="3"/>
  <c r="E828" i="4"/>
  <c r="F828" i="4" s="1"/>
  <c r="I828" i="3"/>
  <c r="D828" i="4" s="1"/>
  <c r="F832" i="3"/>
  <c r="W197" i="3"/>
  <c r="X197" i="3" s="1"/>
  <c r="Y197" i="3" s="1"/>
  <c r="Z197" i="3" s="1"/>
  <c r="AA197" i="3" s="1"/>
  <c r="AB197" i="3" s="1"/>
  <c r="E830" i="3"/>
  <c r="J829" i="3"/>
  <c r="D829" i="3"/>
  <c r="H829" i="3" s="1"/>
  <c r="R829" i="3"/>
  <c r="AC197" i="3" l="1"/>
  <c r="AD197" i="3" s="1"/>
  <c r="M198" i="3"/>
  <c r="C197" i="4"/>
  <c r="K829" i="3"/>
  <c r="L829" i="3" s="1"/>
  <c r="E829" i="4"/>
  <c r="F829" i="4" s="1"/>
  <c r="I829" i="3"/>
  <c r="D829" i="4" s="1"/>
  <c r="E831" i="3"/>
  <c r="R830" i="3"/>
  <c r="J830" i="3"/>
  <c r="D830" i="3"/>
  <c r="H830" i="3" s="1"/>
  <c r="F833" i="3"/>
  <c r="U829" i="3"/>
  <c r="S829" i="3"/>
  <c r="T829" i="3" s="1"/>
  <c r="F834" i="3" l="1"/>
  <c r="K830" i="3"/>
  <c r="L830" i="3" s="1"/>
  <c r="I830" i="3"/>
  <c r="D830" i="4" s="1"/>
  <c r="E830" i="4"/>
  <c r="F830" i="4" s="1"/>
  <c r="E832" i="3"/>
  <c r="R831" i="3"/>
  <c r="D831" i="3"/>
  <c r="H831" i="3" s="1"/>
  <c r="J831" i="3"/>
  <c r="H197" i="4"/>
  <c r="G197" i="4"/>
  <c r="I197" i="4" s="1"/>
  <c r="J197" i="4" s="1"/>
  <c r="AI198" i="3"/>
  <c r="N198" i="3"/>
  <c r="O198" i="3"/>
  <c r="U830" i="3"/>
  <c r="S830" i="3"/>
  <c r="T830" i="3" s="1"/>
  <c r="P198" i="3" l="1"/>
  <c r="Q198" i="3" s="1"/>
  <c r="V198" i="3" s="1"/>
  <c r="S831" i="3"/>
  <c r="T831" i="3" s="1"/>
  <c r="U831" i="3"/>
  <c r="M197" i="4"/>
  <c r="K197" i="4"/>
  <c r="K831" i="3"/>
  <c r="L831" i="3" s="1"/>
  <c r="E833" i="3"/>
  <c r="R832" i="3"/>
  <c r="J832" i="3"/>
  <c r="D832" i="3"/>
  <c r="H832" i="3" s="1"/>
  <c r="F835" i="3"/>
  <c r="E831" i="4"/>
  <c r="F831" i="4" s="1"/>
  <c r="I831" i="3"/>
  <c r="D831" i="4" s="1"/>
  <c r="L198" i="4" l="1"/>
  <c r="I832" i="3"/>
  <c r="D832" i="4" s="1"/>
  <c r="E832" i="4"/>
  <c r="F832" i="4" s="1"/>
  <c r="S832" i="3"/>
  <c r="T832" i="3" s="1"/>
  <c r="U832" i="3"/>
  <c r="F836" i="3"/>
  <c r="K832" i="3"/>
  <c r="L832" i="3" s="1"/>
  <c r="E834" i="3"/>
  <c r="D833" i="3"/>
  <c r="H833" i="3" s="1"/>
  <c r="J833" i="3"/>
  <c r="R833" i="3"/>
  <c r="W198" i="3"/>
  <c r="X198" i="3" s="1"/>
  <c r="Y198" i="3" s="1"/>
  <c r="Z198" i="3" s="1"/>
  <c r="AA198" i="3" s="1"/>
  <c r="AB198" i="3" s="1"/>
  <c r="AC198" i="3" l="1"/>
  <c r="AD198" i="3" s="1"/>
  <c r="M199" i="3"/>
  <c r="C198" i="4"/>
  <c r="I833" i="3"/>
  <c r="D833" i="4" s="1"/>
  <c r="E833" i="4"/>
  <c r="F833" i="4" s="1"/>
  <c r="K833" i="3"/>
  <c r="L833" i="3" s="1"/>
  <c r="E835" i="3"/>
  <c r="J834" i="3"/>
  <c r="D834" i="3"/>
  <c r="H834" i="3" s="1"/>
  <c r="R834" i="3"/>
  <c r="F837" i="3"/>
  <c r="U833" i="3"/>
  <c r="S833" i="3"/>
  <c r="T833" i="3" s="1"/>
  <c r="F838" i="3" l="1"/>
  <c r="S834" i="3"/>
  <c r="T834" i="3" s="1"/>
  <c r="U834" i="3"/>
  <c r="E836" i="3"/>
  <c r="R835" i="3"/>
  <c r="D835" i="3"/>
  <c r="H835" i="3" s="1"/>
  <c r="J835" i="3"/>
  <c r="K834" i="3"/>
  <c r="L834" i="3" s="1"/>
  <c r="G198" i="4"/>
  <c r="I198" i="4" s="1"/>
  <c r="J198" i="4" s="1"/>
  <c r="H198" i="4"/>
  <c r="N199" i="3"/>
  <c r="AI199" i="3"/>
  <c r="O199" i="3"/>
  <c r="I834" i="3"/>
  <c r="D834" i="4" s="1"/>
  <c r="E834" i="4"/>
  <c r="F834" i="4" s="1"/>
  <c r="K835" i="3" l="1"/>
  <c r="L835" i="3" s="1"/>
  <c r="F839" i="3"/>
  <c r="M198" i="4"/>
  <c r="K198" i="4"/>
  <c r="S835" i="3"/>
  <c r="T835" i="3" s="1"/>
  <c r="U835" i="3"/>
  <c r="I835" i="3"/>
  <c r="D835" i="4" s="1"/>
  <c r="E835" i="4"/>
  <c r="F835" i="4" s="1"/>
  <c r="E837" i="3"/>
  <c r="R836" i="3"/>
  <c r="J836" i="3"/>
  <c r="D836" i="3"/>
  <c r="H836" i="3" s="1"/>
  <c r="P199" i="3"/>
  <c r="Q199" i="3" s="1"/>
  <c r="K836" i="3" l="1"/>
  <c r="L836" i="3" s="1"/>
  <c r="S836" i="3"/>
  <c r="T836" i="3" s="1"/>
  <c r="U836" i="3"/>
  <c r="E838" i="3"/>
  <c r="R837" i="3"/>
  <c r="J837" i="3"/>
  <c r="D837" i="3"/>
  <c r="H837" i="3" s="1"/>
  <c r="L199" i="4"/>
  <c r="V199" i="3"/>
  <c r="F840" i="3"/>
  <c r="E836" i="4"/>
  <c r="F836" i="4" s="1"/>
  <c r="I836" i="3"/>
  <c r="D836" i="4" s="1"/>
  <c r="F841" i="3" l="1"/>
  <c r="W199" i="3"/>
  <c r="X199" i="3" s="1"/>
  <c r="Y199" i="3" s="1"/>
  <c r="Z199" i="3" s="1"/>
  <c r="AA199" i="3" s="1"/>
  <c r="AB199" i="3" s="1"/>
  <c r="U837" i="3"/>
  <c r="S837" i="3"/>
  <c r="T837" i="3" s="1"/>
  <c r="I837" i="3"/>
  <c r="D837" i="4" s="1"/>
  <c r="E837" i="4"/>
  <c r="F837" i="4" s="1"/>
  <c r="E839" i="3"/>
  <c r="D838" i="3"/>
  <c r="H838" i="3" s="1"/>
  <c r="J838" i="3"/>
  <c r="R838" i="3"/>
  <c r="K837" i="3"/>
  <c r="L837" i="3" s="1"/>
  <c r="C199" i="4" l="1"/>
  <c r="AC199" i="3"/>
  <c r="AD199" i="3" s="1"/>
  <c r="M200" i="3"/>
  <c r="I838" i="3"/>
  <c r="D838" i="4" s="1"/>
  <c r="E838" i="4"/>
  <c r="F838" i="4" s="1"/>
  <c r="K838" i="3"/>
  <c r="L838" i="3" s="1"/>
  <c r="E840" i="3"/>
  <c r="J839" i="3"/>
  <c r="R839" i="3"/>
  <c r="D839" i="3"/>
  <c r="H839" i="3" s="1"/>
  <c r="S838" i="3"/>
  <c r="T838" i="3" s="1"/>
  <c r="U838" i="3"/>
  <c r="F842" i="3"/>
  <c r="F843" i="3" l="1"/>
  <c r="E839" i="4"/>
  <c r="F839" i="4" s="1"/>
  <c r="I839" i="3"/>
  <c r="D839" i="4" s="1"/>
  <c r="K839" i="3"/>
  <c r="L839" i="3" s="1"/>
  <c r="E841" i="3"/>
  <c r="R840" i="3"/>
  <c r="D840" i="3"/>
  <c r="H840" i="3" s="1"/>
  <c r="J840" i="3"/>
  <c r="S839" i="3"/>
  <c r="T839" i="3" s="1"/>
  <c r="U839" i="3"/>
  <c r="N200" i="3"/>
  <c r="O200" i="3"/>
  <c r="AI200" i="3"/>
  <c r="G199" i="4"/>
  <c r="I199" i="4" s="1"/>
  <c r="J199" i="4" s="1"/>
  <c r="H199" i="4"/>
  <c r="K840" i="3" l="1"/>
  <c r="L840" i="3" s="1"/>
  <c r="E840" i="4"/>
  <c r="F840" i="4" s="1"/>
  <c r="I840" i="3"/>
  <c r="D840" i="4" s="1"/>
  <c r="S840" i="3"/>
  <c r="T840" i="3" s="1"/>
  <c r="U840" i="3"/>
  <c r="E842" i="3"/>
  <c r="J841" i="3"/>
  <c r="R841" i="3"/>
  <c r="D841" i="3"/>
  <c r="H841" i="3" s="1"/>
  <c r="K199" i="4"/>
  <c r="M199" i="4"/>
  <c r="P200" i="3"/>
  <c r="Q200" i="3" s="1"/>
  <c r="F844" i="3"/>
  <c r="L200" i="4" l="1"/>
  <c r="V200" i="3"/>
  <c r="E841" i="4"/>
  <c r="F841" i="4" s="1"/>
  <c r="I841" i="3"/>
  <c r="D841" i="4" s="1"/>
  <c r="S841" i="3"/>
  <c r="T841" i="3" s="1"/>
  <c r="U841" i="3"/>
  <c r="E843" i="3"/>
  <c r="D842" i="3"/>
  <c r="H842" i="3" s="1"/>
  <c r="R842" i="3"/>
  <c r="J842" i="3"/>
  <c r="F845" i="3"/>
  <c r="K841" i="3"/>
  <c r="L841" i="3" s="1"/>
  <c r="K842" i="3" l="1"/>
  <c r="L842" i="3" s="1"/>
  <c r="U842" i="3"/>
  <c r="S842" i="3"/>
  <c r="T842" i="3" s="1"/>
  <c r="E844" i="3"/>
  <c r="D843" i="3"/>
  <c r="H843" i="3" s="1"/>
  <c r="R843" i="3"/>
  <c r="J843" i="3"/>
  <c r="E842" i="4"/>
  <c r="F842" i="4" s="1"/>
  <c r="I842" i="3"/>
  <c r="D842" i="4" s="1"/>
  <c r="W200" i="3"/>
  <c r="X200" i="3" s="1"/>
  <c r="Y200" i="3" s="1"/>
  <c r="Z200" i="3" s="1"/>
  <c r="AA200" i="3" s="1"/>
  <c r="AB200" i="3" s="1"/>
  <c r="F846" i="3"/>
  <c r="K843" i="3" l="1"/>
  <c r="L843" i="3" s="1"/>
  <c r="C200" i="4"/>
  <c r="AC200" i="3"/>
  <c r="AD200" i="3" s="1"/>
  <c r="M201" i="3"/>
  <c r="S843" i="3"/>
  <c r="T843" i="3" s="1"/>
  <c r="U843" i="3"/>
  <c r="E845" i="3"/>
  <c r="R844" i="3"/>
  <c r="J844" i="3"/>
  <c r="D844" i="3"/>
  <c r="H844" i="3" s="1"/>
  <c r="E843" i="4"/>
  <c r="F843" i="4" s="1"/>
  <c r="I843" i="3"/>
  <c r="D843" i="4" s="1"/>
  <c r="F847" i="3"/>
  <c r="U844" i="3" l="1"/>
  <c r="S844" i="3"/>
  <c r="T844" i="3" s="1"/>
  <c r="K844" i="3"/>
  <c r="L844" i="3" s="1"/>
  <c r="E844" i="4"/>
  <c r="F844" i="4" s="1"/>
  <c r="I844" i="3"/>
  <c r="D844" i="4" s="1"/>
  <c r="E846" i="3"/>
  <c r="R845" i="3"/>
  <c r="D845" i="3"/>
  <c r="H845" i="3" s="1"/>
  <c r="J845" i="3"/>
  <c r="O201" i="3"/>
  <c r="N201" i="3"/>
  <c r="AI201" i="3"/>
  <c r="F848" i="3"/>
  <c r="G200" i="4"/>
  <c r="I200" i="4" s="1"/>
  <c r="J200" i="4" s="1"/>
  <c r="H200" i="4"/>
  <c r="P201" i="3" l="1"/>
  <c r="Q201" i="3" s="1"/>
  <c r="L201" i="4" s="1"/>
  <c r="U845" i="3"/>
  <c r="S845" i="3"/>
  <c r="T845" i="3" s="1"/>
  <c r="K845" i="3"/>
  <c r="L845" i="3" s="1"/>
  <c r="E847" i="3"/>
  <c r="J846" i="3"/>
  <c r="D846" i="3"/>
  <c r="H846" i="3" s="1"/>
  <c r="R846" i="3"/>
  <c r="K200" i="4"/>
  <c r="M200" i="4"/>
  <c r="F849" i="3"/>
  <c r="E845" i="4"/>
  <c r="F845" i="4" s="1"/>
  <c r="I845" i="3"/>
  <c r="D845" i="4" s="1"/>
  <c r="V201" i="3" l="1"/>
  <c r="W201" i="3" s="1"/>
  <c r="X201" i="3" s="1"/>
  <c r="Y201" i="3" s="1"/>
  <c r="Z201" i="3" s="1"/>
  <c r="AA201" i="3" s="1"/>
  <c r="AB201" i="3" s="1"/>
  <c r="K846" i="3"/>
  <c r="L846" i="3" s="1"/>
  <c r="F850" i="3"/>
  <c r="U846" i="3"/>
  <c r="S846" i="3"/>
  <c r="T846" i="3" s="1"/>
  <c r="E846" i="4"/>
  <c r="F846" i="4" s="1"/>
  <c r="I846" i="3"/>
  <c r="D846" i="4" s="1"/>
  <c r="E848" i="3"/>
  <c r="D847" i="3"/>
  <c r="H847" i="3" s="1"/>
  <c r="R847" i="3"/>
  <c r="J847" i="3"/>
  <c r="M202" i="3" l="1"/>
  <c r="C201" i="4"/>
  <c r="AC201" i="3"/>
  <c r="AD201" i="3" s="1"/>
  <c r="E847" i="4"/>
  <c r="F847" i="4" s="1"/>
  <c r="I847" i="3"/>
  <c r="D847" i="4" s="1"/>
  <c r="K847" i="3"/>
  <c r="L847" i="3" s="1"/>
  <c r="S847" i="3"/>
  <c r="T847" i="3" s="1"/>
  <c r="U847" i="3"/>
  <c r="E849" i="3"/>
  <c r="J848" i="3"/>
  <c r="R848" i="3"/>
  <c r="D848" i="3"/>
  <c r="H848" i="3" s="1"/>
  <c r="F851" i="3"/>
  <c r="I848" i="3" l="1"/>
  <c r="D848" i="4" s="1"/>
  <c r="E848" i="4"/>
  <c r="F848" i="4" s="1"/>
  <c r="K848" i="3"/>
  <c r="L848" i="3" s="1"/>
  <c r="E850" i="3"/>
  <c r="D849" i="3"/>
  <c r="H849" i="3" s="1"/>
  <c r="J849" i="3"/>
  <c r="R849" i="3"/>
  <c r="F852" i="3"/>
  <c r="U848" i="3"/>
  <c r="S848" i="3"/>
  <c r="T848" i="3" s="1"/>
  <c r="H201" i="4"/>
  <c r="G201" i="4"/>
  <c r="I201" i="4" s="1"/>
  <c r="J201" i="4" s="1"/>
  <c r="N202" i="3"/>
  <c r="AI202" i="3"/>
  <c r="O202" i="3"/>
  <c r="K849" i="3" l="1"/>
  <c r="L849" i="3" s="1"/>
  <c r="P202" i="3"/>
  <c r="Q202" i="3" s="1"/>
  <c r="F853" i="3"/>
  <c r="U849" i="3"/>
  <c r="S849" i="3"/>
  <c r="T849" i="3" s="1"/>
  <c r="E849" i="4"/>
  <c r="F849" i="4" s="1"/>
  <c r="I849" i="3"/>
  <c r="D849" i="4" s="1"/>
  <c r="E851" i="3"/>
  <c r="D850" i="3"/>
  <c r="H850" i="3" s="1"/>
  <c r="J850" i="3"/>
  <c r="R850" i="3"/>
  <c r="M201" i="4"/>
  <c r="K201" i="4"/>
  <c r="K850" i="3" l="1"/>
  <c r="L850" i="3" s="1"/>
  <c r="S850" i="3"/>
  <c r="T850" i="3" s="1"/>
  <c r="U850" i="3"/>
  <c r="I850" i="3"/>
  <c r="D850" i="4" s="1"/>
  <c r="E850" i="4"/>
  <c r="F850" i="4" s="1"/>
  <c r="E852" i="3"/>
  <c r="D851" i="3"/>
  <c r="H851" i="3" s="1"/>
  <c r="J851" i="3"/>
  <c r="R851" i="3"/>
  <c r="F854" i="3"/>
  <c r="L202" i="4"/>
  <c r="V202" i="3"/>
  <c r="K851" i="3" l="1"/>
  <c r="L851" i="3" s="1"/>
  <c r="W202" i="3"/>
  <c r="X202" i="3" s="1"/>
  <c r="Y202" i="3" s="1"/>
  <c r="Z202" i="3" s="1"/>
  <c r="AA202" i="3" s="1"/>
  <c r="AB202" i="3" s="1"/>
  <c r="F855" i="3"/>
  <c r="S851" i="3"/>
  <c r="T851" i="3" s="1"/>
  <c r="U851" i="3"/>
  <c r="E851" i="4"/>
  <c r="F851" i="4" s="1"/>
  <c r="I851" i="3"/>
  <c r="D851" i="4" s="1"/>
  <c r="E853" i="3"/>
  <c r="D852" i="3"/>
  <c r="H852" i="3" s="1"/>
  <c r="R852" i="3"/>
  <c r="J852" i="3"/>
  <c r="U852" i="3" l="1"/>
  <c r="S852" i="3"/>
  <c r="T852" i="3" s="1"/>
  <c r="E854" i="3"/>
  <c r="R853" i="3"/>
  <c r="J853" i="3"/>
  <c r="D853" i="3"/>
  <c r="H853" i="3" s="1"/>
  <c r="E852" i="4"/>
  <c r="F852" i="4" s="1"/>
  <c r="I852" i="3"/>
  <c r="D852" i="4" s="1"/>
  <c r="F856" i="3"/>
  <c r="K852" i="3"/>
  <c r="L852" i="3" s="1"/>
  <c r="C202" i="4"/>
  <c r="AC202" i="3"/>
  <c r="AD202" i="3" s="1"/>
  <c r="M203" i="3"/>
  <c r="F857" i="3" l="1"/>
  <c r="I853" i="3"/>
  <c r="D853" i="4" s="1"/>
  <c r="E853" i="4"/>
  <c r="F853" i="4" s="1"/>
  <c r="H202" i="4"/>
  <c r="G202" i="4"/>
  <c r="I202" i="4" s="1"/>
  <c r="J202" i="4" s="1"/>
  <c r="K853" i="3"/>
  <c r="L853" i="3" s="1"/>
  <c r="U853" i="3"/>
  <c r="S853" i="3"/>
  <c r="T853" i="3" s="1"/>
  <c r="E855" i="3"/>
  <c r="R854" i="3"/>
  <c r="J854" i="3"/>
  <c r="D854" i="3"/>
  <c r="H854" i="3" s="1"/>
  <c r="O203" i="3"/>
  <c r="N203" i="3"/>
  <c r="AI203" i="3"/>
  <c r="P203" i="3" l="1"/>
  <c r="Q203" i="3" s="1"/>
  <c r="L203" i="4" s="1"/>
  <c r="I854" i="3"/>
  <c r="D854" i="4" s="1"/>
  <c r="E854" i="4"/>
  <c r="F854" i="4" s="1"/>
  <c r="U854" i="3"/>
  <c r="S854" i="3"/>
  <c r="T854" i="3" s="1"/>
  <c r="K854" i="3"/>
  <c r="L854" i="3" s="1"/>
  <c r="E856" i="3"/>
  <c r="D855" i="3"/>
  <c r="H855" i="3" s="1"/>
  <c r="J855" i="3"/>
  <c r="R855" i="3"/>
  <c r="F858" i="3"/>
  <c r="K202" i="4"/>
  <c r="M202" i="4"/>
  <c r="V203" i="3" l="1"/>
  <c r="K855" i="3"/>
  <c r="L855" i="3" s="1"/>
  <c r="E857" i="3"/>
  <c r="R856" i="3"/>
  <c r="D856" i="3"/>
  <c r="H856" i="3" s="1"/>
  <c r="J856" i="3"/>
  <c r="I855" i="3"/>
  <c r="D855" i="4" s="1"/>
  <c r="E855" i="4"/>
  <c r="F855" i="4" s="1"/>
  <c r="W203" i="3"/>
  <c r="X203" i="3" s="1"/>
  <c r="Y203" i="3" s="1"/>
  <c r="Z203" i="3" s="1"/>
  <c r="AA203" i="3" s="1"/>
  <c r="AB203" i="3" s="1"/>
  <c r="F859" i="3"/>
  <c r="U855" i="3"/>
  <c r="S855" i="3"/>
  <c r="T855" i="3" s="1"/>
  <c r="K856" i="3" l="1"/>
  <c r="L856" i="3" s="1"/>
  <c r="M204" i="3"/>
  <c r="C203" i="4"/>
  <c r="AC203" i="3"/>
  <c r="AD203" i="3" s="1"/>
  <c r="F860" i="3"/>
  <c r="I856" i="3"/>
  <c r="D856" i="4" s="1"/>
  <c r="E856" i="4"/>
  <c r="F856" i="4" s="1"/>
  <c r="U856" i="3"/>
  <c r="S856" i="3"/>
  <c r="T856" i="3" s="1"/>
  <c r="E858" i="3"/>
  <c r="R857" i="3"/>
  <c r="J857" i="3"/>
  <c r="D857" i="3"/>
  <c r="H857" i="3" s="1"/>
  <c r="S857" i="3" l="1"/>
  <c r="T857" i="3" s="1"/>
  <c r="U857" i="3"/>
  <c r="E859" i="3"/>
  <c r="D858" i="3"/>
  <c r="H858" i="3" s="1"/>
  <c r="J858" i="3"/>
  <c r="R858" i="3"/>
  <c r="F861" i="3"/>
  <c r="I857" i="3"/>
  <c r="D857" i="4" s="1"/>
  <c r="E857" i="4"/>
  <c r="F857" i="4" s="1"/>
  <c r="G203" i="4"/>
  <c r="I203" i="4" s="1"/>
  <c r="J203" i="4" s="1"/>
  <c r="H203" i="4"/>
  <c r="K857" i="3"/>
  <c r="L857" i="3" s="1"/>
  <c r="N204" i="3"/>
  <c r="O204" i="3"/>
  <c r="AI204" i="3"/>
  <c r="P204" i="3" l="1"/>
  <c r="Q204" i="3" s="1"/>
  <c r="V204" i="3" s="1"/>
  <c r="K858" i="3"/>
  <c r="L858" i="3" s="1"/>
  <c r="F862" i="3"/>
  <c r="K203" i="4"/>
  <c r="M203" i="4"/>
  <c r="S858" i="3"/>
  <c r="T858" i="3" s="1"/>
  <c r="U858" i="3"/>
  <c r="E858" i="4"/>
  <c r="F858" i="4" s="1"/>
  <c r="I858" i="3"/>
  <c r="D858" i="4" s="1"/>
  <c r="E860" i="3"/>
  <c r="D859" i="3"/>
  <c r="H859" i="3" s="1"/>
  <c r="J859" i="3"/>
  <c r="R859" i="3"/>
  <c r="L204" i="4" l="1"/>
  <c r="K859" i="3"/>
  <c r="L859" i="3" s="1"/>
  <c r="E861" i="3"/>
  <c r="D860" i="3"/>
  <c r="H860" i="3" s="1"/>
  <c r="R860" i="3"/>
  <c r="J860" i="3"/>
  <c r="E859" i="4"/>
  <c r="F859" i="4" s="1"/>
  <c r="I859" i="3"/>
  <c r="D859" i="4" s="1"/>
  <c r="W204" i="3"/>
  <c r="X204" i="3" s="1"/>
  <c r="Y204" i="3" s="1"/>
  <c r="Z204" i="3" s="1"/>
  <c r="AA204" i="3" s="1"/>
  <c r="AB204" i="3" s="1"/>
  <c r="S859" i="3"/>
  <c r="T859" i="3" s="1"/>
  <c r="U859" i="3"/>
  <c r="M205" i="3" l="1"/>
  <c r="AC204" i="3"/>
  <c r="AD204" i="3" s="1"/>
  <c r="C204" i="4"/>
  <c r="E860" i="4"/>
  <c r="F860" i="4" s="1"/>
  <c r="I860" i="3"/>
  <c r="D860" i="4" s="1"/>
  <c r="K860" i="3"/>
  <c r="L860" i="3" s="1"/>
  <c r="U860" i="3"/>
  <c r="S860" i="3"/>
  <c r="T860" i="3" s="1"/>
  <c r="E862" i="3"/>
  <c r="J861" i="3"/>
  <c r="R861" i="3"/>
  <c r="D861" i="3"/>
  <c r="H861" i="3" s="1"/>
  <c r="K861" i="3" l="1"/>
  <c r="L861" i="3" s="1"/>
  <c r="D862" i="3"/>
  <c r="J862" i="3"/>
  <c r="R862" i="3"/>
  <c r="I861" i="3"/>
  <c r="D861" i="4" s="1"/>
  <c r="E861" i="4"/>
  <c r="F861" i="4" s="1"/>
  <c r="U861" i="3"/>
  <c r="S861" i="3"/>
  <c r="T861" i="3" s="1"/>
  <c r="G204" i="4"/>
  <c r="I204" i="4" s="1"/>
  <c r="J204" i="4" s="1"/>
  <c r="H204" i="4"/>
  <c r="N205" i="3"/>
  <c r="AI205" i="3"/>
  <c r="O205" i="3"/>
  <c r="P205" i="3" l="1"/>
  <c r="Q205" i="3" s="1"/>
  <c r="L205" i="4" s="1"/>
  <c r="S862" i="3"/>
  <c r="T862" i="3" s="1"/>
  <c r="U862" i="3"/>
  <c r="K204" i="4"/>
  <c r="M204" i="4"/>
  <c r="G23" i="3"/>
  <c r="D864" i="3"/>
  <c r="H862" i="3"/>
  <c r="V205" i="3" l="1"/>
  <c r="W205" i="3" s="1"/>
  <c r="X205" i="3" s="1"/>
  <c r="Y205" i="3" s="1"/>
  <c r="Z205" i="3" s="1"/>
  <c r="AA205" i="3" s="1"/>
  <c r="AB205" i="3" s="1"/>
  <c r="E862" i="4"/>
  <c r="I862" i="3"/>
  <c r="K862" i="3"/>
  <c r="L862" i="3" s="1"/>
  <c r="M206" i="3" l="1"/>
  <c r="C205" i="4"/>
  <c r="AC205" i="3"/>
  <c r="AD205" i="3" s="1"/>
  <c r="D907" i="4"/>
  <c r="D882" i="4"/>
  <c r="D870" i="4"/>
  <c r="D892" i="4"/>
  <c r="D897" i="4"/>
  <c r="D874" i="4"/>
  <c r="D891" i="4"/>
  <c r="D872" i="4"/>
  <c r="D878" i="4"/>
  <c r="D886" i="4"/>
  <c r="D893" i="4"/>
  <c r="D864" i="4"/>
  <c r="D910" i="4"/>
  <c r="D881" i="4"/>
  <c r="D899" i="4"/>
  <c r="D902" i="4"/>
  <c r="D894" i="4"/>
  <c r="D904" i="4"/>
  <c r="D900" i="4"/>
  <c r="D901" i="4"/>
  <c r="D909" i="4"/>
  <c r="D906" i="4"/>
  <c r="D895" i="4"/>
  <c r="D898" i="4"/>
  <c r="D868" i="4"/>
  <c r="D896" i="4"/>
  <c r="D862" i="4"/>
  <c r="D871" i="4"/>
  <c r="D908" i="4"/>
  <c r="D903" i="4"/>
  <c r="D879" i="4"/>
  <c r="D877" i="4"/>
  <c r="D875" i="4"/>
  <c r="D905" i="4"/>
  <c r="D869" i="4"/>
  <c r="D865" i="4"/>
  <c r="D863" i="4"/>
  <c r="D866" i="4"/>
  <c r="D884" i="4"/>
  <c r="D867" i="4"/>
  <c r="D876" i="4"/>
  <c r="D885" i="4"/>
  <c r="D883" i="4"/>
  <c r="D890" i="4"/>
  <c r="D888" i="4"/>
  <c r="D887" i="4"/>
  <c r="D889" i="4"/>
  <c r="D880" i="4"/>
  <c r="D873" i="4"/>
  <c r="E902" i="4"/>
  <c r="E869" i="4"/>
  <c r="E909" i="4"/>
  <c r="E882" i="4"/>
  <c r="E903" i="4"/>
  <c r="E896" i="4"/>
  <c r="E891" i="4"/>
  <c r="E875" i="4"/>
  <c r="E881" i="4"/>
  <c r="E886" i="4"/>
  <c r="E874" i="4"/>
  <c r="E883" i="4"/>
  <c r="E867" i="4"/>
  <c r="E890" i="4"/>
  <c r="E892" i="4"/>
  <c r="E908" i="4"/>
  <c r="E863" i="4"/>
  <c r="E889" i="4"/>
  <c r="E907" i="4"/>
  <c r="E866" i="4"/>
  <c r="E885" i="4"/>
  <c r="E877" i="4"/>
  <c r="E873" i="4"/>
  <c r="E872" i="4"/>
  <c r="E868" i="4"/>
  <c r="E895" i="4"/>
  <c r="E901" i="4"/>
  <c r="E865" i="4"/>
  <c r="E871" i="4"/>
  <c r="E910" i="4"/>
  <c r="E893" i="4"/>
  <c r="E884" i="4"/>
  <c r="E898" i="4"/>
  <c r="E887" i="4"/>
  <c r="E870" i="4"/>
  <c r="E876" i="4"/>
  <c r="E900" i="4"/>
  <c r="E879" i="4"/>
  <c r="E906" i="4"/>
  <c r="E864" i="4"/>
  <c r="E897" i="4"/>
  <c r="E880" i="4"/>
  <c r="E904" i="4"/>
  <c r="E894" i="4"/>
  <c r="E905" i="4"/>
  <c r="E878" i="4"/>
  <c r="E899" i="4"/>
  <c r="E888" i="4"/>
  <c r="F862" i="4"/>
  <c r="D10" i="4" s="1"/>
  <c r="G205" i="4" l="1"/>
  <c r="I205" i="4" s="1"/>
  <c r="J205" i="4" s="1"/>
  <c r="H205" i="4"/>
  <c r="AI206" i="3"/>
  <c r="O206" i="3"/>
  <c r="N206" i="3"/>
  <c r="P206" i="3" l="1"/>
  <c r="Q206" i="3" s="1"/>
  <c r="L206" i="4" s="1"/>
  <c r="M205" i="4"/>
  <c r="K205" i="4"/>
  <c r="V206" i="3" l="1"/>
  <c r="W206" i="3" s="1"/>
  <c r="X206" i="3" s="1"/>
  <c r="Y206" i="3" s="1"/>
  <c r="Z206" i="3" s="1"/>
  <c r="AA206" i="3" s="1"/>
  <c r="AB206" i="3" s="1"/>
  <c r="C206" i="4" l="1"/>
  <c r="M207" i="3"/>
  <c r="AC206" i="3"/>
  <c r="AD206" i="3" s="1"/>
  <c r="N207" i="3" l="1"/>
  <c r="O207" i="3"/>
  <c r="AI207" i="3"/>
  <c r="G206" i="4"/>
  <c r="I206" i="4" s="1"/>
  <c r="J206" i="4" s="1"/>
  <c r="H206" i="4"/>
  <c r="M206" i="4" l="1"/>
  <c r="K206" i="4"/>
  <c r="P207" i="3"/>
  <c r="Q207" i="3" s="1"/>
  <c r="L207" i="4" l="1"/>
  <c r="V207" i="3"/>
  <c r="W207" i="3" l="1"/>
  <c r="X207" i="3" s="1"/>
  <c r="Y207" i="3" s="1"/>
  <c r="Z207" i="3" s="1"/>
  <c r="AA207" i="3" s="1"/>
  <c r="AB207" i="3" s="1"/>
  <c r="C207" i="4" l="1"/>
  <c r="AC207" i="3"/>
  <c r="AD207" i="3" s="1"/>
  <c r="M208" i="3"/>
  <c r="N208" i="3" l="1"/>
  <c r="AI208" i="3"/>
  <c r="O208" i="3"/>
  <c r="H207" i="4"/>
  <c r="G207" i="4"/>
  <c r="I207" i="4" s="1"/>
  <c r="J207" i="4" s="1"/>
  <c r="M207" i="4" l="1"/>
  <c r="K207" i="4"/>
  <c r="P208" i="3"/>
  <c r="Q208" i="3" s="1"/>
  <c r="L208" i="4" l="1"/>
  <c r="V208" i="3"/>
  <c r="W208" i="3" l="1"/>
  <c r="X208" i="3" s="1"/>
  <c r="Y208" i="3" s="1"/>
  <c r="Z208" i="3" s="1"/>
  <c r="AA208" i="3" s="1"/>
  <c r="AB208" i="3" s="1"/>
  <c r="C208" i="4" l="1"/>
  <c r="AC208" i="3"/>
  <c r="AD208" i="3" s="1"/>
  <c r="M209" i="3"/>
  <c r="O209" i="3" l="1"/>
  <c r="AI209" i="3"/>
  <c r="N209" i="3"/>
  <c r="H208" i="4"/>
  <c r="G208" i="4"/>
  <c r="I208" i="4" s="1"/>
  <c r="J208" i="4" s="1"/>
  <c r="P209" i="3" l="1"/>
  <c r="Q209" i="3" s="1"/>
  <c r="L209" i="4" s="1"/>
  <c r="M208" i="4"/>
  <c r="K208" i="4"/>
  <c r="V209" i="3" l="1"/>
  <c r="W209" i="3" s="1"/>
  <c r="X209" i="3" s="1"/>
  <c r="Y209" i="3" s="1"/>
  <c r="Z209" i="3" s="1"/>
  <c r="AA209" i="3" s="1"/>
  <c r="AB209" i="3" s="1"/>
  <c r="C209" i="4" l="1"/>
  <c r="M210" i="3"/>
  <c r="AC209" i="3"/>
  <c r="AD209" i="3" s="1"/>
  <c r="AI210" i="3" l="1"/>
  <c r="N210" i="3"/>
  <c r="O210" i="3"/>
  <c r="H209" i="4"/>
  <c r="G209" i="4"/>
  <c r="I209" i="4" s="1"/>
  <c r="J209" i="4" s="1"/>
  <c r="P210" i="3" l="1"/>
  <c r="Q210" i="3" s="1"/>
  <c r="L210" i="4" s="1"/>
  <c r="K209" i="4"/>
  <c r="M209" i="4"/>
  <c r="V210" i="3" l="1"/>
  <c r="W210" i="3" s="1"/>
  <c r="X210" i="3" s="1"/>
  <c r="Y210" i="3" s="1"/>
  <c r="Z210" i="3" s="1"/>
  <c r="AA210" i="3" s="1"/>
  <c r="AB210" i="3" s="1"/>
  <c r="AC210" i="3" l="1"/>
  <c r="AD210" i="3" s="1"/>
  <c r="C210" i="4"/>
  <c r="M211" i="3"/>
  <c r="N211" i="3" l="1"/>
  <c r="O211" i="3"/>
  <c r="AI211" i="3"/>
  <c r="H210" i="4"/>
  <c r="G210" i="4"/>
  <c r="I210" i="4" s="1"/>
  <c r="J210" i="4" s="1"/>
  <c r="M210" i="4" l="1"/>
  <c r="K210" i="4"/>
  <c r="P211" i="3"/>
  <c r="Q211" i="3" s="1"/>
  <c r="L211" i="4" l="1"/>
  <c r="V211" i="3"/>
  <c r="W211" i="3" l="1"/>
  <c r="X211" i="3" s="1"/>
  <c r="Y211" i="3" s="1"/>
  <c r="Z211" i="3" s="1"/>
  <c r="AA211" i="3" s="1"/>
  <c r="AB211" i="3" s="1"/>
  <c r="M212" i="3" l="1"/>
  <c r="C211" i="4"/>
  <c r="AC211" i="3"/>
  <c r="AD211" i="3" s="1"/>
  <c r="H211" i="4" l="1"/>
  <c r="G211" i="4"/>
  <c r="I211" i="4" s="1"/>
  <c r="J211" i="4" s="1"/>
  <c r="O212" i="3"/>
  <c r="N212" i="3"/>
  <c r="AI212" i="3"/>
  <c r="P212" i="3" l="1"/>
  <c r="Q212" i="3" s="1"/>
  <c r="L212" i="4" s="1"/>
  <c r="M211" i="4"/>
  <c r="K211" i="4"/>
  <c r="V212" i="3" l="1"/>
  <c r="W212" i="3" s="1"/>
  <c r="X212" i="3" s="1"/>
  <c r="Y212" i="3" s="1"/>
  <c r="Z212" i="3" s="1"/>
  <c r="AA212" i="3" s="1"/>
  <c r="AB212" i="3" s="1"/>
  <c r="M213" i="3" l="1"/>
  <c r="AC212" i="3"/>
  <c r="AD212" i="3" s="1"/>
  <c r="C212" i="4"/>
  <c r="H212" i="4" l="1"/>
  <c r="G212" i="4"/>
  <c r="I212" i="4" s="1"/>
  <c r="J212" i="4" s="1"/>
  <c r="N213" i="3"/>
  <c r="O213" i="3"/>
  <c r="AI213" i="3"/>
  <c r="P213" i="3" l="1"/>
  <c r="Q213" i="3" s="1"/>
  <c r="L213" i="4" s="1"/>
  <c r="K212" i="4"/>
  <c r="M212" i="4"/>
  <c r="V213" i="3" l="1"/>
  <c r="W213" i="3" s="1"/>
  <c r="X213" i="3" s="1"/>
  <c r="Y213" i="3" s="1"/>
  <c r="Z213" i="3" s="1"/>
  <c r="AA213" i="3" s="1"/>
  <c r="AB213" i="3" s="1"/>
  <c r="AC213" i="3" l="1"/>
  <c r="AD213" i="3" s="1"/>
  <c r="C213" i="4"/>
  <c r="M214" i="3"/>
  <c r="AI214" i="3" l="1"/>
  <c r="N214" i="3"/>
  <c r="O214" i="3"/>
  <c r="H213" i="4"/>
  <c r="G213" i="4"/>
  <c r="I213" i="4" s="1"/>
  <c r="J213" i="4" s="1"/>
  <c r="K213" i="4" l="1"/>
  <c r="M213" i="4"/>
  <c r="P214" i="3"/>
  <c r="Q214" i="3" s="1"/>
  <c r="L214" i="4" l="1"/>
  <c r="V214" i="3"/>
  <c r="W214" i="3" l="1"/>
  <c r="X214" i="3" s="1"/>
  <c r="Y214" i="3" s="1"/>
  <c r="Z214" i="3" s="1"/>
  <c r="AA214" i="3" s="1"/>
  <c r="AB214" i="3" s="1"/>
  <c r="M215" i="3" l="1"/>
  <c r="AC214" i="3"/>
  <c r="AD214" i="3" s="1"/>
  <c r="C214" i="4"/>
  <c r="G214" i="4" l="1"/>
  <c r="I214" i="4" s="1"/>
  <c r="J214" i="4" s="1"/>
  <c r="H214" i="4"/>
  <c r="N215" i="3"/>
  <c r="O215" i="3"/>
  <c r="AI215" i="3"/>
  <c r="P215" i="3" l="1"/>
  <c r="Q215" i="3" s="1"/>
  <c r="M214" i="4"/>
  <c r="K214" i="4"/>
  <c r="L215" i="4" l="1"/>
  <c r="V215" i="3"/>
  <c r="W215" i="3" l="1"/>
  <c r="X215" i="3" s="1"/>
  <c r="Y215" i="3" s="1"/>
  <c r="Z215" i="3" s="1"/>
  <c r="AA215" i="3" s="1"/>
  <c r="AB215" i="3" s="1"/>
  <c r="M216" i="3" l="1"/>
  <c r="C215" i="4"/>
  <c r="AC215" i="3"/>
  <c r="AD215" i="3" s="1"/>
  <c r="H215" i="4" l="1"/>
  <c r="G215" i="4"/>
  <c r="I215" i="4" s="1"/>
  <c r="J215" i="4" s="1"/>
  <c r="AI216" i="3"/>
  <c r="O216" i="3"/>
  <c r="N216" i="3"/>
  <c r="P216" i="3" l="1"/>
  <c r="Q216" i="3" s="1"/>
  <c r="L216" i="4" s="1"/>
  <c r="M215" i="4"/>
  <c r="K215" i="4"/>
  <c r="V216" i="3" l="1"/>
  <c r="W216" i="3" s="1"/>
  <c r="X216" i="3" s="1"/>
  <c r="Y216" i="3" s="1"/>
  <c r="Z216" i="3" s="1"/>
  <c r="AA216" i="3" s="1"/>
  <c r="AB216" i="3" s="1"/>
  <c r="M217" i="3" l="1"/>
  <c r="C216" i="4"/>
  <c r="AC216" i="3"/>
  <c r="AD216" i="3" s="1"/>
  <c r="H216" i="4" l="1"/>
  <c r="G216" i="4"/>
  <c r="I216" i="4" s="1"/>
  <c r="J216" i="4" s="1"/>
  <c r="AI217" i="3"/>
  <c r="O217" i="3"/>
  <c r="N217" i="3"/>
  <c r="P217" i="3" l="1"/>
  <c r="Q217" i="3" s="1"/>
  <c r="M216" i="4"/>
  <c r="K216" i="4"/>
  <c r="L217" i="4" l="1"/>
  <c r="V217" i="3"/>
  <c r="W217" i="3" l="1"/>
  <c r="X217" i="3" s="1"/>
  <c r="Y217" i="3" s="1"/>
  <c r="Z217" i="3" s="1"/>
  <c r="AA217" i="3" s="1"/>
  <c r="AB217" i="3" s="1"/>
  <c r="AC217" i="3" l="1"/>
  <c r="AD217" i="3" s="1"/>
  <c r="C217" i="4"/>
  <c r="M218" i="3"/>
  <c r="AI218" i="3" l="1"/>
  <c r="O218" i="3"/>
  <c r="N218" i="3"/>
  <c r="H217" i="4"/>
  <c r="G217" i="4"/>
  <c r="I217" i="4" s="1"/>
  <c r="J217" i="4" s="1"/>
  <c r="P218" i="3" l="1"/>
  <c r="Q218" i="3" s="1"/>
  <c r="L218" i="4" s="1"/>
  <c r="K217" i="4"/>
  <c r="M217" i="4"/>
  <c r="V218" i="3" l="1"/>
  <c r="W218" i="3" s="1"/>
  <c r="X218" i="3" s="1"/>
  <c r="Y218" i="3" s="1"/>
  <c r="Z218" i="3" s="1"/>
  <c r="AA218" i="3" s="1"/>
  <c r="AB218" i="3" s="1"/>
  <c r="C218" i="4" l="1"/>
  <c r="M219" i="3"/>
  <c r="AC218" i="3"/>
  <c r="AD218" i="3" s="1"/>
  <c r="N219" i="3" l="1"/>
  <c r="AI219" i="3"/>
  <c r="O219" i="3"/>
  <c r="H218" i="4"/>
  <c r="G218" i="4"/>
  <c r="I218" i="4" s="1"/>
  <c r="J218" i="4" s="1"/>
  <c r="M218" i="4" l="1"/>
  <c r="K218" i="4"/>
  <c r="P219" i="3"/>
  <c r="Q219" i="3" s="1"/>
  <c r="L219" i="4" l="1"/>
  <c r="V219" i="3"/>
  <c r="W219" i="3" l="1"/>
  <c r="X219" i="3" s="1"/>
  <c r="Y219" i="3" s="1"/>
  <c r="Z219" i="3" s="1"/>
  <c r="AA219" i="3" s="1"/>
  <c r="AB219" i="3" s="1"/>
  <c r="AC219" i="3" l="1"/>
  <c r="AD219" i="3" s="1"/>
  <c r="C219" i="4"/>
  <c r="M220" i="3"/>
  <c r="N220" i="3" l="1"/>
  <c r="O220" i="3"/>
  <c r="AI220" i="3"/>
  <c r="H219" i="4"/>
  <c r="G219" i="4"/>
  <c r="I219" i="4" s="1"/>
  <c r="J219" i="4" s="1"/>
  <c r="M219" i="4" l="1"/>
  <c r="K219" i="4"/>
  <c r="P220" i="3"/>
  <c r="Q220" i="3" s="1"/>
  <c r="L220" i="4" l="1"/>
  <c r="V220" i="3"/>
  <c r="W220" i="3" l="1"/>
  <c r="X220" i="3" s="1"/>
  <c r="Y220" i="3" s="1"/>
  <c r="Z220" i="3" s="1"/>
  <c r="AA220" i="3" s="1"/>
  <c r="AB220" i="3" s="1"/>
  <c r="AC220" i="3" l="1"/>
  <c r="AD220" i="3" s="1"/>
  <c r="C220" i="4"/>
  <c r="M221" i="3"/>
  <c r="O221" i="3" l="1"/>
  <c r="N221" i="3"/>
  <c r="AI221" i="3"/>
  <c r="H220" i="4"/>
  <c r="G220" i="4"/>
  <c r="I220" i="4" s="1"/>
  <c r="J220" i="4" s="1"/>
  <c r="P221" i="3" l="1"/>
  <c r="Q221" i="3" s="1"/>
  <c r="L221" i="4" s="1"/>
  <c r="K220" i="4"/>
  <c r="M220" i="4"/>
  <c r="V221" i="3" l="1"/>
  <c r="W221" i="3" s="1"/>
  <c r="X221" i="3" s="1"/>
  <c r="Y221" i="3" s="1"/>
  <c r="Z221" i="3" s="1"/>
  <c r="AA221" i="3" s="1"/>
  <c r="AB221" i="3" s="1"/>
  <c r="M222" i="3" l="1"/>
  <c r="AC221" i="3"/>
  <c r="AD221" i="3" s="1"/>
  <c r="C221" i="4"/>
  <c r="H221" i="4" l="1"/>
  <c r="G221" i="4"/>
  <c r="I221" i="4" s="1"/>
  <c r="J221" i="4" s="1"/>
  <c r="AI222" i="3"/>
  <c r="O222" i="3"/>
  <c r="N222" i="3"/>
  <c r="P222" i="3" l="1"/>
  <c r="Q222" i="3" s="1"/>
  <c r="L222" i="4" s="1"/>
  <c r="K221" i="4"/>
  <c r="M221" i="4"/>
  <c r="V222" i="3" l="1"/>
  <c r="W222" i="3" s="1"/>
  <c r="X222" i="3" s="1"/>
  <c r="Y222" i="3" s="1"/>
  <c r="Z222" i="3" s="1"/>
  <c r="AA222" i="3" s="1"/>
  <c r="AB222" i="3" s="1"/>
  <c r="M223" i="3" l="1"/>
  <c r="AC222" i="3"/>
  <c r="AD222" i="3" s="1"/>
  <c r="C222" i="4"/>
  <c r="H222" i="4" l="1"/>
  <c r="G222" i="4"/>
  <c r="I222" i="4" s="1"/>
  <c r="J222" i="4" s="1"/>
  <c r="N223" i="3"/>
  <c r="O223" i="3"/>
  <c r="AI223" i="3"/>
  <c r="P223" i="3" l="1"/>
  <c r="Q223" i="3" s="1"/>
  <c r="M222" i="4"/>
  <c r="K222" i="4"/>
  <c r="L223" i="4" l="1"/>
  <c r="V223" i="3"/>
  <c r="W223" i="3" l="1"/>
  <c r="X223" i="3" s="1"/>
  <c r="Y223" i="3" s="1"/>
  <c r="Z223" i="3" s="1"/>
  <c r="AA223" i="3" s="1"/>
  <c r="AB223" i="3" s="1"/>
  <c r="M224" i="3" l="1"/>
  <c r="C223" i="4"/>
  <c r="AC223" i="3"/>
  <c r="AD223" i="3" s="1"/>
  <c r="H223" i="4" l="1"/>
  <c r="G223" i="4"/>
  <c r="I223" i="4" s="1"/>
  <c r="J223" i="4" s="1"/>
  <c r="N224" i="3"/>
  <c r="O224" i="3"/>
  <c r="AI224" i="3"/>
  <c r="K223" i="4" l="1"/>
  <c r="M223" i="4"/>
  <c r="P224" i="3"/>
  <c r="Q224" i="3" s="1"/>
  <c r="L224" i="4" l="1"/>
  <c r="V224" i="3"/>
  <c r="W224" i="3" l="1"/>
  <c r="X224" i="3" s="1"/>
  <c r="Y224" i="3" s="1"/>
  <c r="Z224" i="3" s="1"/>
  <c r="AA224" i="3" s="1"/>
  <c r="AB224" i="3" s="1"/>
  <c r="AC224" i="3" l="1"/>
  <c r="AD224" i="3" s="1"/>
  <c r="M225" i="3"/>
  <c r="C224" i="4"/>
  <c r="G224" i="4" l="1"/>
  <c r="I224" i="4" s="1"/>
  <c r="J224" i="4" s="1"/>
  <c r="H224" i="4"/>
  <c r="AI225" i="3"/>
  <c r="N225" i="3"/>
  <c r="O225" i="3"/>
  <c r="P225" i="3" l="1"/>
  <c r="Q225" i="3" s="1"/>
  <c r="K224" i="4"/>
  <c r="M224" i="4"/>
  <c r="L225" i="4" l="1"/>
  <c r="V225" i="3"/>
  <c r="W225" i="3" l="1"/>
  <c r="X225" i="3" s="1"/>
  <c r="Y225" i="3" s="1"/>
  <c r="Z225" i="3" s="1"/>
  <c r="AA225" i="3" s="1"/>
  <c r="AB225" i="3" s="1"/>
  <c r="C225" i="4" l="1"/>
  <c r="M226" i="3"/>
  <c r="AC225" i="3"/>
  <c r="AD225" i="3" s="1"/>
  <c r="G225" i="4" l="1"/>
  <c r="I225" i="4" s="1"/>
  <c r="J225" i="4" s="1"/>
  <c r="H225" i="4"/>
  <c r="N226" i="3"/>
  <c r="O226" i="3"/>
  <c r="AI226" i="3"/>
  <c r="P226" i="3" l="1"/>
  <c r="Q226" i="3" s="1"/>
  <c r="L226" i="4" s="1"/>
  <c r="M225" i="4"/>
  <c r="K225" i="4"/>
  <c r="V226" i="3" l="1"/>
  <c r="W226" i="3" s="1"/>
  <c r="X226" i="3" s="1"/>
  <c r="Y226" i="3" s="1"/>
  <c r="Z226" i="3" s="1"/>
  <c r="AA226" i="3" s="1"/>
  <c r="AB226" i="3" s="1"/>
  <c r="M227" i="3" l="1"/>
  <c r="C226" i="4"/>
  <c r="AC226" i="3"/>
  <c r="AD226" i="3" s="1"/>
  <c r="H226" i="4" l="1"/>
  <c r="G226" i="4"/>
  <c r="I226" i="4" s="1"/>
  <c r="J226" i="4" s="1"/>
  <c r="AI227" i="3"/>
  <c r="O227" i="3"/>
  <c r="N227" i="3"/>
  <c r="P227" i="3" l="1"/>
  <c r="Q227" i="3" s="1"/>
  <c r="L227" i="4" s="1"/>
  <c r="M226" i="4"/>
  <c r="K226" i="4"/>
  <c r="V227" i="3" l="1"/>
  <c r="W227" i="3" s="1"/>
  <c r="X227" i="3" s="1"/>
  <c r="Y227" i="3" s="1"/>
  <c r="Z227" i="3" s="1"/>
  <c r="AA227" i="3" s="1"/>
  <c r="AB227" i="3" s="1"/>
  <c r="M228" i="3" l="1"/>
  <c r="AC227" i="3"/>
  <c r="AD227" i="3" s="1"/>
  <c r="C227" i="4"/>
  <c r="H227" i="4" l="1"/>
  <c r="G227" i="4"/>
  <c r="I227" i="4" s="1"/>
  <c r="J227" i="4" s="1"/>
  <c r="N228" i="3"/>
  <c r="O228" i="3"/>
  <c r="AI228" i="3"/>
  <c r="K227" i="4" l="1"/>
  <c r="M227" i="4"/>
  <c r="P228" i="3"/>
  <c r="Q228" i="3" s="1"/>
  <c r="L228" i="4" l="1"/>
  <c r="V228" i="3"/>
  <c r="W228" i="3" l="1"/>
  <c r="X228" i="3" s="1"/>
  <c r="Y228" i="3" s="1"/>
  <c r="Z228" i="3" s="1"/>
  <c r="AA228" i="3" s="1"/>
  <c r="AB228" i="3" s="1"/>
  <c r="M229" i="3" l="1"/>
  <c r="C228" i="4"/>
  <c r="AC228" i="3"/>
  <c r="AD228" i="3" s="1"/>
  <c r="H228" i="4" l="1"/>
  <c r="G228" i="4"/>
  <c r="I228" i="4" s="1"/>
  <c r="J228" i="4" s="1"/>
  <c r="AI229" i="3"/>
  <c r="O229" i="3"/>
  <c r="N229" i="3"/>
  <c r="P229" i="3" l="1"/>
  <c r="Q229" i="3" s="1"/>
  <c r="L229" i="4" s="1"/>
  <c r="M228" i="4"/>
  <c r="K228" i="4"/>
  <c r="V229" i="3" l="1"/>
  <c r="W229" i="3" s="1"/>
  <c r="X229" i="3" s="1"/>
  <c r="Y229" i="3" s="1"/>
  <c r="Z229" i="3" s="1"/>
  <c r="AA229" i="3" s="1"/>
  <c r="AB229" i="3" s="1"/>
  <c r="AC229" i="3" l="1"/>
  <c r="AD229" i="3" s="1"/>
  <c r="C229" i="4"/>
  <c r="M230" i="3"/>
  <c r="AI230" i="3" l="1"/>
  <c r="O230" i="3"/>
  <c r="N230" i="3"/>
  <c r="G229" i="4"/>
  <c r="I229" i="4" s="1"/>
  <c r="J229" i="4" s="1"/>
  <c r="H229" i="4"/>
  <c r="P230" i="3" l="1"/>
  <c r="Q230" i="3" s="1"/>
  <c r="L230" i="4" s="1"/>
  <c r="M229" i="4"/>
  <c r="K229" i="4"/>
  <c r="V230" i="3" l="1"/>
  <c r="W230" i="3" s="1"/>
  <c r="X230" i="3" s="1"/>
  <c r="Y230" i="3" s="1"/>
  <c r="Z230" i="3" s="1"/>
  <c r="AA230" i="3" s="1"/>
  <c r="AB230" i="3" s="1"/>
  <c r="C230" i="4" l="1"/>
  <c r="M231" i="3"/>
  <c r="AC230" i="3"/>
  <c r="AD230" i="3" s="1"/>
  <c r="O231" i="3" l="1"/>
  <c r="AI231" i="3"/>
  <c r="N231" i="3"/>
  <c r="H230" i="4"/>
  <c r="G230" i="4"/>
  <c r="I230" i="4" s="1"/>
  <c r="J230" i="4" s="1"/>
  <c r="P231" i="3" l="1"/>
  <c r="Q231" i="3" s="1"/>
  <c r="L231" i="4" s="1"/>
  <c r="K230" i="4"/>
  <c r="M230" i="4"/>
  <c r="V231" i="3" l="1"/>
  <c r="W231" i="3" s="1"/>
  <c r="X231" i="3" s="1"/>
  <c r="Y231" i="3" s="1"/>
  <c r="Z231" i="3" s="1"/>
  <c r="AA231" i="3" s="1"/>
  <c r="AB231" i="3" s="1"/>
  <c r="AC231" i="3" l="1"/>
  <c r="AD231" i="3" s="1"/>
  <c r="C231" i="4"/>
  <c r="M232" i="3"/>
  <c r="AI232" i="3" l="1"/>
  <c r="N232" i="3"/>
  <c r="O232" i="3"/>
  <c r="G231" i="4"/>
  <c r="I231" i="4" s="1"/>
  <c r="J231" i="4" s="1"/>
  <c r="H231" i="4"/>
  <c r="P232" i="3" l="1"/>
  <c r="Q232" i="3" s="1"/>
  <c r="L232" i="4" s="1"/>
  <c r="M231" i="4"/>
  <c r="K231" i="4"/>
  <c r="V232" i="3" l="1"/>
  <c r="W232" i="3" s="1"/>
  <c r="X232" i="3" s="1"/>
  <c r="Y232" i="3" s="1"/>
  <c r="Z232" i="3" s="1"/>
  <c r="AA232" i="3" s="1"/>
  <c r="AB232" i="3" s="1"/>
  <c r="C232" i="4" l="1"/>
  <c r="M233" i="3"/>
  <c r="AC232" i="3"/>
  <c r="AD232" i="3" s="1"/>
  <c r="N233" i="3" l="1"/>
  <c r="AI233" i="3"/>
  <c r="O233" i="3"/>
  <c r="H232" i="4"/>
  <c r="G232" i="4"/>
  <c r="I232" i="4" s="1"/>
  <c r="J232" i="4" s="1"/>
  <c r="K232" i="4" l="1"/>
  <c r="M232" i="4"/>
  <c r="P233" i="3"/>
  <c r="Q233" i="3" s="1"/>
  <c r="L233" i="4" l="1"/>
  <c r="V233" i="3"/>
  <c r="W233" i="3" l="1"/>
  <c r="X233" i="3" s="1"/>
  <c r="Y233" i="3" s="1"/>
  <c r="Z233" i="3" s="1"/>
  <c r="AA233" i="3" s="1"/>
  <c r="AB233" i="3" s="1"/>
  <c r="C233" i="4" l="1"/>
  <c r="AC233" i="3"/>
  <c r="AD233" i="3" s="1"/>
  <c r="M234" i="3"/>
  <c r="AI234" i="3" l="1"/>
  <c r="O234" i="3"/>
  <c r="N234" i="3"/>
  <c r="H233" i="4"/>
  <c r="G233" i="4"/>
  <c r="I233" i="4" s="1"/>
  <c r="J233" i="4" s="1"/>
  <c r="P234" i="3" l="1"/>
  <c r="Q234" i="3" s="1"/>
  <c r="L234" i="4" s="1"/>
  <c r="M233" i="4"/>
  <c r="K233" i="4"/>
  <c r="V234" i="3" l="1"/>
  <c r="W234" i="3" s="1"/>
  <c r="X234" i="3" s="1"/>
  <c r="Y234" i="3" s="1"/>
  <c r="Z234" i="3" s="1"/>
  <c r="AA234" i="3" s="1"/>
  <c r="AB234" i="3" s="1"/>
  <c r="M235" i="3" l="1"/>
  <c r="AC234" i="3"/>
  <c r="AD234" i="3" s="1"/>
  <c r="C234" i="4"/>
  <c r="H234" i="4" l="1"/>
  <c r="G234" i="4"/>
  <c r="I234" i="4" s="1"/>
  <c r="J234" i="4" s="1"/>
  <c r="AI235" i="3"/>
  <c r="O235" i="3"/>
  <c r="N235" i="3"/>
  <c r="P235" i="3" l="1"/>
  <c r="Q235" i="3" s="1"/>
  <c r="L235" i="4" s="1"/>
  <c r="K234" i="4"/>
  <c r="M234" i="4"/>
  <c r="V235" i="3" l="1"/>
  <c r="W235" i="3" s="1"/>
  <c r="X235" i="3" s="1"/>
  <c r="Y235" i="3" s="1"/>
  <c r="Z235" i="3" s="1"/>
  <c r="AA235" i="3" s="1"/>
  <c r="AB235" i="3" s="1"/>
  <c r="M236" i="3" l="1"/>
  <c r="AC235" i="3"/>
  <c r="AD235" i="3" s="1"/>
  <c r="C235" i="4"/>
  <c r="H235" i="4" l="1"/>
  <c r="G235" i="4"/>
  <c r="I235" i="4" s="1"/>
  <c r="J235" i="4" s="1"/>
  <c r="O236" i="3"/>
  <c r="AI236" i="3"/>
  <c r="N236" i="3"/>
  <c r="P236" i="3" l="1"/>
  <c r="Q236" i="3" s="1"/>
  <c r="L236" i="4" s="1"/>
  <c r="M235" i="4"/>
  <c r="K235" i="4"/>
  <c r="V236" i="3" l="1"/>
  <c r="W236" i="3" s="1"/>
  <c r="X236" i="3" s="1"/>
  <c r="Y236" i="3" s="1"/>
  <c r="Z236" i="3" s="1"/>
  <c r="AA236" i="3" s="1"/>
  <c r="AB236" i="3" s="1"/>
  <c r="M237" i="3" l="1"/>
  <c r="AC236" i="3"/>
  <c r="AD236" i="3" s="1"/>
  <c r="C236" i="4"/>
  <c r="H236" i="4" l="1"/>
  <c r="G236" i="4"/>
  <c r="I236" i="4" s="1"/>
  <c r="J236" i="4" s="1"/>
  <c r="AI237" i="3"/>
  <c r="N237" i="3"/>
  <c r="O237" i="3"/>
  <c r="P237" i="3" l="1"/>
  <c r="Q237" i="3" s="1"/>
  <c r="L237" i="4" s="1"/>
  <c r="K236" i="4"/>
  <c r="M236" i="4"/>
  <c r="V237" i="3" l="1"/>
  <c r="W237" i="3" s="1"/>
  <c r="X237" i="3" s="1"/>
  <c r="Y237" i="3" s="1"/>
  <c r="Z237" i="3" s="1"/>
  <c r="AA237" i="3" s="1"/>
  <c r="AB237" i="3" s="1"/>
  <c r="C237" i="4" l="1"/>
  <c r="M238" i="3"/>
  <c r="AC237" i="3"/>
  <c r="AD237" i="3" s="1"/>
  <c r="G237" i="4" l="1"/>
  <c r="I237" i="4" s="1"/>
  <c r="J237" i="4" s="1"/>
  <c r="H237" i="4"/>
  <c r="AI238" i="3"/>
  <c r="N238" i="3"/>
  <c r="O238" i="3"/>
  <c r="P238" i="3" l="1"/>
  <c r="Q238" i="3" s="1"/>
  <c r="K237" i="4"/>
  <c r="M237" i="4"/>
  <c r="L238" i="4" l="1"/>
  <c r="C30" i="5" s="1"/>
  <c r="N30" i="5" s="1"/>
  <c r="V238" i="3"/>
  <c r="W238" i="3" l="1"/>
  <c r="X238" i="3" s="1"/>
  <c r="Y238" i="3" s="1"/>
  <c r="Z238" i="3" s="1"/>
  <c r="AA238" i="3" s="1"/>
  <c r="AB238" i="3" s="1"/>
  <c r="AC238" i="3" l="1"/>
  <c r="AD238" i="3" s="1"/>
  <c r="C238" i="4"/>
  <c r="M239" i="3"/>
  <c r="O239" i="3" l="1"/>
  <c r="N239" i="3"/>
  <c r="AI239" i="3"/>
  <c r="H238" i="4"/>
  <c r="G238" i="4"/>
  <c r="I238" i="4" s="1"/>
  <c r="J238" i="4" s="1"/>
  <c r="P239" i="3" l="1"/>
  <c r="Q239" i="3" s="1"/>
  <c r="L239" i="4" s="1"/>
  <c r="K238" i="4"/>
  <c r="E30" i="5" s="1"/>
  <c r="D30" i="5"/>
  <c r="M238" i="4"/>
  <c r="V239" i="3" l="1"/>
  <c r="W239" i="3" s="1"/>
  <c r="X239" i="3" s="1"/>
  <c r="Y239" i="3" s="1"/>
  <c r="Z239" i="3" s="1"/>
  <c r="AA239" i="3" s="1"/>
  <c r="AB239" i="3" s="1"/>
  <c r="AC239" i="3" l="1"/>
  <c r="AD239" i="3" s="1"/>
  <c r="M240" i="3"/>
  <c r="C239" i="4"/>
  <c r="H239" i="4" l="1"/>
  <c r="G239" i="4"/>
  <c r="I239" i="4" s="1"/>
  <c r="J239" i="4" s="1"/>
  <c r="O240" i="3"/>
  <c r="AI240" i="3"/>
  <c r="N240" i="3"/>
  <c r="P240" i="3" l="1"/>
  <c r="Q240" i="3" s="1"/>
  <c r="L240" i="4" s="1"/>
  <c r="M239" i="4"/>
  <c r="K239" i="4"/>
  <c r="V240" i="3" l="1"/>
  <c r="W240" i="3" s="1"/>
  <c r="X240" i="3" s="1"/>
  <c r="Y240" i="3" s="1"/>
  <c r="Z240" i="3" s="1"/>
  <c r="AA240" i="3" s="1"/>
  <c r="AB240" i="3" s="1"/>
  <c r="M241" i="3" l="1"/>
  <c r="AC240" i="3"/>
  <c r="AD240" i="3" s="1"/>
  <c r="C240" i="4"/>
  <c r="H240" i="4" l="1"/>
  <c r="G240" i="4"/>
  <c r="I240" i="4" s="1"/>
  <c r="J240" i="4" s="1"/>
  <c r="AI241" i="3"/>
  <c r="O241" i="3"/>
  <c r="N241" i="3"/>
  <c r="P241" i="3" l="1"/>
  <c r="Q241" i="3" s="1"/>
  <c r="L241" i="4" s="1"/>
  <c r="K240" i="4"/>
  <c r="M240" i="4"/>
  <c r="V241" i="3" l="1"/>
  <c r="W241" i="3" s="1"/>
  <c r="X241" i="3" s="1"/>
  <c r="Y241" i="3" s="1"/>
  <c r="Z241" i="3" s="1"/>
  <c r="AA241" i="3" s="1"/>
  <c r="AB241" i="3" s="1"/>
  <c r="C241" i="4" l="1"/>
  <c r="AC241" i="3"/>
  <c r="AD241" i="3" s="1"/>
  <c r="M242" i="3"/>
  <c r="AI242" i="3" l="1"/>
  <c r="O242" i="3"/>
  <c r="N242" i="3"/>
  <c r="G241" i="4"/>
  <c r="I241" i="4" s="1"/>
  <c r="J241" i="4" s="1"/>
  <c r="H241" i="4"/>
  <c r="P242" i="3" l="1"/>
  <c r="Q242" i="3" s="1"/>
  <c r="L242" i="4" s="1"/>
  <c r="M241" i="4"/>
  <c r="K241" i="4"/>
  <c r="V242" i="3" l="1"/>
  <c r="W242" i="3" s="1"/>
  <c r="X242" i="3" s="1"/>
  <c r="Y242" i="3" s="1"/>
  <c r="Z242" i="3" s="1"/>
  <c r="AA242" i="3" s="1"/>
  <c r="AB242" i="3" s="1"/>
  <c r="AC242" i="3" l="1"/>
  <c r="AD242" i="3" s="1"/>
  <c r="M243" i="3"/>
  <c r="C242" i="4"/>
  <c r="H242" i="4" l="1"/>
  <c r="G242" i="4"/>
  <c r="I242" i="4" s="1"/>
  <c r="J242" i="4" s="1"/>
  <c r="N243" i="3"/>
  <c r="O243" i="3"/>
  <c r="AI243" i="3"/>
  <c r="M242" i="4" l="1"/>
  <c r="K242" i="4"/>
  <c r="P243" i="3"/>
  <c r="Q243" i="3" s="1"/>
  <c r="L243" i="4" l="1"/>
  <c r="V243" i="3"/>
  <c r="W243" i="3" l="1"/>
  <c r="X243" i="3" s="1"/>
  <c r="Y243" i="3" s="1"/>
  <c r="Z243" i="3" s="1"/>
  <c r="AA243" i="3" s="1"/>
  <c r="AB243" i="3" s="1"/>
  <c r="AC243" i="3" l="1"/>
  <c r="AD243" i="3" s="1"/>
  <c r="M244" i="3"/>
  <c r="C243" i="4"/>
  <c r="H243" i="4" l="1"/>
  <c r="G243" i="4"/>
  <c r="I243" i="4" s="1"/>
  <c r="J243" i="4" s="1"/>
  <c r="O244" i="3"/>
  <c r="AI244" i="3"/>
  <c r="N244" i="3"/>
  <c r="P244" i="3" l="1"/>
  <c r="Q244" i="3" s="1"/>
  <c r="L244" i="4" s="1"/>
  <c r="M243" i="4"/>
  <c r="K243" i="4"/>
  <c r="V244" i="3" l="1"/>
  <c r="W244" i="3" s="1"/>
  <c r="X244" i="3" s="1"/>
  <c r="Y244" i="3" s="1"/>
  <c r="Z244" i="3" s="1"/>
  <c r="AA244" i="3" s="1"/>
  <c r="AB244" i="3" s="1"/>
  <c r="AC244" i="3" l="1"/>
  <c r="AD244" i="3" s="1"/>
  <c r="C244" i="4"/>
  <c r="M245" i="3"/>
  <c r="G244" i="4" l="1"/>
  <c r="I244" i="4" s="1"/>
  <c r="J244" i="4" s="1"/>
  <c r="H244" i="4"/>
  <c r="N245" i="3"/>
  <c r="O245" i="3"/>
  <c r="AI245" i="3"/>
  <c r="P245" i="3" l="1"/>
  <c r="Q245" i="3" s="1"/>
  <c r="L245" i="4" s="1"/>
  <c r="M244" i="4"/>
  <c r="K244" i="4"/>
  <c r="V245" i="3" l="1"/>
  <c r="W245" i="3" s="1"/>
  <c r="X245" i="3" s="1"/>
  <c r="Y245" i="3" s="1"/>
  <c r="Z245" i="3" s="1"/>
  <c r="AA245" i="3" s="1"/>
  <c r="AB245" i="3" s="1"/>
  <c r="AC245" i="3" l="1"/>
  <c r="AD245" i="3" s="1"/>
  <c r="C245" i="4"/>
  <c r="M246" i="3"/>
  <c r="N246" i="3" l="1"/>
  <c r="O246" i="3"/>
  <c r="AI246" i="3"/>
  <c r="H245" i="4"/>
  <c r="G245" i="4"/>
  <c r="I245" i="4" s="1"/>
  <c r="J245" i="4" s="1"/>
  <c r="P246" i="3" l="1"/>
  <c r="Q246" i="3" s="1"/>
  <c r="L246" i="4" s="1"/>
  <c r="K245" i="4"/>
  <c r="M245" i="4"/>
  <c r="V246" i="3" l="1"/>
  <c r="W246" i="3" s="1"/>
  <c r="X246" i="3" s="1"/>
  <c r="Y246" i="3" s="1"/>
  <c r="Z246" i="3" s="1"/>
  <c r="AA246" i="3" s="1"/>
  <c r="AB246" i="3" s="1"/>
  <c r="AC246" i="3" l="1"/>
  <c r="AD246" i="3" s="1"/>
  <c r="M247" i="3"/>
  <c r="C246" i="4"/>
  <c r="G246" i="4" l="1"/>
  <c r="I246" i="4" s="1"/>
  <c r="J246" i="4" s="1"/>
  <c r="H246" i="4"/>
  <c r="AI247" i="3"/>
  <c r="O247" i="3"/>
  <c r="N247" i="3"/>
  <c r="P247" i="3" l="1"/>
  <c r="Q247" i="3" s="1"/>
  <c r="L247" i="4" s="1"/>
  <c r="K246" i="4"/>
  <c r="M246" i="4"/>
  <c r="V247" i="3" l="1"/>
  <c r="W247" i="3" s="1"/>
  <c r="X247" i="3" s="1"/>
  <c r="Y247" i="3" s="1"/>
  <c r="Z247" i="3" s="1"/>
  <c r="AA247" i="3" s="1"/>
  <c r="AB247" i="3" s="1"/>
  <c r="AC247" i="3" l="1"/>
  <c r="AD247" i="3" s="1"/>
  <c r="M248" i="3"/>
  <c r="C247" i="4"/>
  <c r="G247" i="4" l="1"/>
  <c r="I247" i="4" s="1"/>
  <c r="J247" i="4" s="1"/>
  <c r="H247" i="4"/>
  <c r="AI248" i="3"/>
  <c r="O248" i="3"/>
  <c r="N248" i="3"/>
  <c r="P248" i="3" l="1"/>
  <c r="Q248" i="3" s="1"/>
  <c r="L248" i="4" s="1"/>
  <c r="M247" i="4"/>
  <c r="K247" i="4"/>
  <c r="V248" i="3" l="1"/>
  <c r="W248" i="3" s="1"/>
  <c r="X248" i="3" s="1"/>
  <c r="Y248" i="3" s="1"/>
  <c r="Z248" i="3" s="1"/>
  <c r="AA248" i="3" s="1"/>
  <c r="AB248" i="3" s="1"/>
  <c r="C248" i="4" l="1"/>
  <c r="M249" i="3"/>
  <c r="AC248" i="3"/>
  <c r="AD248" i="3" s="1"/>
  <c r="N249" i="3" l="1"/>
  <c r="AI249" i="3"/>
  <c r="O249" i="3"/>
  <c r="H248" i="4"/>
  <c r="G248" i="4"/>
  <c r="I248" i="4" s="1"/>
  <c r="J248" i="4" s="1"/>
  <c r="P249" i="3" l="1"/>
  <c r="Q249" i="3" s="1"/>
  <c r="L249" i="4" s="1"/>
  <c r="K248" i="4"/>
  <c r="M248" i="4"/>
  <c r="V249" i="3" l="1"/>
  <c r="W249" i="3" s="1"/>
  <c r="X249" i="3" s="1"/>
  <c r="Y249" i="3" s="1"/>
  <c r="Z249" i="3" s="1"/>
  <c r="AA249" i="3" s="1"/>
  <c r="AB249" i="3" s="1"/>
  <c r="C249" i="4" l="1"/>
  <c r="M250" i="3"/>
  <c r="AC249" i="3"/>
  <c r="AD249" i="3" s="1"/>
  <c r="AI250" i="3" l="1"/>
  <c r="O250" i="3"/>
  <c r="N250" i="3"/>
  <c r="H249" i="4"/>
  <c r="G249" i="4"/>
  <c r="I249" i="4" s="1"/>
  <c r="J249" i="4" s="1"/>
  <c r="P250" i="3" l="1"/>
  <c r="Q250" i="3" s="1"/>
  <c r="L250" i="4" s="1"/>
  <c r="K249" i="4"/>
  <c r="M249" i="4"/>
  <c r="V250" i="3" l="1"/>
  <c r="W250" i="3" s="1"/>
  <c r="X250" i="3" s="1"/>
  <c r="Y250" i="3" s="1"/>
  <c r="Z250" i="3" s="1"/>
  <c r="AA250" i="3" s="1"/>
  <c r="AB250" i="3" s="1"/>
  <c r="C250" i="4" l="1"/>
  <c r="M251" i="3"/>
  <c r="AC250" i="3"/>
  <c r="AD250" i="3" s="1"/>
  <c r="O251" i="3" l="1"/>
  <c r="AI251" i="3"/>
  <c r="N251" i="3"/>
  <c r="G250" i="4"/>
  <c r="I250" i="4" s="1"/>
  <c r="J250" i="4" s="1"/>
  <c r="H250" i="4"/>
  <c r="P251" i="3" l="1"/>
  <c r="Q251" i="3" s="1"/>
  <c r="L251" i="4" s="1"/>
  <c r="K250" i="4"/>
  <c r="M250" i="4"/>
  <c r="V251" i="3" l="1"/>
  <c r="W251" i="3" s="1"/>
  <c r="X251" i="3" s="1"/>
  <c r="Y251" i="3" s="1"/>
  <c r="Z251" i="3" s="1"/>
  <c r="AA251" i="3" s="1"/>
  <c r="AB251" i="3" s="1"/>
  <c r="M252" i="3" l="1"/>
  <c r="C251" i="4"/>
  <c r="AC251" i="3"/>
  <c r="AD251" i="3" s="1"/>
  <c r="G251" i="4" l="1"/>
  <c r="I251" i="4" s="1"/>
  <c r="J251" i="4" s="1"/>
  <c r="H251" i="4"/>
  <c r="N252" i="3"/>
  <c r="O252" i="3"/>
  <c r="AI252" i="3"/>
  <c r="P252" i="3" l="1"/>
  <c r="Q252" i="3" s="1"/>
  <c r="L252" i="4" s="1"/>
  <c r="M251" i="4"/>
  <c r="K251" i="4"/>
  <c r="V252" i="3" l="1"/>
  <c r="W252" i="3" s="1"/>
  <c r="X252" i="3" s="1"/>
  <c r="Y252" i="3" s="1"/>
  <c r="Z252" i="3" s="1"/>
  <c r="AA252" i="3" s="1"/>
  <c r="AB252" i="3" s="1"/>
  <c r="AC252" i="3" l="1"/>
  <c r="AD252" i="3" s="1"/>
  <c r="M253" i="3"/>
  <c r="C252" i="4"/>
  <c r="H252" i="4" l="1"/>
  <c r="G252" i="4"/>
  <c r="I252" i="4" s="1"/>
  <c r="J252" i="4" s="1"/>
  <c r="N253" i="3"/>
  <c r="O253" i="3"/>
  <c r="AI253" i="3"/>
  <c r="K252" i="4" l="1"/>
  <c r="M252" i="4"/>
  <c r="P253" i="3"/>
  <c r="Q253" i="3" s="1"/>
  <c r="L253" i="4" l="1"/>
  <c r="V253" i="3"/>
  <c r="W253" i="3" l="1"/>
  <c r="X253" i="3" s="1"/>
  <c r="Y253" i="3" s="1"/>
  <c r="Z253" i="3" s="1"/>
  <c r="AA253" i="3" s="1"/>
  <c r="AB253" i="3" s="1"/>
  <c r="C253" i="4" l="1"/>
  <c r="M254" i="3"/>
  <c r="AC253" i="3"/>
  <c r="AD253" i="3" s="1"/>
  <c r="N254" i="3" l="1"/>
  <c r="AI254" i="3"/>
  <c r="O254" i="3"/>
  <c r="H253" i="4"/>
  <c r="G253" i="4"/>
  <c r="I253" i="4" s="1"/>
  <c r="J253" i="4" s="1"/>
  <c r="K253" i="4" l="1"/>
  <c r="M253" i="4"/>
  <c r="P254" i="3"/>
  <c r="Q254" i="3" s="1"/>
  <c r="L254" i="4" l="1"/>
  <c r="V254" i="3"/>
  <c r="W254" i="3" l="1"/>
  <c r="X254" i="3" s="1"/>
  <c r="Y254" i="3" s="1"/>
  <c r="Z254" i="3" s="1"/>
  <c r="AA254" i="3" s="1"/>
  <c r="AB254" i="3" s="1"/>
  <c r="AC254" i="3" l="1"/>
  <c r="AD254" i="3" s="1"/>
  <c r="M255" i="3"/>
  <c r="C254" i="4"/>
  <c r="H254" i="4" l="1"/>
  <c r="G254" i="4"/>
  <c r="I254" i="4" s="1"/>
  <c r="J254" i="4" s="1"/>
  <c r="O255" i="3"/>
  <c r="N255" i="3"/>
  <c r="AI255" i="3"/>
  <c r="P255" i="3" l="1"/>
  <c r="Q255" i="3" s="1"/>
  <c r="L255" i="4" s="1"/>
  <c r="K254" i="4"/>
  <c r="M254" i="4"/>
  <c r="V255" i="3" l="1"/>
  <c r="W255" i="3" s="1"/>
  <c r="X255" i="3" s="1"/>
  <c r="Y255" i="3" s="1"/>
  <c r="Z255" i="3" s="1"/>
  <c r="AA255" i="3" s="1"/>
  <c r="AB255" i="3" s="1"/>
  <c r="M256" i="3" l="1"/>
  <c r="AC255" i="3"/>
  <c r="AD255" i="3" s="1"/>
  <c r="C255" i="4"/>
  <c r="H255" i="4" l="1"/>
  <c r="G255" i="4"/>
  <c r="I255" i="4" s="1"/>
  <c r="J255" i="4" s="1"/>
  <c r="AI256" i="3"/>
  <c r="N256" i="3"/>
  <c r="O256" i="3"/>
  <c r="P256" i="3" l="1"/>
  <c r="Q256" i="3" s="1"/>
  <c r="L256" i="4" s="1"/>
  <c r="M255" i="4"/>
  <c r="K255" i="4"/>
  <c r="V256" i="3" l="1"/>
  <c r="W256" i="3" s="1"/>
  <c r="X256" i="3" s="1"/>
  <c r="Y256" i="3" s="1"/>
  <c r="Z256" i="3" s="1"/>
  <c r="AA256" i="3" s="1"/>
  <c r="AB256" i="3" s="1"/>
  <c r="AC256" i="3" l="1"/>
  <c r="AD256" i="3" s="1"/>
  <c r="C256" i="4"/>
  <c r="M257" i="3"/>
  <c r="AI257" i="3" l="1"/>
  <c r="O257" i="3"/>
  <c r="N257" i="3"/>
  <c r="H256" i="4"/>
  <c r="G256" i="4"/>
  <c r="I256" i="4" s="1"/>
  <c r="J256" i="4" s="1"/>
  <c r="P257" i="3" l="1"/>
  <c r="Q257" i="3" s="1"/>
  <c r="L257" i="4" s="1"/>
  <c r="M256" i="4"/>
  <c r="K256" i="4"/>
  <c r="V257" i="3" l="1"/>
  <c r="W257" i="3" s="1"/>
  <c r="X257" i="3" s="1"/>
  <c r="Y257" i="3" s="1"/>
  <c r="Z257" i="3" s="1"/>
  <c r="AA257" i="3" s="1"/>
  <c r="AB257" i="3" s="1"/>
  <c r="M258" i="3" l="1"/>
  <c r="AC257" i="3"/>
  <c r="AD257" i="3" s="1"/>
  <c r="C257" i="4"/>
  <c r="H257" i="4" l="1"/>
  <c r="G257" i="4"/>
  <c r="I257" i="4" s="1"/>
  <c r="J257" i="4" s="1"/>
  <c r="N258" i="3"/>
  <c r="O258" i="3"/>
  <c r="AI258" i="3"/>
  <c r="P258" i="3" l="1"/>
  <c r="Q258" i="3" s="1"/>
  <c r="L258" i="4" s="1"/>
  <c r="K257" i="4"/>
  <c r="M257" i="4"/>
  <c r="V258" i="3" l="1"/>
  <c r="W258" i="3" s="1"/>
  <c r="X258" i="3" s="1"/>
  <c r="Y258" i="3" s="1"/>
  <c r="Z258" i="3" s="1"/>
  <c r="AA258" i="3" s="1"/>
  <c r="AB258" i="3" s="1"/>
  <c r="C258" i="4" l="1"/>
  <c r="AC258" i="3"/>
  <c r="AD258" i="3" s="1"/>
  <c r="M259" i="3"/>
  <c r="O259" i="3" l="1"/>
  <c r="AI259" i="3"/>
  <c r="N259" i="3"/>
  <c r="H258" i="4"/>
  <c r="G258" i="4"/>
  <c r="I258" i="4" s="1"/>
  <c r="J258" i="4" s="1"/>
  <c r="P259" i="3" l="1"/>
  <c r="Q259" i="3" s="1"/>
  <c r="L259" i="4" s="1"/>
  <c r="M258" i="4"/>
  <c r="K258" i="4"/>
  <c r="V259" i="3" l="1"/>
  <c r="W259" i="3" s="1"/>
  <c r="X259" i="3" s="1"/>
  <c r="Y259" i="3" s="1"/>
  <c r="Z259" i="3" s="1"/>
  <c r="AA259" i="3" s="1"/>
  <c r="AB259" i="3" s="1"/>
  <c r="M260" i="3" l="1"/>
  <c r="AC259" i="3"/>
  <c r="AD259" i="3" s="1"/>
  <c r="C259" i="4"/>
  <c r="G259" i="4" l="1"/>
  <c r="I259" i="4" s="1"/>
  <c r="J259" i="4" s="1"/>
  <c r="H259" i="4"/>
  <c r="O260" i="3"/>
  <c r="N260" i="3"/>
  <c r="AI260" i="3"/>
  <c r="P260" i="3" l="1"/>
  <c r="Q260" i="3" s="1"/>
  <c r="M259" i="4"/>
  <c r="K259" i="4"/>
  <c r="L260" i="4" l="1"/>
  <c r="V260" i="3"/>
  <c r="W260" i="3" l="1"/>
  <c r="X260" i="3" s="1"/>
  <c r="Y260" i="3" s="1"/>
  <c r="Z260" i="3" s="1"/>
  <c r="AA260" i="3" s="1"/>
  <c r="AB260" i="3" s="1"/>
  <c r="C260" i="4" l="1"/>
  <c r="AC260" i="3"/>
  <c r="AD260" i="3" s="1"/>
  <c r="M261" i="3"/>
  <c r="O261" i="3" l="1"/>
  <c r="N261" i="3"/>
  <c r="AI261" i="3"/>
  <c r="G260" i="4"/>
  <c r="I260" i="4" s="1"/>
  <c r="J260" i="4" s="1"/>
  <c r="H260" i="4"/>
  <c r="P261" i="3" l="1"/>
  <c r="Q261" i="3" s="1"/>
  <c r="L261" i="4" s="1"/>
  <c r="M260" i="4"/>
  <c r="K260" i="4"/>
  <c r="V261" i="3" l="1"/>
  <c r="W261" i="3" s="1"/>
  <c r="X261" i="3" s="1"/>
  <c r="Y261" i="3" s="1"/>
  <c r="Z261" i="3" s="1"/>
  <c r="AA261" i="3" s="1"/>
  <c r="AB261" i="3" s="1"/>
  <c r="M262" i="3" l="1"/>
  <c r="C261" i="4"/>
  <c r="AC261" i="3"/>
  <c r="AD261" i="3" s="1"/>
  <c r="H261" i="4" l="1"/>
  <c r="G261" i="4"/>
  <c r="I261" i="4" s="1"/>
  <c r="J261" i="4" s="1"/>
  <c r="N262" i="3"/>
  <c r="O262" i="3"/>
  <c r="AI262" i="3"/>
  <c r="P262" i="3" l="1"/>
  <c r="Q262" i="3" s="1"/>
  <c r="M261" i="4"/>
  <c r="K261" i="4"/>
  <c r="L262" i="4" l="1"/>
  <c r="V262" i="3"/>
  <c r="W262" i="3" l="1"/>
  <c r="X262" i="3" s="1"/>
  <c r="Y262" i="3" s="1"/>
  <c r="Z262" i="3" s="1"/>
  <c r="AA262" i="3" s="1"/>
  <c r="AB262" i="3" s="1"/>
  <c r="M263" i="3" l="1"/>
  <c r="C262" i="4"/>
  <c r="AC262" i="3"/>
  <c r="AD262" i="3" s="1"/>
  <c r="G262" i="4" l="1"/>
  <c r="I262" i="4" s="1"/>
  <c r="J262" i="4" s="1"/>
  <c r="H262" i="4"/>
  <c r="O263" i="3"/>
  <c r="AI263" i="3"/>
  <c r="N263" i="3"/>
  <c r="P263" i="3" l="1"/>
  <c r="Q263" i="3" s="1"/>
  <c r="L263" i="4" s="1"/>
  <c r="M262" i="4"/>
  <c r="K262" i="4"/>
  <c r="V263" i="3" l="1"/>
  <c r="W263" i="3" s="1"/>
  <c r="X263" i="3" s="1"/>
  <c r="Y263" i="3" s="1"/>
  <c r="Z263" i="3" s="1"/>
  <c r="AA263" i="3" s="1"/>
  <c r="AB263" i="3" s="1"/>
  <c r="C263" i="4" l="1"/>
  <c r="AC263" i="3"/>
  <c r="AD263" i="3" s="1"/>
  <c r="M264" i="3"/>
  <c r="AI264" i="3" l="1"/>
  <c r="O264" i="3"/>
  <c r="N264" i="3"/>
  <c r="G263" i="4"/>
  <c r="I263" i="4" s="1"/>
  <c r="J263" i="4" s="1"/>
  <c r="H263" i="4"/>
  <c r="P264" i="3" l="1"/>
  <c r="Q264" i="3" s="1"/>
  <c r="L264" i="4" s="1"/>
  <c r="M263" i="4"/>
  <c r="K263" i="4"/>
  <c r="V264" i="3" l="1"/>
  <c r="W264" i="3" s="1"/>
  <c r="X264" i="3" s="1"/>
  <c r="Y264" i="3" s="1"/>
  <c r="Z264" i="3" s="1"/>
  <c r="AA264" i="3" s="1"/>
  <c r="AB264" i="3" s="1"/>
  <c r="C264" i="4" l="1"/>
  <c r="AC264" i="3"/>
  <c r="AD264" i="3" s="1"/>
  <c r="M265" i="3"/>
  <c r="N265" i="3" l="1"/>
  <c r="O265" i="3"/>
  <c r="AI265" i="3"/>
  <c r="G264" i="4"/>
  <c r="I264" i="4" s="1"/>
  <c r="J264" i="4" s="1"/>
  <c r="H264" i="4"/>
  <c r="K264" i="4" l="1"/>
  <c r="M264" i="4"/>
  <c r="P265" i="3"/>
  <c r="Q265" i="3" s="1"/>
  <c r="L265" i="4" l="1"/>
  <c r="V265" i="3"/>
  <c r="W265" i="3" l="1"/>
  <c r="X265" i="3" s="1"/>
  <c r="Y265" i="3" s="1"/>
  <c r="Z265" i="3" s="1"/>
  <c r="AA265" i="3" s="1"/>
  <c r="AB265" i="3" s="1"/>
  <c r="C265" i="4" l="1"/>
  <c r="AC265" i="3"/>
  <c r="AD265" i="3" s="1"/>
  <c r="M266" i="3"/>
  <c r="N266" i="3" l="1"/>
  <c r="AI266" i="3"/>
  <c r="O266" i="3"/>
  <c r="H265" i="4"/>
  <c r="G265" i="4"/>
  <c r="I265" i="4" s="1"/>
  <c r="J265" i="4" s="1"/>
  <c r="P266" i="3" l="1"/>
  <c r="Q266" i="3" s="1"/>
  <c r="V266" i="3" s="1"/>
  <c r="M265" i="4"/>
  <c r="K265" i="4"/>
  <c r="L266" i="4" l="1"/>
  <c r="W266" i="3"/>
  <c r="X266" i="3" s="1"/>
  <c r="Y266" i="3" s="1"/>
  <c r="Z266" i="3" s="1"/>
  <c r="AA266" i="3" s="1"/>
  <c r="AB266" i="3" s="1"/>
  <c r="C266" i="4" l="1"/>
  <c r="M267" i="3"/>
  <c r="AC266" i="3"/>
  <c r="AD266" i="3" s="1"/>
  <c r="N267" i="3" l="1"/>
  <c r="O267" i="3"/>
  <c r="AI267" i="3"/>
  <c r="G266" i="4"/>
  <c r="I266" i="4" s="1"/>
  <c r="J266" i="4" s="1"/>
  <c r="H266" i="4"/>
  <c r="P267" i="3" l="1"/>
  <c r="Q267" i="3" s="1"/>
  <c r="L267" i="4" s="1"/>
  <c r="M266" i="4"/>
  <c r="K266" i="4"/>
  <c r="V267" i="3" l="1"/>
  <c r="W267" i="3" s="1"/>
  <c r="X267" i="3" s="1"/>
  <c r="Y267" i="3" s="1"/>
  <c r="Z267" i="3" s="1"/>
  <c r="AA267" i="3" s="1"/>
  <c r="AB267" i="3" s="1"/>
  <c r="AC267" i="3" l="1"/>
  <c r="AD267" i="3" s="1"/>
  <c r="M268" i="3"/>
  <c r="C267" i="4"/>
  <c r="H267" i="4" l="1"/>
  <c r="G267" i="4"/>
  <c r="I267" i="4" s="1"/>
  <c r="J267" i="4" s="1"/>
  <c r="AI268" i="3"/>
  <c r="O268" i="3"/>
  <c r="N268" i="3"/>
  <c r="P268" i="3" l="1"/>
  <c r="Q268" i="3" s="1"/>
  <c r="L268" i="4" s="1"/>
  <c r="K267" i="4"/>
  <c r="M267" i="4"/>
  <c r="V268" i="3" l="1"/>
  <c r="W268" i="3" s="1"/>
  <c r="X268" i="3" s="1"/>
  <c r="Y268" i="3" s="1"/>
  <c r="Z268" i="3" s="1"/>
  <c r="AA268" i="3" s="1"/>
  <c r="AB268" i="3" s="1"/>
  <c r="M269" i="3" l="1"/>
  <c r="AC268" i="3"/>
  <c r="AD268" i="3" s="1"/>
  <c r="C268" i="4"/>
  <c r="H268" i="4" l="1"/>
  <c r="G268" i="4"/>
  <c r="I268" i="4" s="1"/>
  <c r="J268" i="4" s="1"/>
  <c r="O269" i="3"/>
  <c r="N269" i="3"/>
  <c r="AI269" i="3"/>
  <c r="P269" i="3" l="1"/>
  <c r="Q269" i="3" s="1"/>
  <c r="L269" i="4" s="1"/>
  <c r="K268" i="4"/>
  <c r="M268" i="4"/>
  <c r="V269" i="3" l="1"/>
  <c r="W269" i="3" s="1"/>
  <c r="X269" i="3" s="1"/>
  <c r="Y269" i="3" s="1"/>
  <c r="Z269" i="3" s="1"/>
  <c r="AA269" i="3" s="1"/>
  <c r="AB269" i="3" s="1"/>
  <c r="M270" i="3" l="1"/>
  <c r="C269" i="4"/>
  <c r="AC269" i="3"/>
  <c r="AD269" i="3" s="1"/>
  <c r="G269" i="4" l="1"/>
  <c r="I269" i="4" s="1"/>
  <c r="J269" i="4" s="1"/>
  <c r="H269" i="4"/>
  <c r="AI270" i="3"/>
  <c r="N270" i="3"/>
  <c r="O270" i="3"/>
  <c r="P270" i="3" l="1"/>
  <c r="Q270" i="3" s="1"/>
  <c r="L270" i="4" s="1"/>
  <c r="M269" i="4"/>
  <c r="K269" i="4"/>
  <c r="V270" i="3" l="1"/>
  <c r="W270" i="3" s="1"/>
  <c r="X270" i="3" s="1"/>
  <c r="Y270" i="3" s="1"/>
  <c r="Z270" i="3" s="1"/>
  <c r="AA270" i="3" s="1"/>
  <c r="AB270" i="3" s="1"/>
  <c r="C270" i="4" l="1"/>
  <c r="M271" i="3"/>
  <c r="AC270" i="3"/>
  <c r="AD270" i="3" s="1"/>
  <c r="N271" i="3" l="1"/>
  <c r="O271" i="3"/>
  <c r="AI271" i="3"/>
  <c r="H270" i="4"/>
  <c r="G270" i="4"/>
  <c r="I270" i="4" s="1"/>
  <c r="J270" i="4" s="1"/>
  <c r="K270" i="4" l="1"/>
  <c r="M270" i="4"/>
  <c r="P271" i="3"/>
  <c r="Q271" i="3" s="1"/>
  <c r="L271" i="4" l="1"/>
  <c r="V271" i="3"/>
  <c r="W271" i="3" l="1"/>
  <c r="X271" i="3" s="1"/>
  <c r="Y271" i="3" s="1"/>
  <c r="Z271" i="3" s="1"/>
  <c r="AA271" i="3" s="1"/>
  <c r="AB271" i="3" s="1"/>
  <c r="M272" i="3" l="1"/>
  <c r="AC271" i="3"/>
  <c r="AD271" i="3" s="1"/>
  <c r="C271" i="4"/>
  <c r="H271" i="4" l="1"/>
  <c r="G271" i="4"/>
  <c r="I271" i="4" s="1"/>
  <c r="J271" i="4" s="1"/>
  <c r="AI272" i="3"/>
  <c r="O272" i="3"/>
  <c r="N272" i="3"/>
  <c r="P272" i="3" l="1"/>
  <c r="Q272" i="3" s="1"/>
  <c r="L272" i="4" s="1"/>
  <c r="K271" i="4"/>
  <c r="M271" i="4"/>
  <c r="V272" i="3" l="1"/>
  <c r="W272" i="3" s="1"/>
  <c r="X272" i="3" s="1"/>
  <c r="Y272" i="3" s="1"/>
  <c r="Z272" i="3" s="1"/>
  <c r="AA272" i="3" s="1"/>
  <c r="AB272" i="3" s="1"/>
  <c r="M273" i="3" l="1"/>
  <c r="C272" i="4"/>
  <c r="AC272" i="3"/>
  <c r="AD272" i="3" s="1"/>
  <c r="G272" i="4" l="1"/>
  <c r="I272" i="4" s="1"/>
  <c r="J272" i="4" s="1"/>
  <c r="H272" i="4"/>
  <c r="O273" i="3"/>
  <c r="N273" i="3"/>
  <c r="AI273" i="3"/>
  <c r="P273" i="3" l="1"/>
  <c r="Q273" i="3" s="1"/>
  <c r="L273" i="4" s="1"/>
  <c r="K272" i="4"/>
  <c r="M272" i="4"/>
  <c r="V273" i="3" l="1"/>
  <c r="W273" i="3" s="1"/>
  <c r="X273" i="3" s="1"/>
  <c r="Y273" i="3" s="1"/>
  <c r="Z273" i="3" s="1"/>
  <c r="AA273" i="3" s="1"/>
  <c r="AB273" i="3" s="1"/>
  <c r="M274" i="3" l="1"/>
  <c r="AC273" i="3"/>
  <c r="AD273" i="3" s="1"/>
  <c r="C273" i="4"/>
  <c r="H273" i="4" l="1"/>
  <c r="G273" i="4"/>
  <c r="I273" i="4" s="1"/>
  <c r="J273" i="4" s="1"/>
  <c r="AI274" i="3"/>
  <c r="O274" i="3"/>
  <c r="N274" i="3"/>
  <c r="M273" i="4" l="1"/>
  <c r="K273" i="4"/>
  <c r="P274" i="3"/>
  <c r="Q274" i="3" s="1"/>
  <c r="L274" i="4" l="1"/>
  <c r="V274" i="3"/>
  <c r="W274" i="3" l="1"/>
  <c r="X274" i="3" s="1"/>
  <c r="Y274" i="3" s="1"/>
  <c r="Z274" i="3" s="1"/>
  <c r="AA274" i="3" s="1"/>
  <c r="AB274" i="3" s="1"/>
  <c r="M275" i="3" l="1"/>
  <c r="AC274" i="3"/>
  <c r="AD274" i="3" s="1"/>
  <c r="C274" i="4"/>
  <c r="G274" i="4" l="1"/>
  <c r="I274" i="4" s="1"/>
  <c r="J274" i="4" s="1"/>
  <c r="H274" i="4"/>
  <c r="N275" i="3"/>
  <c r="O275" i="3"/>
  <c r="AI275" i="3"/>
  <c r="P275" i="3" l="1"/>
  <c r="Q275" i="3" s="1"/>
  <c r="M274" i="4"/>
  <c r="K274" i="4"/>
  <c r="L275" i="4" l="1"/>
  <c r="V275" i="3"/>
  <c r="W275" i="3" l="1"/>
  <c r="X275" i="3" s="1"/>
  <c r="Y275" i="3" s="1"/>
  <c r="Z275" i="3" s="1"/>
  <c r="AA275" i="3" s="1"/>
  <c r="AB275" i="3" s="1"/>
  <c r="AC275" i="3" l="1"/>
  <c r="AD275" i="3" s="1"/>
  <c r="M276" i="3"/>
  <c r="C275" i="4"/>
  <c r="G275" i="4" l="1"/>
  <c r="I275" i="4" s="1"/>
  <c r="J275" i="4" s="1"/>
  <c r="H275" i="4"/>
  <c r="N276" i="3"/>
  <c r="AI276" i="3"/>
  <c r="O276" i="3"/>
  <c r="P276" i="3" l="1"/>
  <c r="Q276" i="3" s="1"/>
  <c r="M275" i="4"/>
  <c r="K275" i="4"/>
  <c r="L276" i="4" l="1"/>
  <c r="V276" i="3"/>
  <c r="W276" i="3" l="1"/>
  <c r="X276" i="3" s="1"/>
  <c r="Y276" i="3" s="1"/>
  <c r="Z276" i="3" s="1"/>
  <c r="AA276" i="3" s="1"/>
  <c r="AB276" i="3" s="1"/>
  <c r="AC276" i="3" l="1"/>
  <c r="AD276" i="3" s="1"/>
  <c r="M277" i="3"/>
  <c r="C276" i="4"/>
  <c r="H276" i="4" l="1"/>
  <c r="G276" i="4"/>
  <c r="I276" i="4" s="1"/>
  <c r="J276" i="4" s="1"/>
  <c r="AI277" i="3"/>
  <c r="N277" i="3"/>
  <c r="O277" i="3"/>
  <c r="P277" i="3" l="1"/>
  <c r="Q277" i="3" s="1"/>
  <c r="M276" i="4"/>
  <c r="K276" i="4"/>
  <c r="L277" i="4" l="1"/>
  <c r="V277" i="3"/>
  <c r="W277" i="3" l="1"/>
  <c r="X277" i="3" s="1"/>
  <c r="Y277" i="3" s="1"/>
  <c r="Z277" i="3" s="1"/>
  <c r="AA277" i="3" s="1"/>
  <c r="AB277" i="3" s="1"/>
  <c r="C277" i="4" l="1"/>
  <c r="M278" i="3"/>
  <c r="AC277" i="3"/>
  <c r="AD277" i="3" s="1"/>
  <c r="N278" i="3" l="1"/>
  <c r="AI278" i="3"/>
  <c r="O278" i="3"/>
  <c r="H277" i="4"/>
  <c r="G277" i="4"/>
  <c r="I277" i="4" s="1"/>
  <c r="J277" i="4" s="1"/>
  <c r="M277" i="4" l="1"/>
  <c r="K277" i="4"/>
  <c r="P278" i="3"/>
  <c r="Q278" i="3" s="1"/>
  <c r="L278" i="4" l="1"/>
  <c r="V278" i="3"/>
  <c r="W278" i="3" l="1"/>
  <c r="X278" i="3" s="1"/>
  <c r="Y278" i="3" s="1"/>
  <c r="Z278" i="3" s="1"/>
  <c r="AA278" i="3" s="1"/>
  <c r="AB278" i="3" s="1"/>
  <c r="C278" i="4" l="1"/>
  <c r="AC278" i="3"/>
  <c r="AD278" i="3" s="1"/>
  <c r="M279" i="3"/>
  <c r="N279" i="3" l="1"/>
  <c r="O279" i="3"/>
  <c r="AI279" i="3"/>
  <c r="H278" i="4"/>
  <c r="G278" i="4"/>
  <c r="I278" i="4" s="1"/>
  <c r="J278" i="4" s="1"/>
  <c r="K278" i="4" l="1"/>
  <c r="M278" i="4"/>
  <c r="P279" i="3"/>
  <c r="Q279" i="3" s="1"/>
  <c r="L279" i="4" l="1"/>
  <c r="V279" i="3"/>
  <c r="W279" i="3" l="1"/>
  <c r="X279" i="3" s="1"/>
  <c r="Y279" i="3" s="1"/>
  <c r="Z279" i="3" s="1"/>
  <c r="AA279" i="3" s="1"/>
  <c r="AB279" i="3" s="1"/>
  <c r="AC279" i="3" l="1"/>
  <c r="AD279" i="3" s="1"/>
  <c r="M280" i="3"/>
  <c r="C279" i="4"/>
  <c r="G279" i="4" l="1"/>
  <c r="I279" i="4" s="1"/>
  <c r="J279" i="4" s="1"/>
  <c r="H279" i="4"/>
  <c r="N280" i="3"/>
  <c r="O280" i="3"/>
  <c r="AI280" i="3"/>
  <c r="P280" i="3" l="1"/>
  <c r="Q280" i="3" s="1"/>
  <c r="L280" i="4" s="1"/>
  <c r="C31" i="5" s="1"/>
  <c r="N31" i="5" s="1"/>
  <c r="M279" i="4"/>
  <c r="K279" i="4"/>
  <c r="V280" i="3" l="1"/>
  <c r="W280" i="3" s="1"/>
  <c r="X280" i="3" s="1"/>
  <c r="Y280" i="3" s="1"/>
  <c r="Z280" i="3" s="1"/>
  <c r="AA280" i="3" s="1"/>
  <c r="AB280" i="3" s="1"/>
  <c r="C280" i="4" l="1"/>
  <c r="M281" i="3"/>
  <c r="AC280" i="3"/>
  <c r="AD280" i="3" s="1"/>
  <c r="O281" i="3" l="1"/>
  <c r="AI281" i="3"/>
  <c r="N281" i="3"/>
  <c r="H280" i="4"/>
  <c r="G280" i="4"/>
  <c r="I280" i="4" s="1"/>
  <c r="J280" i="4" s="1"/>
  <c r="P281" i="3" l="1"/>
  <c r="Q281" i="3" s="1"/>
  <c r="L281" i="4" s="1"/>
  <c r="D31" i="5"/>
  <c r="K280" i="4"/>
  <c r="E31" i="5" s="1"/>
  <c r="M280" i="4"/>
  <c r="V281" i="3" l="1"/>
  <c r="W281" i="3" s="1"/>
  <c r="X281" i="3" s="1"/>
  <c r="Y281" i="3" s="1"/>
  <c r="Z281" i="3" s="1"/>
  <c r="AA281" i="3" s="1"/>
  <c r="AB281" i="3" s="1"/>
  <c r="C281" i="4" l="1"/>
  <c r="M282" i="3"/>
  <c r="AC281" i="3"/>
  <c r="AD281" i="3" s="1"/>
  <c r="AI282" i="3" l="1"/>
  <c r="O282" i="3"/>
  <c r="N282" i="3"/>
  <c r="H281" i="4"/>
  <c r="G281" i="4"/>
  <c r="I281" i="4" s="1"/>
  <c r="J281" i="4" s="1"/>
  <c r="P282" i="3" l="1"/>
  <c r="Q282" i="3" s="1"/>
  <c r="V282" i="3" s="1"/>
  <c r="M281" i="4"/>
  <c r="K281" i="4"/>
  <c r="L282" i="4" l="1"/>
  <c r="W282" i="3"/>
  <c r="X282" i="3" s="1"/>
  <c r="Y282" i="3" s="1"/>
  <c r="Z282" i="3" s="1"/>
  <c r="AA282" i="3" s="1"/>
  <c r="AB282" i="3" s="1"/>
  <c r="C282" i="4" l="1"/>
  <c r="AC282" i="3"/>
  <c r="AD282" i="3" s="1"/>
  <c r="M283" i="3"/>
  <c r="O283" i="3" l="1"/>
  <c r="AI283" i="3"/>
  <c r="N283" i="3"/>
  <c r="H282" i="4"/>
  <c r="G282" i="4"/>
  <c r="I282" i="4" s="1"/>
  <c r="J282" i="4" s="1"/>
  <c r="P283" i="3" l="1"/>
  <c r="Q283" i="3" s="1"/>
  <c r="L283" i="4" s="1"/>
  <c r="K282" i="4"/>
  <c r="M282" i="4"/>
  <c r="V283" i="3" l="1"/>
  <c r="W283" i="3" s="1"/>
  <c r="X283" i="3" s="1"/>
  <c r="Y283" i="3" s="1"/>
  <c r="Z283" i="3" s="1"/>
  <c r="AA283" i="3" s="1"/>
  <c r="AB283" i="3" s="1"/>
  <c r="C283" i="4" l="1"/>
  <c r="M284" i="3"/>
  <c r="AC283" i="3"/>
  <c r="AD283" i="3" s="1"/>
  <c r="O284" i="3" l="1"/>
  <c r="N284" i="3"/>
  <c r="AI284" i="3"/>
  <c r="G283" i="4"/>
  <c r="I283" i="4" s="1"/>
  <c r="J283" i="4" s="1"/>
  <c r="H283" i="4"/>
  <c r="P284" i="3" l="1"/>
  <c r="Q284" i="3" s="1"/>
  <c r="L284" i="4" s="1"/>
  <c r="M283" i="4"/>
  <c r="K283" i="4"/>
  <c r="V284" i="3" l="1"/>
  <c r="W284" i="3" s="1"/>
  <c r="X284" i="3" s="1"/>
  <c r="Y284" i="3" s="1"/>
  <c r="Z284" i="3" s="1"/>
  <c r="AA284" i="3" s="1"/>
  <c r="AB284" i="3" s="1"/>
  <c r="C284" i="4" l="1"/>
  <c r="M285" i="3"/>
  <c r="AC284" i="3"/>
  <c r="AD284" i="3" s="1"/>
  <c r="N285" i="3" l="1"/>
  <c r="O285" i="3"/>
  <c r="AI285" i="3"/>
  <c r="H284" i="4"/>
  <c r="G284" i="4"/>
  <c r="I284" i="4" s="1"/>
  <c r="J284" i="4" s="1"/>
  <c r="P285" i="3" l="1"/>
  <c r="Q285" i="3" s="1"/>
  <c r="L285" i="4" s="1"/>
  <c r="M284" i="4"/>
  <c r="K284" i="4"/>
  <c r="V285" i="3" l="1"/>
  <c r="W285" i="3" s="1"/>
  <c r="X285" i="3" s="1"/>
  <c r="Y285" i="3" s="1"/>
  <c r="Z285" i="3" s="1"/>
  <c r="AA285" i="3" s="1"/>
  <c r="AB285" i="3" s="1"/>
  <c r="AC285" i="3" l="1"/>
  <c r="AD285" i="3" s="1"/>
  <c r="C285" i="4"/>
  <c r="M286" i="3"/>
  <c r="N286" i="3" l="1"/>
  <c r="AI286" i="3"/>
  <c r="O286" i="3"/>
  <c r="G285" i="4"/>
  <c r="I285" i="4" s="1"/>
  <c r="J285" i="4" s="1"/>
  <c r="H285" i="4"/>
  <c r="K285" i="4" l="1"/>
  <c r="M285" i="4"/>
  <c r="P286" i="3"/>
  <c r="Q286" i="3" s="1"/>
  <c r="L286" i="4" l="1"/>
  <c r="V286" i="3"/>
  <c r="W286" i="3" l="1"/>
  <c r="X286" i="3" s="1"/>
  <c r="Y286" i="3" s="1"/>
  <c r="Z286" i="3" s="1"/>
  <c r="AA286" i="3" s="1"/>
  <c r="AB286" i="3" s="1"/>
  <c r="AC286" i="3" l="1"/>
  <c r="AD286" i="3" s="1"/>
  <c r="C286" i="4"/>
  <c r="M287" i="3"/>
  <c r="O287" i="3" l="1"/>
  <c r="AI287" i="3"/>
  <c r="N287" i="3"/>
  <c r="G286" i="4"/>
  <c r="I286" i="4" s="1"/>
  <c r="J286" i="4" s="1"/>
  <c r="H286" i="4"/>
  <c r="P287" i="3" l="1"/>
  <c r="Q287" i="3" s="1"/>
  <c r="L287" i="4" s="1"/>
  <c r="M286" i="4"/>
  <c r="K286" i="4"/>
  <c r="V287" i="3" l="1"/>
  <c r="W287" i="3" s="1"/>
  <c r="X287" i="3" s="1"/>
  <c r="Y287" i="3" s="1"/>
  <c r="Z287" i="3" s="1"/>
  <c r="AA287" i="3" s="1"/>
  <c r="AB287" i="3" s="1"/>
  <c r="M288" i="3" l="1"/>
  <c r="AC287" i="3"/>
  <c r="AD287" i="3" s="1"/>
  <c r="C287" i="4"/>
  <c r="H287" i="4" l="1"/>
  <c r="G287" i="4"/>
  <c r="I287" i="4" s="1"/>
  <c r="J287" i="4" s="1"/>
  <c r="AI288" i="3"/>
  <c r="O288" i="3"/>
  <c r="N288" i="3"/>
  <c r="P288" i="3" l="1"/>
  <c r="Q288" i="3" s="1"/>
  <c r="L288" i="4" s="1"/>
  <c r="K287" i="4"/>
  <c r="M287" i="4"/>
  <c r="V288" i="3" l="1"/>
  <c r="W288" i="3" s="1"/>
  <c r="X288" i="3" s="1"/>
  <c r="Y288" i="3" s="1"/>
  <c r="Z288" i="3" s="1"/>
  <c r="AA288" i="3" s="1"/>
  <c r="AB288" i="3" s="1"/>
  <c r="M289" i="3" l="1"/>
  <c r="AC288" i="3"/>
  <c r="AD288" i="3" s="1"/>
  <c r="C288" i="4"/>
  <c r="G288" i="4" l="1"/>
  <c r="I288" i="4" s="1"/>
  <c r="J288" i="4" s="1"/>
  <c r="H288" i="4"/>
  <c r="AI289" i="3"/>
  <c r="O289" i="3"/>
  <c r="N289" i="3"/>
  <c r="P289" i="3" l="1"/>
  <c r="Q289" i="3" s="1"/>
  <c r="L289" i="4" s="1"/>
  <c r="K288" i="4"/>
  <c r="M288" i="4"/>
  <c r="V289" i="3" l="1"/>
  <c r="W289" i="3" s="1"/>
  <c r="X289" i="3" s="1"/>
  <c r="Y289" i="3" s="1"/>
  <c r="Z289" i="3" s="1"/>
  <c r="AA289" i="3" s="1"/>
  <c r="AB289" i="3" s="1"/>
  <c r="C289" i="4" l="1"/>
  <c r="AC289" i="3"/>
  <c r="AD289" i="3" s="1"/>
  <c r="M290" i="3"/>
  <c r="N290" i="3" l="1"/>
  <c r="AI290" i="3"/>
  <c r="O290" i="3"/>
  <c r="G289" i="4"/>
  <c r="I289" i="4" s="1"/>
  <c r="J289" i="4" s="1"/>
  <c r="H289" i="4"/>
  <c r="M289" i="4" l="1"/>
  <c r="K289" i="4"/>
  <c r="P290" i="3"/>
  <c r="Q290" i="3" s="1"/>
  <c r="L290" i="4" l="1"/>
  <c r="V290" i="3"/>
  <c r="W290" i="3" l="1"/>
  <c r="X290" i="3" s="1"/>
  <c r="Y290" i="3" s="1"/>
  <c r="Z290" i="3" s="1"/>
  <c r="AA290" i="3" s="1"/>
  <c r="AB290" i="3" s="1"/>
  <c r="M291" i="3" l="1"/>
  <c r="C290" i="4"/>
  <c r="AC290" i="3"/>
  <c r="AD290" i="3" s="1"/>
  <c r="H290" i="4" l="1"/>
  <c r="G290" i="4"/>
  <c r="I290" i="4" s="1"/>
  <c r="J290" i="4" s="1"/>
  <c r="N291" i="3"/>
  <c r="AI291" i="3"/>
  <c r="O291" i="3"/>
  <c r="P291" i="3" l="1"/>
  <c r="Q291" i="3" s="1"/>
  <c r="M290" i="4"/>
  <c r="K290" i="4"/>
  <c r="L291" i="4" l="1"/>
  <c r="V291" i="3"/>
  <c r="W291" i="3" l="1"/>
  <c r="X291" i="3" s="1"/>
  <c r="Y291" i="3" s="1"/>
  <c r="Z291" i="3" s="1"/>
  <c r="AA291" i="3" s="1"/>
  <c r="AB291" i="3" s="1"/>
  <c r="C291" i="4" l="1"/>
  <c r="AC291" i="3"/>
  <c r="AD291" i="3" s="1"/>
  <c r="M292" i="3"/>
  <c r="O292" i="3" l="1"/>
  <c r="AI292" i="3"/>
  <c r="N292" i="3"/>
  <c r="G291" i="4"/>
  <c r="I291" i="4" s="1"/>
  <c r="J291" i="4" s="1"/>
  <c r="H291" i="4"/>
  <c r="P292" i="3" l="1"/>
  <c r="Q292" i="3" s="1"/>
  <c r="L292" i="4" s="1"/>
  <c r="K291" i="4"/>
  <c r="M291" i="4"/>
  <c r="V292" i="3" l="1"/>
  <c r="W292" i="3" s="1"/>
  <c r="X292" i="3" s="1"/>
  <c r="Y292" i="3" s="1"/>
  <c r="Z292" i="3" s="1"/>
  <c r="AA292" i="3" s="1"/>
  <c r="AB292" i="3" s="1"/>
  <c r="C292" i="4" l="1"/>
  <c r="M293" i="3"/>
  <c r="AC292" i="3"/>
  <c r="AD292" i="3" s="1"/>
  <c r="O293" i="3" l="1"/>
  <c r="N293" i="3"/>
  <c r="AI293" i="3"/>
  <c r="G292" i="4"/>
  <c r="I292" i="4" s="1"/>
  <c r="J292" i="4" s="1"/>
  <c r="H292" i="4"/>
  <c r="P293" i="3" l="1"/>
  <c r="Q293" i="3" s="1"/>
  <c r="L293" i="4" s="1"/>
  <c r="K292" i="4"/>
  <c r="M292" i="4"/>
  <c r="V293" i="3" l="1"/>
  <c r="W293" i="3" s="1"/>
  <c r="X293" i="3" s="1"/>
  <c r="Y293" i="3" s="1"/>
  <c r="Z293" i="3" s="1"/>
  <c r="AA293" i="3" s="1"/>
  <c r="AB293" i="3" s="1"/>
  <c r="AC293" i="3" l="1"/>
  <c r="AD293" i="3" s="1"/>
  <c r="M294" i="3"/>
  <c r="C293" i="4"/>
  <c r="H293" i="4" l="1"/>
  <c r="G293" i="4"/>
  <c r="I293" i="4" s="1"/>
  <c r="J293" i="4" s="1"/>
  <c r="AI294" i="3"/>
  <c r="O294" i="3"/>
  <c r="N294" i="3"/>
  <c r="P294" i="3" l="1"/>
  <c r="Q294" i="3" s="1"/>
  <c r="L294" i="4" s="1"/>
  <c r="M293" i="4"/>
  <c r="K293" i="4"/>
  <c r="V294" i="3" l="1"/>
  <c r="W294" i="3" s="1"/>
  <c r="X294" i="3" s="1"/>
  <c r="Y294" i="3" s="1"/>
  <c r="Z294" i="3" s="1"/>
  <c r="AA294" i="3" s="1"/>
  <c r="AB294" i="3" s="1"/>
  <c r="C294" i="4" l="1"/>
  <c r="M295" i="3"/>
  <c r="AC294" i="3"/>
  <c r="AD294" i="3" s="1"/>
  <c r="O295" i="3" l="1"/>
  <c r="AI295" i="3"/>
  <c r="N295" i="3"/>
  <c r="G294" i="4"/>
  <c r="I294" i="4" s="1"/>
  <c r="J294" i="4" s="1"/>
  <c r="H294" i="4"/>
  <c r="P295" i="3" l="1"/>
  <c r="Q295" i="3" s="1"/>
  <c r="L295" i="4" s="1"/>
  <c r="K294" i="4"/>
  <c r="M294" i="4"/>
  <c r="V295" i="3" l="1"/>
  <c r="W295" i="3" s="1"/>
  <c r="X295" i="3" s="1"/>
  <c r="Y295" i="3" s="1"/>
  <c r="Z295" i="3" s="1"/>
  <c r="AA295" i="3" s="1"/>
  <c r="AB295" i="3" s="1"/>
  <c r="M296" i="3" l="1"/>
  <c r="AC295" i="3"/>
  <c r="AD295" i="3" s="1"/>
  <c r="C295" i="4"/>
  <c r="H295" i="4" l="1"/>
  <c r="G295" i="4"/>
  <c r="I295" i="4" s="1"/>
  <c r="J295" i="4" s="1"/>
  <c r="AI296" i="3"/>
  <c r="O296" i="3"/>
  <c r="N296" i="3"/>
  <c r="P296" i="3" l="1"/>
  <c r="Q296" i="3" s="1"/>
  <c r="L296" i="4" s="1"/>
  <c r="M295" i="4"/>
  <c r="K295" i="4"/>
  <c r="V296" i="3" l="1"/>
  <c r="W296" i="3" s="1"/>
  <c r="X296" i="3" s="1"/>
  <c r="Y296" i="3" s="1"/>
  <c r="Z296" i="3" s="1"/>
  <c r="AA296" i="3" s="1"/>
  <c r="AB296" i="3" s="1"/>
  <c r="AC296" i="3" l="1"/>
  <c r="AD296" i="3" s="1"/>
  <c r="C296" i="4"/>
  <c r="M297" i="3"/>
  <c r="O297" i="3" l="1"/>
  <c r="AI297" i="3"/>
  <c r="N297" i="3"/>
  <c r="H296" i="4"/>
  <c r="G296" i="4"/>
  <c r="I296" i="4" s="1"/>
  <c r="J296" i="4" s="1"/>
  <c r="P297" i="3" l="1"/>
  <c r="Q297" i="3" s="1"/>
  <c r="L297" i="4" s="1"/>
  <c r="K296" i="4"/>
  <c r="M296" i="4"/>
  <c r="V297" i="3" l="1"/>
  <c r="W297" i="3" s="1"/>
  <c r="X297" i="3" s="1"/>
  <c r="Y297" i="3" s="1"/>
  <c r="Z297" i="3" s="1"/>
  <c r="AA297" i="3" s="1"/>
  <c r="AB297" i="3" s="1"/>
  <c r="C297" i="4" l="1"/>
  <c r="AC297" i="3"/>
  <c r="AD297" i="3" s="1"/>
  <c r="M298" i="3"/>
  <c r="O298" i="3" l="1"/>
  <c r="AI298" i="3"/>
  <c r="N298" i="3"/>
  <c r="H297" i="4"/>
  <c r="G297" i="4"/>
  <c r="I297" i="4" s="1"/>
  <c r="J297" i="4" s="1"/>
  <c r="P298" i="3" l="1"/>
  <c r="Q298" i="3" s="1"/>
  <c r="V298" i="3" s="1"/>
  <c r="K297" i="4"/>
  <c r="M297" i="4"/>
  <c r="L298" i="4" l="1"/>
  <c r="W298" i="3"/>
  <c r="X298" i="3" s="1"/>
  <c r="Y298" i="3" s="1"/>
  <c r="Z298" i="3" s="1"/>
  <c r="AA298" i="3" s="1"/>
  <c r="AB298" i="3" s="1"/>
  <c r="AC298" i="3" l="1"/>
  <c r="AD298" i="3" s="1"/>
  <c r="C298" i="4"/>
  <c r="M299" i="3"/>
  <c r="H298" i="4" l="1"/>
  <c r="G298" i="4"/>
  <c r="I298" i="4" s="1"/>
  <c r="J298" i="4" s="1"/>
  <c r="N299" i="3"/>
  <c r="AI299" i="3"/>
  <c r="O299" i="3"/>
  <c r="M298" i="4" l="1"/>
  <c r="K298" i="4"/>
  <c r="P299" i="3"/>
  <c r="Q299" i="3" s="1"/>
  <c r="L299" i="4" l="1"/>
  <c r="V299" i="3"/>
  <c r="W299" i="3" l="1"/>
  <c r="X299" i="3" s="1"/>
  <c r="Y299" i="3" s="1"/>
  <c r="Z299" i="3" s="1"/>
  <c r="AA299" i="3" s="1"/>
  <c r="AB299" i="3" s="1"/>
  <c r="M300" i="3" l="1"/>
  <c r="AC299" i="3"/>
  <c r="AD299" i="3" s="1"/>
  <c r="C299" i="4"/>
  <c r="G299" i="4" l="1"/>
  <c r="I299" i="4" s="1"/>
  <c r="J299" i="4" s="1"/>
  <c r="H299" i="4"/>
  <c r="O300" i="3"/>
  <c r="AI300" i="3"/>
  <c r="N300" i="3"/>
  <c r="P300" i="3" l="1"/>
  <c r="Q300" i="3" s="1"/>
  <c r="L300" i="4" s="1"/>
  <c r="M299" i="4"/>
  <c r="K299" i="4"/>
  <c r="V300" i="3" l="1"/>
  <c r="W300" i="3" s="1"/>
  <c r="X300" i="3" s="1"/>
  <c r="Y300" i="3" s="1"/>
  <c r="Z300" i="3" s="1"/>
  <c r="AA300" i="3" s="1"/>
  <c r="AB300" i="3" s="1"/>
  <c r="C300" i="4" l="1"/>
  <c r="M301" i="3"/>
  <c r="AC300" i="3"/>
  <c r="AD300" i="3" s="1"/>
  <c r="O301" i="3" l="1"/>
  <c r="AI301" i="3"/>
  <c r="N301" i="3"/>
  <c r="H300" i="4"/>
  <c r="G300" i="4"/>
  <c r="I300" i="4" s="1"/>
  <c r="J300" i="4" s="1"/>
  <c r="P301" i="3" l="1"/>
  <c r="Q301" i="3" s="1"/>
  <c r="L301" i="4" s="1"/>
  <c r="M300" i="4"/>
  <c r="K300" i="4"/>
  <c r="V301" i="3" l="1"/>
  <c r="W301" i="3" s="1"/>
  <c r="X301" i="3" s="1"/>
  <c r="Y301" i="3" s="1"/>
  <c r="Z301" i="3" s="1"/>
  <c r="AA301" i="3" s="1"/>
  <c r="AB301" i="3" s="1"/>
  <c r="AC301" i="3" l="1"/>
  <c r="AD301" i="3" s="1"/>
  <c r="C301" i="4"/>
  <c r="M302" i="3"/>
  <c r="O302" i="3" l="1"/>
  <c r="AI302" i="3"/>
  <c r="N302" i="3"/>
  <c r="H301" i="4"/>
  <c r="G301" i="4"/>
  <c r="I301" i="4" s="1"/>
  <c r="J301" i="4" s="1"/>
  <c r="P302" i="3" l="1"/>
  <c r="Q302" i="3" s="1"/>
  <c r="L302" i="4" s="1"/>
  <c r="K301" i="4"/>
  <c r="M301" i="4"/>
  <c r="V302" i="3" l="1"/>
  <c r="W302" i="3" s="1"/>
  <c r="X302" i="3" s="1"/>
  <c r="Y302" i="3" s="1"/>
  <c r="Z302" i="3" s="1"/>
  <c r="AA302" i="3" s="1"/>
  <c r="AB302" i="3" s="1"/>
  <c r="C302" i="4" l="1"/>
  <c r="M303" i="3"/>
  <c r="AC302" i="3"/>
  <c r="AD302" i="3" s="1"/>
  <c r="AI303" i="3" l="1"/>
  <c r="N303" i="3"/>
  <c r="O303" i="3"/>
  <c r="H302" i="4"/>
  <c r="G302" i="4"/>
  <c r="I302" i="4" s="1"/>
  <c r="J302" i="4" s="1"/>
  <c r="K302" i="4" l="1"/>
  <c r="M302" i="4"/>
  <c r="P303" i="3"/>
  <c r="Q303" i="3" s="1"/>
  <c r="L303" i="4" l="1"/>
  <c r="V303" i="3"/>
  <c r="W303" i="3" l="1"/>
  <c r="X303" i="3" s="1"/>
  <c r="Y303" i="3" s="1"/>
  <c r="Z303" i="3" s="1"/>
  <c r="AA303" i="3" s="1"/>
  <c r="AB303" i="3" s="1"/>
  <c r="AC303" i="3" l="1"/>
  <c r="AD303" i="3" s="1"/>
  <c r="C303" i="4"/>
  <c r="M304" i="3"/>
  <c r="O304" i="3" l="1"/>
  <c r="AI304" i="3"/>
  <c r="N304" i="3"/>
  <c r="H303" i="4"/>
  <c r="G303" i="4"/>
  <c r="I303" i="4" s="1"/>
  <c r="J303" i="4" s="1"/>
  <c r="P304" i="3" l="1"/>
  <c r="Q304" i="3" s="1"/>
  <c r="L304" i="4" s="1"/>
  <c r="M303" i="4"/>
  <c r="K303" i="4"/>
  <c r="V304" i="3" l="1"/>
  <c r="W304" i="3" s="1"/>
  <c r="X304" i="3" s="1"/>
  <c r="Y304" i="3" s="1"/>
  <c r="Z304" i="3" s="1"/>
  <c r="AA304" i="3" s="1"/>
  <c r="AB304" i="3" s="1"/>
  <c r="AC304" i="3" l="1"/>
  <c r="AD304" i="3" s="1"/>
  <c r="M305" i="3"/>
  <c r="C304" i="4"/>
  <c r="H304" i="4" l="1"/>
  <c r="G304" i="4"/>
  <c r="I304" i="4" s="1"/>
  <c r="J304" i="4" s="1"/>
  <c r="AI305" i="3"/>
  <c r="O305" i="3"/>
  <c r="N305" i="3"/>
  <c r="P305" i="3" l="1"/>
  <c r="Q305" i="3" s="1"/>
  <c r="M304" i="4"/>
  <c r="K304" i="4"/>
  <c r="L305" i="4" l="1"/>
  <c r="V305" i="3"/>
  <c r="W305" i="3" l="1"/>
  <c r="X305" i="3" s="1"/>
  <c r="Y305" i="3" s="1"/>
  <c r="Z305" i="3" s="1"/>
  <c r="AA305" i="3" s="1"/>
  <c r="AB305" i="3" s="1"/>
  <c r="M306" i="3" l="1"/>
  <c r="C305" i="4"/>
  <c r="AC305" i="3"/>
  <c r="AD305" i="3" s="1"/>
  <c r="H305" i="4" l="1"/>
  <c r="G305" i="4"/>
  <c r="I305" i="4" s="1"/>
  <c r="J305" i="4" s="1"/>
  <c r="O306" i="3"/>
  <c r="AI306" i="3"/>
  <c r="N306" i="3"/>
  <c r="P306" i="3" l="1"/>
  <c r="Q306" i="3" s="1"/>
  <c r="L306" i="4" s="1"/>
  <c r="M305" i="4"/>
  <c r="K305" i="4"/>
  <c r="V306" i="3" l="1"/>
  <c r="W306" i="3" s="1"/>
  <c r="X306" i="3" s="1"/>
  <c r="Y306" i="3" s="1"/>
  <c r="Z306" i="3" s="1"/>
  <c r="AA306" i="3" s="1"/>
  <c r="AB306" i="3" s="1"/>
  <c r="M307" i="3" l="1"/>
  <c r="C306" i="4"/>
  <c r="AC306" i="3"/>
  <c r="AD306" i="3" s="1"/>
  <c r="G306" i="4" l="1"/>
  <c r="I306" i="4" s="1"/>
  <c r="J306" i="4" s="1"/>
  <c r="H306" i="4"/>
  <c r="AI307" i="3"/>
  <c r="N307" i="3"/>
  <c r="O307" i="3"/>
  <c r="P307" i="3" l="1"/>
  <c r="Q307" i="3" s="1"/>
  <c r="L307" i="4" s="1"/>
  <c r="M306" i="4"/>
  <c r="K306" i="4"/>
  <c r="V307" i="3" l="1"/>
  <c r="W307" i="3" s="1"/>
  <c r="X307" i="3" s="1"/>
  <c r="Y307" i="3" s="1"/>
  <c r="Z307" i="3" s="1"/>
  <c r="AA307" i="3" s="1"/>
  <c r="AB307" i="3" s="1"/>
  <c r="C307" i="4" l="1"/>
  <c r="M308" i="3"/>
  <c r="AC307" i="3"/>
  <c r="AD307" i="3" s="1"/>
  <c r="AI308" i="3" l="1"/>
  <c r="N308" i="3"/>
  <c r="O308" i="3"/>
  <c r="G307" i="4"/>
  <c r="I307" i="4" s="1"/>
  <c r="J307" i="4" s="1"/>
  <c r="H307" i="4"/>
  <c r="P308" i="3" l="1"/>
  <c r="Q308" i="3" s="1"/>
  <c r="L308" i="4" s="1"/>
  <c r="M307" i="4"/>
  <c r="K307" i="4"/>
  <c r="V308" i="3" l="1"/>
  <c r="W308" i="3" s="1"/>
  <c r="X308" i="3" s="1"/>
  <c r="Y308" i="3" s="1"/>
  <c r="Z308" i="3" s="1"/>
  <c r="AA308" i="3" s="1"/>
  <c r="AB308" i="3" s="1"/>
  <c r="M309" i="3" l="1"/>
  <c r="C308" i="4"/>
  <c r="AC308" i="3"/>
  <c r="AD308" i="3" s="1"/>
  <c r="G308" i="4" l="1"/>
  <c r="I308" i="4" s="1"/>
  <c r="J308" i="4" s="1"/>
  <c r="H308" i="4"/>
  <c r="N309" i="3"/>
  <c r="O309" i="3"/>
  <c r="AI309" i="3"/>
  <c r="P309" i="3" l="1"/>
  <c r="Q309" i="3" s="1"/>
  <c r="L309" i="4" s="1"/>
  <c r="M308" i="4"/>
  <c r="K308" i="4"/>
  <c r="V309" i="3" l="1"/>
  <c r="W309" i="3" s="1"/>
  <c r="X309" i="3" s="1"/>
  <c r="Y309" i="3" s="1"/>
  <c r="Z309" i="3" s="1"/>
  <c r="AA309" i="3" s="1"/>
  <c r="AB309" i="3" s="1"/>
  <c r="C309" i="4" l="1"/>
  <c r="AC309" i="3"/>
  <c r="AD309" i="3" s="1"/>
  <c r="M310" i="3"/>
  <c r="AI310" i="3" l="1"/>
  <c r="O310" i="3"/>
  <c r="N310" i="3"/>
  <c r="H309" i="4"/>
  <c r="G309" i="4"/>
  <c r="I309" i="4" s="1"/>
  <c r="J309" i="4" s="1"/>
  <c r="P310" i="3" l="1"/>
  <c r="Q310" i="3" s="1"/>
  <c r="L310" i="4" s="1"/>
  <c r="K309" i="4"/>
  <c r="M309" i="4"/>
  <c r="V310" i="3" l="1"/>
  <c r="W310" i="3" s="1"/>
  <c r="X310" i="3" s="1"/>
  <c r="Y310" i="3" s="1"/>
  <c r="Z310" i="3" s="1"/>
  <c r="AA310" i="3" s="1"/>
  <c r="AB310" i="3" s="1"/>
  <c r="C310" i="4" l="1"/>
  <c r="M311" i="3"/>
  <c r="AC310" i="3"/>
  <c r="AD310" i="3" s="1"/>
  <c r="N311" i="3" l="1"/>
  <c r="AI311" i="3"/>
  <c r="O311" i="3"/>
  <c r="H310" i="4"/>
  <c r="G310" i="4"/>
  <c r="I310" i="4" s="1"/>
  <c r="J310" i="4" s="1"/>
  <c r="M310" i="4" l="1"/>
  <c r="K310" i="4"/>
  <c r="P311" i="3"/>
  <c r="Q311" i="3" s="1"/>
  <c r="L311" i="4" l="1"/>
  <c r="V311" i="3"/>
  <c r="W311" i="3" l="1"/>
  <c r="X311" i="3" s="1"/>
  <c r="Y311" i="3" s="1"/>
  <c r="Z311" i="3" s="1"/>
  <c r="AA311" i="3" s="1"/>
  <c r="AB311" i="3" s="1"/>
  <c r="AC311" i="3" l="1"/>
  <c r="AD311" i="3" s="1"/>
  <c r="C311" i="4"/>
  <c r="M312" i="3"/>
  <c r="AI312" i="3" l="1"/>
  <c r="O312" i="3"/>
  <c r="N312" i="3"/>
  <c r="H311" i="4"/>
  <c r="G311" i="4"/>
  <c r="I311" i="4" s="1"/>
  <c r="J311" i="4" s="1"/>
  <c r="P312" i="3" l="1"/>
  <c r="Q312" i="3" s="1"/>
  <c r="L312" i="4" s="1"/>
  <c r="K311" i="4"/>
  <c r="M311" i="4"/>
  <c r="V312" i="3" l="1"/>
  <c r="W312" i="3" s="1"/>
  <c r="X312" i="3" s="1"/>
  <c r="Y312" i="3" s="1"/>
  <c r="Z312" i="3" s="1"/>
  <c r="AA312" i="3" s="1"/>
  <c r="AB312" i="3" s="1"/>
  <c r="C312" i="4" l="1"/>
  <c r="M313" i="3"/>
  <c r="AC312" i="3"/>
  <c r="AD312" i="3" s="1"/>
  <c r="O313" i="3" l="1"/>
  <c r="N313" i="3"/>
  <c r="AI313" i="3"/>
  <c r="H312" i="4"/>
  <c r="G312" i="4"/>
  <c r="I312" i="4" s="1"/>
  <c r="J312" i="4" s="1"/>
  <c r="P313" i="3" l="1"/>
  <c r="Q313" i="3" s="1"/>
  <c r="L313" i="4" s="1"/>
  <c r="K312" i="4"/>
  <c r="M312" i="4"/>
  <c r="V313" i="3" l="1"/>
  <c r="W313" i="3" s="1"/>
  <c r="X313" i="3" s="1"/>
  <c r="Y313" i="3" s="1"/>
  <c r="Z313" i="3" s="1"/>
  <c r="AA313" i="3" s="1"/>
  <c r="AB313" i="3" s="1"/>
  <c r="C313" i="4" l="1"/>
  <c r="AC313" i="3"/>
  <c r="AD313" i="3" s="1"/>
  <c r="M314" i="3"/>
  <c r="AI314" i="3" l="1"/>
  <c r="N314" i="3"/>
  <c r="O314" i="3"/>
  <c r="H313" i="4"/>
  <c r="G313" i="4"/>
  <c r="I313" i="4" s="1"/>
  <c r="J313" i="4" s="1"/>
  <c r="M313" i="4" l="1"/>
  <c r="K313" i="4"/>
  <c r="P314" i="3"/>
  <c r="Q314" i="3" s="1"/>
  <c r="L314" i="4" l="1"/>
  <c r="V314" i="3"/>
  <c r="W314" i="3" l="1"/>
  <c r="X314" i="3" s="1"/>
  <c r="Y314" i="3" s="1"/>
  <c r="Z314" i="3" s="1"/>
  <c r="AA314" i="3" s="1"/>
  <c r="AB314" i="3" s="1"/>
  <c r="C314" i="4" l="1"/>
  <c r="AC314" i="3"/>
  <c r="AD314" i="3" s="1"/>
  <c r="M315" i="3"/>
  <c r="N315" i="3" l="1"/>
  <c r="O315" i="3"/>
  <c r="AI315" i="3"/>
  <c r="H314" i="4"/>
  <c r="G314" i="4"/>
  <c r="I314" i="4" s="1"/>
  <c r="J314" i="4" s="1"/>
  <c r="K314" i="4" l="1"/>
  <c r="M314" i="4"/>
  <c r="P315" i="3"/>
  <c r="Q315" i="3" s="1"/>
  <c r="L315" i="4" l="1"/>
  <c r="V315" i="3"/>
  <c r="W315" i="3" l="1"/>
  <c r="X315" i="3" s="1"/>
  <c r="Y315" i="3" s="1"/>
  <c r="Z315" i="3" s="1"/>
  <c r="AA315" i="3" s="1"/>
  <c r="AB315" i="3" s="1"/>
  <c r="M316" i="3" l="1"/>
  <c r="C315" i="4"/>
  <c r="AC315" i="3"/>
  <c r="AD315" i="3" s="1"/>
  <c r="H315" i="4" l="1"/>
  <c r="G315" i="4"/>
  <c r="I315" i="4" s="1"/>
  <c r="J315" i="4" s="1"/>
  <c r="O316" i="3"/>
  <c r="AI316" i="3"/>
  <c r="N316" i="3"/>
  <c r="P316" i="3" l="1"/>
  <c r="Q316" i="3" s="1"/>
  <c r="L316" i="4" s="1"/>
  <c r="M315" i="4"/>
  <c r="K315" i="4"/>
  <c r="V316" i="3" l="1"/>
  <c r="W316" i="3" s="1"/>
  <c r="X316" i="3" s="1"/>
  <c r="Y316" i="3" s="1"/>
  <c r="Z316" i="3" s="1"/>
  <c r="AA316" i="3" s="1"/>
  <c r="AB316" i="3" s="1"/>
  <c r="M317" i="3" l="1"/>
  <c r="AC316" i="3"/>
  <c r="AD316" i="3" s="1"/>
  <c r="C316" i="4"/>
  <c r="G316" i="4" l="1"/>
  <c r="I316" i="4" s="1"/>
  <c r="J316" i="4" s="1"/>
  <c r="H316" i="4"/>
  <c r="AI317" i="3"/>
  <c r="O317" i="3"/>
  <c r="N317" i="3"/>
  <c r="P317" i="3" l="1"/>
  <c r="Q317" i="3" s="1"/>
  <c r="M316" i="4"/>
  <c r="K316" i="4"/>
  <c r="L317" i="4" l="1"/>
  <c r="V317" i="3"/>
  <c r="W317" i="3" l="1"/>
  <c r="X317" i="3" s="1"/>
  <c r="Y317" i="3" s="1"/>
  <c r="Z317" i="3" s="1"/>
  <c r="AA317" i="3" s="1"/>
  <c r="AB317" i="3" s="1"/>
  <c r="C317" i="4" l="1"/>
  <c r="AC317" i="3"/>
  <c r="AD317" i="3" s="1"/>
  <c r="M318" i="3"/>
  <c r="AI318" i="3" l="1"/>
  <c r="O318" i="3"/>
  <c r="N318" i="3"/>
  <c r="H317" i="4"/>
  <c r="G317" i="4"/>
  <c r="I317" i="4" s="1"/>
  <c r="J317" i="4" s="1"/>
  <c r="M317" i="4" l="1"/>
  <c r="K317" i="4"/>
  <c r="P318" i="3"/>
  <c r="Q318" i="3" s="1"/>
  <c r="L318" i="4" l="1"/>
  <c r="V318" i="3"/>
  <c r="W318" i="3" l="1"/>
  <c r="X318" i="3" s="1"/>
  <c r="Y318" i="3" s="1"/>
  <c r="Z318" i="3" s="1"/>
  <c r="AA318" i="3" s="1"/>
  <c r="AB318" i="3" s="1"/>
  <c r="M319" i="3" l="1"/>
  <c r="C318" i="4"/>
  <c r="AC318" i="3"/>
  <c r="AD318" i="3" s="1"/>
  <c r="G318" i="4" l="1"/>
  <c r="I318" i="4" s="1"/>
  <c r="J318" i="4" s="1"/>
  <c r="H318" i="4"/>
  <c r="O319" i="3"/>
  <c r="N319" i="3"/>
  <c r="AI319" i="3"/>
  <c r="P319" i="3" l="1"/>
  <c r="Q319" i="3" s="1"/>
  <c r="L319" i="4" s="1"/>
  <c r="K318" i="4"/>
  <c r="M318" i="4"/>
  <c r="V319" i="3" l="1"/>
  <c r="W319" i="3" s="1"/>
  <c r="X319" i="3" s="1"/>
  <c r="Y319" i="3" s="1"/>
  <c r="Z319" i="3" s="1"/>
  <c r="AA319" i="3" s="1"/>
  <c r="AB319" i="3" s="1"/>
  <c r="M320" i="3" l="1"/>
  <c r="AC319" i="3"/>
  <c r="AD319" i="3" s="1"/>
  <c r="C319" i="4"/>
  <c r="H319" i="4" l="1"/>
  <c r="G319" i="4"/>
  <c r="I319" i="4" s="1"/>
  <c r="J319" i="4" s="1"/>
  <c r="O320" i="3"/>
  <c r="N320" i="3"/>
  <c r="AI320" i="3"/>
  <c r="P320" i="3" l="1"/>
  <c r="Q320" i="3" s="1"/>
  <c r="L320" i="4" s="1"/>
  <c r="M319" i="4"/>
  <c r="K319" i="4"/>
  <c r="V320" i="3" l="1"/>
  <c r="W320" i="3" s="1"/>
  <c r="X320" i="3" s="1"/>
  <c r="Y320" i="3" s="1"/>
  <c r="Z320" i="3" s="1"/>
  <c r="AA320" i="3" s="1"/>
  <c r="AB320" i="3" s="1"/>
  <c r="M321" i="3" l="1"/>
  <c r="C320" i="4"/>
  <c r="AC320" i="3"/>
  <c r="AD320" i="3" s="1"/>
  <c r="H320" i="4" l="1"/>
  <c r="G320" i="4"/>
  <c r="I320" i="4" s="1"/>
  <c r="J320" i="4" s="1"/>
  <c r="N321" i="3"/>
  <c r="AI321" i="3"/>
  <c r="O321" i="3"/>
  <c r="P321" i="3" l="1"/>
  <c r="Q321" i="3" s="1"/>
  <c r="M320" i="4"/>
  <c r="K320" i="4"/>
  <c r="L321" i="4" l="1"/>
  <c r="V321" i="3"/>
  <c r="W321" i="3" l="1"/>
  <c r="X321" i="3" s="1"/>
  <c r="Y321" i="3" s="1"/>
  <c r="Z321" i="3" s="1"/>
  <c r="AA321" i="3" s="1"/>
  <c r="AB321" i="3" s="1"/>
  <c r="C321" i="4" l="1"/>
  <c r="M322" i="3"/>
  <c r="AC321" i="3"/>
  <c r="AD321" i="3" s="1"/>
  <c r="AI322" i="3" l="1"/>
  <c r="O322" i="3"/>
  <c r="N322" i="3"/>
  <c r="H321" i="4"/>
  <c r="G321" i="4"/>
  <c r="I321" i="4" s="1"/>
  <c r="J321" i="4" s="1"/>
  <c r="P322" i="3" l="1"/>
  <c r="Q322" i="3" s="1"/>
  <c r="L322" i="4" s="1"/>
  <c r="C32" i="5" s="1"/>
  <c r="N32" i="5" s="1"/>
  <c r="K321" i="4"/>
  <c r="M321" i="4"/>
  <c r="V322" i="3" l="1"/>
  <c r="W322" i="3" s="1"/>
  <c r="X322" i="3" s="1"/>
  <c r="Y322" i="3" s="1"/>
  <c r="Z322" i="3" s="1"/>
  <c r="AA322" i="3" s="1"/>
  <c r="AB322" i="3" s="1"/>
  <c r="M323" i="3" l="1"/>
  <c r="C322" i="4"/>
  <c r="AC322" i="3"/>
  <c r="AD322" i="3" s="1"/>
  <c r="H322" i="4" l="1"/>
  <c r="G322" i="4"/>
  <c r="I322" i="4" s="1"/>
  <c r="J322" i="4" s="1"/>
  <c r="N323" i="3"/>
  <c r="O323" i="3"/>
  <c r="AI323" i="3"/>
  <c r="P323" i="3" l="1"/>
  <c r="Q323" i="3" s="1"/>
  <c r="L323" i="4" s="1"/>
  <c r="D32" i="5"/>
  <c r="K322" i="4"/>
  <c r="E32" i="5" s="1"/>
  <c r="M322" i="4"/>
  <c r="V323" i="3" l="1"/>
  <c r="W323" i="3" s="1"/>
  <c r="X323" i="3" s="1"/>
  <c r="Y323" i="3" s="1"/>
  <c r="Z323" i="3" s="1"/>
  <c r="AA323" i="3" s="1"/>
  <c r="AB323" i="3" s="1"/>
  <c r="M324" i="3" l="1"/>
  <c r="AC323" i="3"/>
  <c r="AD323" i="3" s="1"/>
  <c r="C323" i="4"/>
  <c r="G323" i="4" l="1"/>
  <c r="I323" i="4" s="1"/>
  <c r="J323" i="4" s="1"/>
  <c r="H323" i="4"/>
  <c r="O324" i="3"/>
  <c r="AI324" i="3"/>
  <c r="N324" i="3"/>
  <c r="P324" i="3" l="1"/>
  <c r="Q324" i="3" s="1"/>
  <c r="L324" i="4" s="1"/>
  <c r="K323" i="4"/>
  <c r="M323" i="4"/>
  <c r="V324" i="3" l="1"/>
  <c r="W324" i="3" s="1"/>
  <c r="X324" i="3" s="1"/>
  <c r="Y324" i="3" s="1"/>
  <c r="Z324" i="3" s="1"/>
  <c r="AA324" i="3" s="1"/>
  <c r="AB324" i="3" s="1"/>
  <c r="M325" i="3" l="1"/>
  <c r="C324" i="4"/>
  <c r="AC324" i="3"/>
  <c r="AD324" i="3" s="1"/>
  <c r="H324" i="4" l="1"/>
  <c r="G324" i="4"/>
  <c r="I324" i="4" s="1"/>
  <c r="J324" i="4" s="1"/>
  <c r="N325" i="3"/>
  <c r="AI325" i="3"/>
  <c r="O325" i="3"/>
  <c r="P325" i="3" l="1"/>
  <c r="Q325" i="3" s="1"/>
  <c r="M324" i="4"/>
  <c r="K324" i="4"/>
  <c r="L325" i="4" l="1"/>
  <c r="V325" i="3"/>
  <c r="W325" i="3" l="1"/>
  <c r="X325" i="3" s="1"/>
  <c r="Y325" i="3" s="1"/>
  <c r="Z325" i="3" s="1"/>
  <c r="AA325" i="3" s="1"/>
  <c r="AB325" i="3" s="1"/>
  <c r="M326" i="3" l="1"/>
  <c r="C325" i="4"/>
  <c r="AC325" i="3"/>
  <c r="AD325" i="3" s="1"/>
  <c r="G325" i="4" l="1"/>
  <c r="I325" i="4" s="1"/>
  <c r="J325" i="4" s="1"/>
  <c r="H325" i="4"/>
  <c r="N326" i="3"/>
  <c r="AI326" i="3"/>
  <c r="O326" i="3"/>
  <c r="P326" i="3" l="1"/>
  <c r="Q326" i="3" s="1"/>
  <c r="L326" i="4" s="1"/>
  <c r="M325" i="4"/>
  <c r="K325" i="4"/>
  <c r="V326" i="3" l="1"/>
  <c r="W326" i="3" s="1"/>
  <c r="X326" i="3" s="1"/>
  <c r="Y326" i="3" s="1"/>
  <c r="Z326" i="3" s="1"/>
  <c r="AA326" i="3" s="1"/>
  <c r="AB326" i="3" s="1"/>
  <c r="AC326" i="3" l="1"/>
  <c r="AD326" i="3" s="1"/>
  <c r="C326" i="4"/>
  <c r="M327" i="3"/>
  <c r="N327" i="3" l="1"/>
  <c r="O327" i="3"/>
  <c r="AI327" i="3"/>
  <c r="H326" i="4"/>
  <c r="G326" i="4"/>
  <c r="I326" i="4" s="1"/>
  <c r="J326" i="4" s="1"/>
  <c r="M326" i="4" l="1"/>
  <c r="K326" i="4"/>
  <c r="P327" i="3"/>
  <c r="Q327" i="3" s="1"/>
  <c r="L327" i="4" l="1"/>
  <c r="V327" i="3"/>
  <c r="W327" i="3" l="1"/>
  <c r="X327" i="3" s="1"/>
  <c r="Y327" i="3" s="1"/>
  <c r="Z327" i="3" s="1"/>
  <c r="AA327" i="3" s="1"/>
  <c r="AB327" i="3" s="1"/>
  <c r="AC327" i="3" l="1"/>
  <c r="AD327" i="3" s="1"/>
  <c r="M328" i="3"/>
  <c r="C327" i="4"/>
  <c r="H327" i="4" l="1"/>
  <c r="G327" i="4"/>
  <c r="I327" i="4" s="1"/>
  <c r="J327" i="4" s="1"/>
  <c r="O328" i="3"/>
  <c r="AI328" i="3"/>
  <c r="N328" i="3"/>
  <c r="P328" i="3" l="1"/>
  <c r="Q328" i="3" s="1"/>
  <c r="L328" i="4" s="1"/>
  <c r="K327" i="4"/>
  <c r="M327" i="4"/>
  <c r="V328" i="3" l="1"/>
  <c r="W328" i="3" s="1"/>
  <c r="X328" i="3" s="1"/>
  <c r="Y328" i="3" s="1"/>
  <c r="Z328" i="3" s="1"/>
  <c r="AA328" i="3" s="1"/>
  <c r="AB328" i="3" s="1"/>
  <c r="M329" i="3" l="1"/>
  <c r="AC328" i="3"/>
  <c r="AD328" i="3" s="1"/>
  <c r="C328" i="4"/>
  <c r="H328" i="4" l="1"/>
  <c r="G328" i="4"/>
  <c r="I328" i="4" s="1"/>
  <c r="J328" i="4" s="1"/>
  <c r="AI329" i="3"/>
  <c r="O329" i="3"/>
  <c r="N329" i="3"/>
  <c r="P329" i="3" l="1"/>
  <c r="Q329" i="3" s="1"/>
  <c r="M328" i="4"/>
  <c r="K328" i="4"/>
  <c r="L329" i="4" l="1"/>
  <c r="V329" i="3"/>
  <c r="W329" i="3" l="1"/>
  <c r="X329" i="3" s="1"/>
  <c r="Y329" i="3" s="1"/>
  <c r="Z329" i="3" s="1"/>
  <c r="AA329" i="3" s="1"/>
  <c r="AB329" i="3" s="1"/>
  <c r="AC329" i="3" l="1"/>
  <c r="AD329" i="3" s="1"/>
  <c r="C329" i="4"/>
  <c r="M330" i="3"/>
  <c r="O330" i="3" l="1"/>
  <c r="N330" i="3"/>
  <c r="AI330" i="3"/>
  <c r="H329" i="4"/>
  <c r="G329" i="4"/>
  <c r="I329" i="4" s="1"/>
  <c r="J329" i="4" s="1"/>
  <c r="P330" i="3" l="1"/>
  <c r="Q330" i="3" s="1"/>
  <c r="V330" i="3" s="1"/>
  <c r="M329" i="4"/>
  <c r="K329" i="4"/>
  <c r="L330" i="4" l="1"/>
  <c r="W330" i="3"/>
  <c r="X330" i="3" s="1"/>
  <c r="Y330" i="3" s="1"/>
  <c r="Z330" i="3" s="1"/>
  <c r="AA330" i="3" s="1"/>
  <c r="AB330" i="3" s="1"/>
  <c r="AC330" i="3" l="1"/>
  <c r="AD330" i="3" s="1"/>
  <c r="C330" i="4"/>
  <c r="M331" i="3"/>
  <c r="O331" i="3" l="1"/>
  <c r="N331" i="3"/>
  <c r="AI331" i="3"/>
  <c r="H330" i="4"/>
  <c r="G330" i="4"/>
  <c r="I330" i="4" s="1"/>
  <c r="J330" i="4" s="1"/>
  <c r="P331" i="3" l="1"/>
  <c r="Q331" i="3" s="1"/>
  <c r="L331" i="4" s="1"/>
  <c r="K330" i="4"/>
  <c r="M330" i="4"/>
  <c r="V331" i="3" l="1"/>
  <c r="W331" i="3" s="1"/>
  <c r="X331" i="3" s="1"/>
  <c r="Y331" i="3" s="1"/>
  <c r="Z331" i="3" s="1"/>
  <c r="AA331" i="3" s="1"/>
  <c r="AB331" i="3" s="1"/>
  <c r="AC331" i="3" l="1"/>
  <c r="AD331" i="3" s="1"/>
  <c r="M332" i="3"/>
  <c r="C331" i="4"/>
  <c r="H331" i="4" l="1"/>
  <c r="G331" i="4"/>
  <c r="I331" i="4" s="1"/>
  <c r="J331" i="4" s="1"/>
  <c r="N332" i="3"/>
  <c r="AI332" i="3"/>
  <c r="O332" i="3"/>
  <c r="P332" i="3" l="1"/>
  <c r="Q332" i="3" s="1"/>
  <c r="K331" i="4"/>
  <c r="M331" i="4"/>
  <c r="L332" i="4" l="1"/>
  <c r="V332" i="3"/>
  <c r="W332" i="3" l="1"/>
  <c r="X332" i="3" s="1"/>
  <c r="Y332" i="3" s="1"/>
  <c r="Z332" i="3" s="1"/>
  <c r="AA332" i="3" s="1"/>
  <c r="AB332" i="3" s="1"/>
  <c r="C332" i="4" l="1"/>
  <c r="M333" i="3"/>
  <c r="AC332" i="3"/>
  <c r="AD332" i="3" s="1"/>
  <c r="O333" i="3" l="1"/>
  <c r="AI333" i="3"/>
  <c r="N333" i="3"/>
  <c r="G332" i="4"/>
  <c r="I332" i="4" s="1"/>
  <c r="J332" i="4" s="1"/>
  <c r="H332" i="4"/>
  <c r="P333" i="3" l="1"/>
  <c r="Q333" i="3" s="1"/>
  <c r="L333" i="4" s="1"/>
  <c r="K332" i="4"/>
  <c r="M332" i="4"/>
  <c r="V333" i="3" l="1"/>
  <c r="W333" i="3" s="1"/>
  <c r="X333" i="3" s="1"/>
  <c r="Y333" i="3" s="1"/>
  <c r="Z333" i="3" s="1"/>
  <c r="AA333" i="3" s="1"/>
  <c r="AB333" i="3" s="1"/>
  <c r="AC333" i="3" l="1"/>
  <c r="AD333" i="3" s="1"/>
  <c r="C333" i="4"/>
  <c r="M334" i="3"/>
  <c r="AI334" i="3" l="1"/>
  <c r="N334" i="3"/>
  <c r="O334" i="3"/>
  <c r="G333" i="4"/>
  <c r="I333" i="4" s="1"/>
  <c r="J333" i="4" s="1"/>
  <c r="H333" i="4"/>
  <c r="P334" i="3" l="1"/>
  <c r="Q334" i="3" s="1"/>
  <c r="L334" i="4" s="1"/>
  <c r="K333" i="4"/>
  <c r="M333" i="4"/>
  <c r="V334" i="3" l="1"/>
  <c r="W334" i="3" s="1"/>
  <c r="X334" i="3" s="1"/>
  <c r="Y334" i="3" s="1"/>
  <c r="Z334" i="3" s="1"/>
  <c r="AA334" i="3" s="1"/>
  <c r="AB334" i="3" s="1"/>
  <c r="C334" i="4" l="1"/>
  <c r="AC334" i="3"/>
  <c r="AD334" i="3" s="1"/>
  <c r="M335" i="3"/>
  <c r="AI335" i="3" l="1"/>
  <c r="N335" i="3"/>
  <c r="O335" i="3"/>
  <c r="H334" i="4"/>
  <c r="G334" i="4"/>
  <c r="I334" i="4" s="1"/>
  <c r="J334" i="4" s="1"/>
  <c r="P335" i="3" l="1"/>
  <c r="Q335" i="3" s="1"/>
  <c r="L335" i="4" s="1"/>
  <c r="M334" i="4"/>
  <c r="K334" i="4"/>
  <c r="V335" i="3" l="1"/>
  <c r="W335" i="3" s="1"/>
  <c r="X335" i="3" s="1"/>
  <c r="Y335" i="3" s="1"/>
  <c r="Z335" i="3" s="1"/>
  <c r="AA335" i="3" s="1"/>
  <c r="AB335" i="3" s="1"/>
  <c r="M336" i="3" l="1"/>
  <c r="C335" i="4"/>
  <c r="AC335" i="3"/>
  <c r="AD335" i="3" s="1"/>
  <c r="G335" i="4" l="1"/>
  <c r="I335" i="4" s="1"/>
  <c r="J335" i="4" s="1"/>
  <c r="H335" i="4"/>
  <c r="O336" i="3"/>
  <c r="AI336" i="3"/>
  <c r="N336" i="3"/>
  <c r="P336" i="3" l="1"/>
  <c r="Q336" i="3" s="1"/>
  <c r="L336" i="4" s="1"/>
  <c r="M335" i="4"/>
  <c r="K335" i="4"/>
  <c r="V336" i="3" l="1"/>
  <c r="W336" i="3" s="1"/>
  <c r="X336" i="3" s="1"/>
  <c r="Y336" i="3" s="1"/>
  <c r="Z336" i="3" s="1"/>
  <c r="AA336" i="3" s="1"/>
  <c r="AB336" i="3" s="1"/>
  <c r="C336" i="4" l="1"/>
  <c r="AC336" i="3"/>
  <c r="AD336" i="3" s="1"/>
  <c r="M337" i="3"/>
  <c r="O337" i="3" l="1"/>
  <c r="N337" i="3"/>
  <c r="AI337" i="3"/>
  <c r="G336" i="4"/>
  <c r="I336" i="4" s="1"/>
  <c r="J336" i="4" s="1"/>
  <c r="H336" i="4"/>
  <c r="P337" i="3" l="1"/>
  <c r="Q337" i="3" s="1"/>
  <c r="L337" i="4" s="1"/>
  <c r="K336" i="4"/>
  <c r="M336" i="4"/>
  <c r="V337" i="3" l="1"/>
  <c r="W337" i="3" s="1"/>
  <c r="X337" i="3" s="1"/>
  <c r="Y337" i="3" s="1"/>
  <c r="Z337" i="3" s="1"/>
  <c r="AA337" i="3" s="1"/>
  <c r="AB337" i="3" s="1"/>
  <c r="C337" i="4" l="1"/>
  <c r="M338" i="3"/>
  <c r="AC337" i="3"/>
  <c r="AD337" i="3" s="1"/>
  <c r="AI338" i="3" l="1"/>
  <c r="N338" i="3"/>
  <c r="O338" i="3"/>
  <c r="H337" i="4"/>
  <c r="G337" i="4"/>
  <c r="I337" i="4" s="1"/>
  <c r="J337" i="4" s="1"/>
  <c r="P338" i="3" l="1"/>
  <c r="Q338" i="3" s="1"/>
  <c r="L338" i="4" s="1"/>
  <c r="K337" i="4"/>
  <c r="M337" i="4"/>
  <c r="V338" i="3" l="1"/>
  <c r="W338" i="3" s="1"/>
  <c r="X338" i="3" s="1"/>
  <c r="Y338" i="3" s="1"/>
  <c r="Z338" i="3" s="1"/>
  <c r="AA338" i="3" s="1"/>
  <c r="AB338" i="3" s="1"/>
  <c r="AC338" i="3" l="1"/>
  <c r="AD338" i="3" s="1"/>
  <c r="M339" i="3"/>
  <c r="C338" i="4"/>
  <c r="G338" i="4" l="1"/>
  <c r="I338" i="4" s="1"/>
  <c r="J338" i="4" s="1"/>
  <c r="H338" i="4"/>
  <c r="AI339" i="3"/>
  <c r="N339" i="3"/>
  <c r="O339" i="3"/>
  <c r="P339" i="3" l="1"/>
  <c r="Q339" i="3" s="1"/>
  <c r="L339" i="4" s="1"/>
  <c r="M338" i="4"/>
  <c r="K338" i="4"/>
  <c r="V339" i="3" l="1"/>
  <c r="W339" i="3" s="1"/>
  <c r="X339" i="3" s="1"/>
  <c r="Y339" i="3" s="1"/>
  <c r="Z339" i="3" s="1"/>
  <c r="AA339" i="3" s="1"/>
  <c r="AB339" i="3" s="1"/>
  <c r="M340" i="3" l="1"/>
  <c r="C339" i="4"/>
  <c r="AC339" i="3"/>
  <c r="AD339" i="3" s="1"/>
  <c r="G339" i="4" l="1"/>
  <c r="I339" i="4" s="1"/>
  <c r="J339" i="4" s="1"/>
  <c r="H339" i="4"/>
  <c r="AI340" i="3"/>
  <c r="O340" i="3"/>
  <c r="N340" i="3"/>
  <c r="P340" i="3" l="1"/>
  <c r="Q340" i="3" s="1"/>
  <c r="M339" i="4"/>
  <c r="K339" i="4"/>
  <c r="L340" i="4" l="1"/>
  <c r="V340" i="3"/>
  <c r="W340" i="3" l="1"/>
  <c r="X340" i="3" s="1"/>
  <c r="Y340" i="3" s="1"/>
  <c r="Z340" i="3" s="1"/>
  <c r="AA340" i="3" s="1"/>
  <c r="AB340" i="3" s="1"/>
  <c r="M341" i="3" l="1"/>
  <c r="AC340" i="3"/>
  <c r="AD340" i="3" s="1"/>
  <c r="C340" i="4"/>
  <c r="H340" i="4" l="1"/>
  <c r="G340" i="4"/>
  <c r="I340" i="4" s="1"/>
  <c r="J340" i="4" s="1"/>
  <c r="O341" i="3"/>
  <c r="N341" i="3"/>
  <c r="AI341" i="3"/>
  <c r="P341" i="3" l="1"/>
  <c r="Q341" i="3" s="1"/>
  <c r="L341" i="4" s="1"/>
  <c r="K340" i="4"/>
  <c r="M340" i="4"/>
  <c r="V341" i="3" l="1"/>
  <c r="W341" i="3" s="1"/>
  <c r="X341" i="3" s="1"/>
  <c r="Y341" i="3" s="1"/>
  <c r="Z341" i="3" s="1"/>
  <c r="AA341" i="3" s="1"/>
  <c r="AB341" i="3" s="1"/>
  <c r="AC341" i="3" l="1"/>
  <c r="AD341" i="3" s="1"/>
  <c r="M342" i="3"/>
  <c r="C341" i="4"/>
  <c r="H341" i="4" l="1"/>
  <c r="G341" i="4"/>
  <c r="I341" i="4" s="1"/>
  <c r="J341" i="4" s="1"/>
  <c r="AI342" i="3"/>
  <c r="N342" i="3"/>
  <c r="O342" i="3"/>
  <c r="M341" i="4" l="1"/>
  <c r="K341" i="4"/>
  <c r="P342" i="3"/>
  <c r="Q342" i="3" s="1"/>
  <c r="L342" i="4" l="1"/>
  <c r="V342" i="3"/>
  <c r="W342" i="3" l="1"/>
  <c r="X342" i="3" s="1"/>
  <c r="Y342" i="3" s="1"/>
  <c r="Z342" i="3" s="1"/>
  <c r="AA342" i="3" s="1"/>
  <c r="AB342" i="3" s="1"/>
  <c r="C342" i="4" l="1"/>
  <c r="M343" i="3"/>
  <c r="AC342" i="3"/>
  <c r="AD342" i="3" s="1"/>
  <c r="N343" i="3" l="1"/>
  <c r="O343" i="3"/>
  <c r="AI343" i="3"/>
  <c r="H342" i="4"/>
  <c r="G342" i="4"/>
  <c r="I342" i="4" s="1"/>
  <c r="J342" i="4" s="1"/>
  <c r="M342" i="4" l="1"/>
  <c r="K342" i="4"/>
  <c r="P343" i="3"/>
  <c r="Q343" i="3" s="1"/>
  <c r="L343" i="4" l="1"/>
  <c r="V343" i="3"/>
  <c r="W343" i="3" l="1"/>
  <c r="X343" i="3" s="1"/>
  <c r="Y343" i="3" s="1"/>
  <c r="Z343" i="3" s="1"/>
  <c r="AA343" i="3" s="1"/>
  <c r="AB343" i="3" s="1"/>
  <c r="C343" i="4" l="1"/>
  <c r="M344" i="3"/>
  <c r="AC343" i="3"/>
  <c r="AD343" i="3" s="1"/>
  <c r="AI344" i="3" l="1"/>
  <c r="N344" i="3"/>
  <c r="O344" i="3"/>
  <c r="H343" i="4"/>
  <c r="G343" i="4"/>
  <c r="I343" i="4" s="1"/>
  <c r="J343" i="4" s="1"/>
  <c r="P344" i="3" l="1"/>
  <c r="Q344" i="3" s="1"/>
  <c r="L344" i="4" s="1"/>
  <c r="K343" i="4"/>
  <c r="M343" i="4"/>
  <c r="V344" i="3" l="1"/>
  <c r="W344" i="3" s="1"/>
  <c r="X344" i="3" s="1"/>
  <c r="Y344" i="3" s="1"/>
  <c r="Z344" i="3" s="1"/>
  <c r="AA344" i="3" s="1"/>
  <c r="AB344" i="3" s="1"/>
  <c r="M345" i="3" l="1"/>
  <c r="AC344" i="3"/>
  <c r="AD344" i="3" s="1"/>
  <c r="C344" i="4"/>
  <c r="G344" i="4" l="1"/>
  <c r="I344" i="4" s="1"/>
  <c r="J344" i="4" s="1"/>
  <c r="H344" i="4"/>
  <c r="AI345" i="3"/>
  <c r="N345" i="3"/>
  <c r="O345" i="3"/>
  <c r="P345" i="3" l="1"/>
  <c r="Q345" i="3" s="1"/>
  <c r="M344" i="4"/>
  <c r="K344" i="4"/>
  <c r="L345" i="4" l="1"/>
  <c r="V345" i="3"/>
  <c r="W345" i="3" l="1"/>
  <c r="X345" i="3" s="1"/>
  <c r="Y345" i="3" s="1"/>
  <c r="Z345" i="3" s="1"/>
  <c r="AA345" i="3" s="1"/>
  <c r="AB345" i="3" s="1"/>
  <c r="M346" i="3" l="1"/>
  <c r="C345" i="4"/>
  <c r="AC345" i="3"/>
  <c r="AD345" i="3" s="1"/>
  <c r="H345" i="4" l="1"/>
  <c r="G345" i="4"/>
  <c r="I345" i="4" s="1"/>
  <c r="J345" i="4" s="1"/>
  <c r="N346" i="3"/>
  <c r="AI346" i="3"/>
  <c r="O346" i="3"/>
  <c r="P346" i="3" l="1"/>
  <c r="Q346" i="3" s="1"/>
  <c r="M345" i="4"/>
  <c r="K345" i="4"/>
  <c r="L346" i="4" l="1"/>
  <c r="V346" i="3"/>
  <c r="W346" i="3" l="1"/>
  <c r="X346" i="3" s="1"/>
  <c r="Y346" i="3" s="1"/>
  <c r="Z346" i="3" s="1"/>
  <c r="AA346" i="3" s="1"/>
  <c r="AB346" i="3" s="1"/>
  <c r="M347" i="3" l="1"/>
  <c r="AC346" i="3"/>
  <c r="AD346" i="3" s="1"/>
  <c r="C346" i="4"/>
  <c r="H346" i="4" l="1"/>
  <c r="G346" i="4"/>
  <c r="I346" i="4" s="1"/>
  <c r="J346" i="4" s="1"/>
  <c r="AI347" i="3"/>
  <c r="O347" i="3"/>
  <c r="N347" i="3"/>
  <c r="P347" i="3" l="1"/>
  <c r="Q347" i="3" s="1"/>
  <c r="L347" i="4" s="1"/>
  <c r="M346" i="4"/>
  <c r="K346" i="4"/>
  <c r="V347" i="3" l="1"/>
  <c r="W347" i="3" s="1"/>
  <c r="X347" i="3" s="1"/>
  <c r="Y347" i="3" s="1"/>
  <c r="Z347" i="3" s="1"/>
  <c r="AA347" i="3" s="1"/>
  <c r="AB347" i="3" s="1"/>
  <c r="AC347" i="3" l="1"/>
  <c r="AD347" i="3" s="1"/>
  <c r="C347" i="4"/>
  <c r="M348" i="3"/>
  <c r="O348" i="3" l="1"/>
  <c r="N348" i="3"/>
  <c r="AI348" i="3"/>
  <c r="H347" i="4"/>
  <c r="G347" i="4"/>
  <c r="I347" i="4" s="1"/>
  <c r="J347" i="4" s="1"/>
  <c r="P348" i="3" l="1"/>
  <c r="Q348" i="3" s="1"/>
  <c r="L348" i="4" s="1"/>
  <c r="K347" i="4"/>
  <c r="M347" i="4"/>
  <c r="V348" i="3" l="1"/>
  <c r="W348" i="3" s="1"/>
  <c r="X348" i="3" s="1"/>
  <c r="Y348" i="3" s="1"/>
  <c r="Z348" i="3" s="1"/>
  <c r="AA348" i="3" s="1"/>
  <c r="AB348" i="3" s="1"/>
  <c r="M349" i="3" l="1"/>
  <c r="C348" i="4"/>
  <c r="AC348" i="3"/>
  <c r="AD348" i="3" s="1"/>
  <c r="H348" i="4" l="1"/>
  <c r="G348" i="4"/>
  <c r="I348" i="4" s="1"/>
  <c r="J348" i="4" s="1"/>
  <c r="AI349" i="3"/>
  <c r="O349" i="3"/>
  <c r="N349" i="3"/>
  <c r="M348" i="4" l="1"/>
  <c r="K348" i="4"/>
  <c r="P349" i="3"/>
  <c r="Q349" i="3" s="1"/>
  <c r="L349" i="4" l="1"/>
  <c r="V349" i="3"/>
  <c r="W349" i="3" l="1"/>
  <c r="X349" i="3" s="1"/>
  <c r="Y349" i="3" s="1"/>
  <c r="Z349" i="3" s="1"/>
  <c r="AA349" i="3" s="1"/>
  <c r="AB349" i="3" s="1"/>
  <c r="C349" i="4" l="1"/>
  <c r="AC349" i="3"/>
  <c r="AD349" i="3" s="1"/>
  <c r="M350" i="3"/>
  <c r="O350" i="3" l="1"/>
  <c r="AI350" i="3"/>
  <c r="N350" i="3"/>
  <c r="H349" i="4"/>
  <c r="G349" i="4"/>
  <c r="I349" i="4" s="1"/>
  <c r="J349" i="4" s="1"/>
  <c r="P350" i="3" l="1"/>
  <c r="Q350" i="3" s="1"/>
  <c r="L350" i="4" s="1"/>
  <c r="K349" i="4"/>
  <c r="M349" i="4"/>
  <c r="V350" i="3" l="1"/>
  <c r="W350" i="3" s="1"/>
  <c r="X350" i="3" s="1"/>
  <c r="Y350" i="3" s="1"/>
  <c r="Z350" i="3" s="1"/>
  <c r="AA350" i="3" s="1"/>
  <c r="AB350" i="3" s="1"/>
  <c r="AC350" i="3" l="1"/>
  <c r="AD350" i="3" s="1"/>
  <c r="C350" i="4"/>
  <c r="M351" i="3"/>
  <c r="O351" i="3" l="1"/>
  <c r="AI351" i="3"/>
  <c r="N351" i="3"/>
  <c r="G350" i="4"/>
  <c r="I350" i="4" s="1"/>
  <c r="J350" i="4" s="1"/>
  <c r="H350" i="4"/>
  <c r="P351" i="3" l="1"/>
  <c r="Q351" i="3" s="1"/>
  <c r="L351" i="4" s="1"/>
  <c r="M350" i="4"/>
  <c r="K350" i="4"/>
  <c r="V351" i="3" l="1"/>
  <c r="W351" i="3" s="1"/>
  <c r="X351" i="3" s="1"/>
  <c r="Y351" i="3" s="1"/>
  <c r="Z351" i="3" s="1"/>
  <c r="AA351" i="3" s="1"/>
  <c r="AB351" i="3" s="1"/>
  <c r="M352" i="3" l="1"/>
  <c r="AC351" i="3"/>
  <c r="AD351" i="3" s="1"/>
  <c r="C351" i="4"/>
  <c r="G351" i="4" l="1"/>
  <c r="I351" i="4" s="1"/>
  <c r="J351" i="4" s="1"/>
  <c r="H351" i="4"/>
  <c r="O352" i="3"/>
  <c r="AI352" i="3"/>
  <c r="N352" i="3"/>
  <c r="P352" i="3" l="1"/>
  <c r="Q352" i="3" s="1"/>
  <c r="L352" i="4" s="1"/>
  <c r="K351" i="4"/>
  <c r="M351" i="4"/>
  <c r="V352" i="3" l="1"/>
  <c r="W352" i="3" s="1"/>
  <c r="X352" i="3" s="1"/>
  <c r="Y352" i="3" s="1"/>
  <c r="Z352" i="3" s="1"/>
  <c r="AA352" i="3" s="1"/>
  <c r="AB352" i="3" s="1"/>
  <c r="C352" i="4" l="1"/>
  <c r="M353" i="3"/>
  <c r="AC352" i="3"/>
  <c r="AD352" i="3" s="1"/>
  <c r="AI353" i="3" l="1"/>
  <c r="O353" i="3"/>
  <c r="N353" i="3"/>
  <c r="H352" i="4"/>
  <c r="G352" i="4"/>
  <c r="I352" i="4" s="1"/>
  <c r="J352" i="4" s="1"/>
  <c r="P353" i="3" l="1"/>
  <c r="Q353" i="3" s="1"/>
  <c r="L353" i="4" s="1"/>
  <c r="M352" i="4"/>
  <c r="K352" i="4"/>
  <c r="V353" i="3" l="1"/>
  <c r="W353" i="3" s="1"/>
  <c r="X353" i="3" s="1"/>
  <c r="Y353" i="3" s="1"/>
  <c r="Z353" i="3" s="1"/>
  <c r="AA353" i="3" s="1"/>
  <c r="AB353" i="3" s="1"/>
  <c r="M354" i="3" l="1"/>
  <c r="C353" i="4"/>
  <c r="AC353" i="3"/>
  <c r="AD353" i="3" s="1"/>
  <c r="H353" i="4" l="1"/>
  <c r="G353" i="4"/>
  <c r="I353" i="4" s="1"/>
  <c r="J353" i="4" s="1"/>
  <c r="N354" i="3"/>
  <c r="AI354" i="3"/>
  <c r="O354" i="3"/>
  <c r="P354" i="3" l="1"/>
  <c r="Q354" i="3" s="1"/>
  <c r="K353" i="4"/>
  <c r="M353" i="4"/>
  <c r="L354" i="4" l="1"/>
  <c r="V354" i="3"/>
  <c r="W354" i="3" l="1"/>
  <c r="X354" i="3" s="1"/>
  <c r="Y354" i="3" s="1"/>
  <c r="Z354" i="3" s="1"/>
  <c r="AA354" i="3" s="1"/>
  <c r="AB354" i="3" s="1"/>
  <c r="AC354" i="3" l="1"/>
  <c r="AD354" i="3" s="1"/>
  <c r="M355" i="3"/>
  <c r="C354" i="4"/>
  <c r="N355" i="3" l="1"/>
  <c r="AI355" i="3"/>
  <c r="O355" i="3"/>
  <c r="G354" i="4"/>
  <c r="I354" i="4" s="1"/>
  <c r="J354" i="4" s="1"/>
  <c r="H354" i="4"/>
  <c r="M354" i="4" l="1"/>
  <c r="K354" i="4"/>
  <c r="P355" i="3"/>
  <c r="Q355" i="3" s="1"/>
  <c r="L355" i="4" l="1"/>
  <c r="V355" i="3"/>
  <c r="W355" i="3" l="1"/>
  <c r="X355" i="3" s="1"/>
  <c r="Y355" i="3" s="1"/>
  <c r="Z355" i="3" s="1"/>
  <c r="AA355" i="3" s="1"/>
  <c r="AB355" i="3" s="1"/>
  <c r="AC355" i="3" l="1"/>
  <c r="AD355" i="3" s="1"/>
  <c r="M356" i="3"/>
  <c r="C355" i="4"/>
  <c r="G355" i="4" l="1"/>
  <c r="I355" i="4" s="1"/>
  <c r="J355" i="4" s="1"/>
  <c r="H355" i="4"/>
  <c r="O356" i="3"/>
  <c r="N356" i="3"/>
  <c r="AI356" i="3"/>
  <c r="P356" i="3" l="1"/>
  <c r="Q356" i="3" s="1"/>
  <c r="K355" i="4"/>
  <c r="M355" i="4"/>
  <c r="L356" i="4" l="1"/>
  <c r="V356" i="3"/>
  <c r="W356" i="3" l="1"/>
  <c r="X356" i="3" s="1"/>
  <c r="Y356" i="3" s="1"/>
  <c r="Z356" i="3" s="1"/>
  <c r="AA356" i="3" s="1"/>
  <c r="AB356" i="3" s="1"/>
  <c r="M357" i="3" l="1"/>
  <c r="AC356" i="3"/>
  <c r="AD356" i="3" s="1"/>
  <c r="C356" i="4"/>
  <c r="G356" i="4" l="1"/>
  <c r="I356" i="4" s="1"/>
  <c r="J356" i="4" s="1"/>
  <c r="H356" i="4"/>
  <c r="N357" i="3"/>
  <c r="O357" i="3"/>
  <c r="AI357" i="3"/>
  <c r="P357" i="3" l="1"/>
  <c r="Q357" i="3" s="1"/>
  <c r="K356" i="4"/>
  <c r="M356" i="4"/>
  <c r="L357" i="4" l="1"/>
  <c r="V357" i="3"/>
  <c r="W357" i="3" l="1"/>
  <c r="X357" i="3" s="1"/>
  <c r="Y357" i="3" s="1"/>
  <c r="Z357" i="3" s="1"/>
  <c r="AA357" i="3" s="1"/>
  <c r="AB357" i="3" s="1"/>
  <c r="AC357" i="3" l="1"/>
  <c r="AD357" i="3" s="1"/>
  <c r="M358" i="3"/>
  <c r="C357" i="4"/>
  <c r="H357" i="4" l="1"/>
  <c r="G357" i="4"/>
  <c r="I357" i="4" s="1"/>
  <c r="J357" i="4" s="1"/>
  <c r="O358" i="3"/>
  <c r="N358" i="3"/>
  <c r="AI358" i="3"/>
  <c r="P358" i="3" l="1"/>
  <c r="Q358" i="3" s="1"/>
  <c r="L358" i="4" s="1"/>
  <c r="K357" i="4"/>
  <c r="M357" i="4"/>
  <c r="V358" i="3" l="1"/>
  <c r="W358" i="3" s="1"/>
  <c r="X358" i="3" s="1"/>
  <c r="Y358" i="3" s="1"/>
  <c r="Z358" i="3" s="1"/>
  <c r="AA358" i="3" s="1"/>
  <c r="AB358" i="3" s="1"/>
  <c r="M359" i="3" l="1"/>
  <c r="C358" i="4"/>
  <c r="AC358" i="3"/>
  <c r="AD358" i="3" s="1"/>
  <c r="G358" i="4" l="1"/>
  <c r="I358" i="4" s="1"/>
  <c r="J358" i="4" s="1"/>
  <c r="H358" i="4"/>
  <c r="O359" i="3"/>
  <c r="N359" i="3"/>
  <c r="AI359" i="3"/>
  <c r="P359" i="3" l="1"/>
  <c r="Q359" i="3" s="1"/>
  <c r="L359" i="4" s="1"/>
  <c r="M358" i="4"/>
  <c r="K358" i="4"/>
  <c r="V359" i="3" l="1"/>
  <c r="W359" i="3" s="1"/>
  <c r="X359" i="3" s="1"/>
  <c r="Y359" i="3" s="1"/>
  <c r="Z359" i="3" s="1"/>
  <c r="AA359" i="3" s="1"/>
  <c r="AB359" i="3" s="1"/>
  <c r="C359" i="4" l="1"/>
  <c r="AC359" i="3"/>
  <c r="AD359" i="3" s="1"/>
  <c r="M360" i="3"/>
  <c r="AI360" i="3" l="1"/>
  <c r="N360" i="3"/>
  <c r="O360" i="3"/>
  <c r="H359" i="4"/>
  <c r="G359" i="4"/>
  <c r="I359" i="4" s="1"/>
  <c r="J359" i="4" s="1"/>
  <c r="K359" i="4" l="1"/>
  <c r="M359" i="4"/>
  <c r="P360" i="3"/>
  <c r="Q360" i="3" s="1"/>
  <c r="L360" i="4" l="1"/>
  <c r="V360" i="3"/>
  <c r="W360" i="3" l="1"/>
  <c r="X360" i="3" s="1"/>
  <c r="Y360" i="3" s="1"/>
  <c r="Z360" i="3" s="1"/>
  <c r="AA360" i="3" s="1"/>
  <c r="AB360" i="3" s="1"/>
  <c r="C360" i="4" l="1"/>
  <c r="AC360" i="3"/>
  <c r="AD360" i="3" s="1"/>
  <c r="M361" i="3"/>
  <c r="AI361" i="3" l="1"/>
  <c r="O361" i="3"/>
  <c r="N361" i="3"/>
  <c r="H360" i="4"/>
  <c r="G360" i="4"/>
  <c r="I360" i="4" s="1"/>
  <c r="J360" i="4" s="1"/>
  <c r="P361" i="3" l="1"/>
  <c r="Q361" i="3" s="1"/>
  <c r="L361" i="4" s="1"/>
  <c r="M360" i="4"/>
  <c r="K360" i="4"/>
  <c r="V361" i="3" l="1"/>
  <c r="W361" i="3" s="1"/>
  <c r="X361" i="3" s="1"/>
  <c r="Y361" i="3" s="1"/>
  <c r="Z361" i="3" s="1"/>
  <c r="AA361" i="3" s="1"/>
  <c r="AB361" i="3" s="1"/>
  <c r="C361" i="4" l="1"/>
  <c r="AC361" i="3"/>
  <c r="AD361" i="3" s="1"/>
  <c r="M362" i="3"/>
  <c r="AI362" i="3" l="1"/>
  <c r="O362" i="3"/>
  <c r="N362" i="3"/>
  <c r="H361" i="4"/>
  <c r="G361" i="4"/>
  <c r="I361" i="4" s="1"/>
  <c r="J361" i="4" s="1"/>
  <c r="P362" i="3" l="1"/>
  <c r="Q362" i="3" s="1"/>
  <c r="L362" i="4" s="1"/>
  <c r="M361" i="4"/>
  <c r="K361" i="4"/>
  <c r="V362" i="3" l="1"/>
  <c r="W362" i="3" s="1"/>
  <c r="X362" i="3" s="1"/>
  <c r="Y362" i="3" s="1"/>
  <c r="Z362" i="3" s="1"/>
  <c r="AA362" i="3" s="1"/>
  <c r="AB362" i="3" s="1"/>
  <c r="AC362" i="3" l="1"/>
  <c r="AD362" i="3" s="1"/>
  <c r="M363" i="3"/>
  <c r="C362" i="4"/>
  <c r="N363" i="3" l="1"/>
  <c r="O363" i="3"/>
  <c r="AI363" i="3"/>
  <c r="G362" i="4"/>
  <c r="I362" i="4" s="1"/>
  <c r="J362" i="4" s="1"/>
  <c r="H362" i="4"/>
  <c r="M362" i="4" l="1"/>
  <c r="K362" i="4"/>
  <c r="P363" i="3"/>
  <c r="Q363" i="3" s="1"/>
  <c r="L363" i="4" l="1"/>
  <c r="V363" i="3"/>
  <c r="W363" i="3" l="1"/>
  <c r="X363" i="3" s="1"/>
  <c r="Y363" i="3" s="1"/>
  <c r="Z363" i="3" s="1"/>
  <c r="AA363" i="3" s="1"/>
  <c r="AB363" i="3" s="1"/>
  <c r="M364" i="3" l="1"/>
  <c r="C363" i="4"/>
  <c r="AC363" i="3"/>
  <c r="AD363" i="3" s="1"/>
  <c r="H363" i="4" l="1"/>
  <c r="G363" i="4"/>
  <c r="I363" i="4" s="1"/>
  <c r="J363" i="4" s="1"/>
  <c r="N364" i="3"/>
  <c r="O364" i="3"/>
  <c r="AI364" i="3"/>
  <c r="M363" i="4" l="1"/>
  <c r="K363" i="4"/>
  <c r="P364" i="3"/>
  <c r="Q364" i="3" s="1"/>
  <c r="L364" i="4" l="1"/>
  <c r="C33" i="5" s="1"/>
  <c r="N33" i="5" s="1"/>
  <c r="V364" i="3"/>
  <c r="W364" i="3" l="1"/>
  <c r="X364" i="3" s="1"/>
  <c r="Y364" i="3" s="1"/>
  <c r="Z364" i="3" s="1"/>
  <c r="AA364" i="3" s="1"/>
  <c r="AB364" i="3" s="1"/>
  <c r="M365" i="3" l="1"/>
  <c r="C364" i="4"/>
  <c r="AC364" i="3"/>
  <c r="AD364" i="3" s="1"/>
  <c r="H364" i="4" l="1"/>
  <c r="G364" i="4"/>
  <c r="I364" i="4" s="1"/>
  <c r="J364" i="4" s="1"/>
  <c r="O365" i="3"/>
  <c r="N365" i="3"/>
  <c r="AI365" i="3"/>
  <c r="D33" i="5" l="1"/>
  <c r="M364" i="4"/>
  <c r="K364" i="4"/>
  <c r="E33" i="5" s="1"/>
  <c r="P365" i="3"/>
  <c r="Q365" i="3" s="1"/>
  <c r="L365" i="4" l="1"/>
  <c r="V365" i="3"/>
  <c r="W365" i="3" l="1"/>
  <c r="X365" i="3" s="1"/>
  <c r="Y365" i="3" s="1"/>
  <c r="Z365" i="3" s="1"/>
  <c r="AA365" i="3" s="1"/>
  <c r="AB365" i="3" s="1"/>
  <c r="M366" i="3" l="1"/>
  <c r="C365" i="4"/>
  <c r="AC365" i="3"/>
  <c r="AD365" i="3" s="1"/>
  <c r="G365" i="4" l="1"/>
  <c r="I365" i="4" s="1"/>
  <c r="J365" i="4" s="1"/>
  <c r="H365" i="4"/>
  <c r="N366" i="3"/>
  <c r="O366" i="3"/>
  <c r="AI366" i="3"/>
  <c r="P366" i="3" l="1"/>
  <c r="Q366" i="3" s="1"/>
  <c r="K365" i="4"/>
  <c r="M365" i="4"/>
  <c r="L366" i="4" l="1"/>
  <c r="V366" i="3"/>
  <c r="W366" i="3" l="1"/>
  <c r="X366" i="3" s="1"/>
  <c r="Y366" i="3" s="1"/>
  <c r="Z366" i="3" s="1"/>
  <c r="AA366" i="3" s="1"/>
  <c r="AB366" i="3" s="1"/>
  <c r="AC366" i="3" l="1"/>
  <c r="AD366" i="3" s="1"/>
  <c r="M367" i="3"/>
  <c r="C366" i="4"/>
  <c r="G366" i="4" l="1"/>
  <c r="I366" i="4" s="1"/>
  <c r="J366" i="4" s="1"/>
  <c r="H366" i="4"/>
  <c r="AI367" i="3"/>
  <c r="O367" i="3"/>
  <c r="N367" i="3"/>
  <c r="P367" i="3" l="1"/>
  <c r="Q367" i="3" s="1"/>
  <c r="L367" i="4" s="1"/>
  <c r="M366" i="4"/>
  <c r="K366" i="4"/>
  <c r="V367" i="3" l="1"/>
  <c r="W367" i="3" s="1"/>
  <c r="X367" i="3" s="1"/>
  <c r="Y367" i="3" s="1"/>
  <c r="Z367" i="3" s="1"/>
  <c r="AA367" i="3" s="1"/>
  <c r="AB367" i="3" s="1"/>
  <c r="C367" i="4" l="1"/>
  <c r="M368" i="3"/>
  <c r="AC367" i="3"/>
  <c r="AD367" i="3" s="1"/>
  <c r="O368" i="3" l="1"/>
  <c r="AI368" i="3"/>
  <c r="N368" i="3"/>
  <c r="G367" i="4"/>
  <c r="I367" i="4" s="1"/>
  <c r="J367" i="4" s="1"/>
  <c r="H367" i="4"/>
  <c r="P368" i="3" l="1"/>
  <c r="Q368" i="3" s="1"/>
  <c r="L368" i="4" s="1"/>
  <c r="K367" i="4"/>
  <c r="M367" i="4"/>
  <c r="V368" i="3" l="1"/>
  <c r="W368" i="3" s="1"/>
  <c r="X368" i="3" s="1"/>
  <c r="Y368" i="3" s="1"/>
  <c r="Z368" i="3" s="1"/>
  <c r="AA368" i="3" s="1"/>
  <c r="AB368" i="3" s="1"/>
  <c r="C368" i="4" l="1"/>
  <c r="M369" i="3"/>
  <c r="AC368" i="3"/>
  <c r="AD368" i="3" s="1"/>
  <c r="AI369" i="3" l="1"/>
  <c r="O369" i="3"/>
  <c r="N369" i="3"/>
  <c r="H368" i="4"/>
  <c r="G368" i="4"/>
  <c r="I368" i="4" s="1"/>
  <c r="J368" i="4" s="1"/>
  <c r="P369" i="3" l="1"/>
  <c r="Q369" i="3" s="1"/>
  <c r="L369" i="4" s="1"/>
  <c r="M368" i="4"/>
  <c r="K368" i="4"/>
  <c r="V369" i="3" l="1"/>
  <c r="W369" i="3" s="1"/>
  <c r="X369" i="3" s="1"/>
  <c r="Y369" i="3" s="1"/>
  <c r="Z369" i="3" s="1"/>
  <c r="AA369" i="3" s="1"/>
  <c r="AB369" i="3" s="1"/>
  <c r="AC369" i="3" l="1"/>
  <c r="AD369" i="3" s="1"/>
  <c r="M370" i="3"/>
  <c r="C369" i="4"/>
  <c r="H369" i="4" l="1"/>
  <c r="G369" i="4"/>
  <c r="I369" i="4" s="1"/>
  <c r="J369" i="4" s="1"/>
  <c r="O370" i="3"/>
  <c r="N370" i="3"/>
  <c r="AI370" i="3"/>
  <c r="M369" i="4" l="1"/>
  <c r="K369" i="4"/>
  <c r="P370" i="3"/>
  <c r="Q370" i="3" s="1"/>
  <c r="L370" i="4" l="1"/>
  <c r="V370" i="3"/>
  <c r="W370" i="3" l="1"/>
  <c r="X370" i="3" s="1"/>
  <c r="Y370" i="3" s="1"/>
  <c r="Z370" i="3" s="1"/>
  <c r="AA370" i="3" s="1"/>
  <c r="AB370" i="3" s="1"/>
  <c r="M371" i="3" l="1"/>
  <c r="C370" i="4"/>
  <c r="AC370" i="3"/>
  <c r="AD370" i="3" s="1"/>
  <c r="G370" i="4" l="1"/>
  <c r="I370" i="4" s="1"/>
  <c r="J370" i="4" s="1"/>
  <c r="H370" i="4"/>
  <c r="AI371" i="3"/>
  <c r="N371" i="3"/>
  <c r="O371" i="3"/>
  <c r="P371" i="3" l="1"/>
  <c r="Q371" i="3" s="1"/>
  <c r="L371" i="4" s="1"/>
  <c r="K370" i="4"/>
  <c r="M370" i="4"/>
  <c r="V371" i="3" l="1"/>
  <c r="W371" i="3" s="1"/>
  <c r="X371" i="3" s="1"/>
  <c r="Y371" i="3" s="1"/>
  <c r="Z371" i="3" s="1"/>
  <c r="AA371" i="3" s="1"/>
  <c r="AB371" i="3" s="1"/>
  <c r="AC371" i="3" l="1"/>
  <c r="AD371" i="3" s="1"/>
  <c r="M372" i="3"/>
  <c r="C371" i="4"/>
  <c r="H371" i="4" l="1"/>
  <c r="G371" i="4"/>
  <c r="I371" i="4" s="1"/>
  <c r="J371" i="4" s="1"/>
  <c r="N372" i="3"/>
  <c r="O372" i="3"/>
  <c r="AI372" i="3"/>
  <c r="P372" i="3" l="1"/>
  <c r="Q372" i="3" s="1"/>
  <c r="K371" i="4"/>
  <c r="M371" i="4"/>
  <c r="L372" i="4" l="1"/>
  <c r="V372" i="3"/>
  <c r="W372" i="3" l="1"/>
  <c r="X372" i="3" s="1"/>
  <c r="Y372" i="3" s="1"/>
  <c r="Z372" i="3" s="1"/>
  <c r="AA372" i="3" s="1"/>
  <c r="AB372" i="3" s="1"/>
  <c r="AC372" i="3" l="1"/>
  <c r="AD372" i="3" s="1"/>
  <c r="M373" i="3"/>
  <c r="C372" i="4"/>
  <c r="O373" i="3" l="1"/>
  <c r="N373" i="3"/>
  <c r="AI373" i="3"/>
  <c r="H372" i="4"/>
  <c r="G372" i="4"/>
  <c r="I372" i="4" s="1"/>
  <c r="J372" i="4" s="1"/>
  <c r="P373" i="3" l="1"/>
  <c r="Q373" i="3" s="1"/>
  <c r="L373" i="4" s="1"/>
  <c r="K372" i="4"/>
  <c r="M372" i="4"/>
  <c r="V373" i="3" l="1"/>
  <c r="W373" i="3" s="1"/>
  <c r="X373" i="3" s="1"/>
  <c r="Y373" i="3" s="1"/>
  <c r="Z373" i="3" s="1"/>
  <c r="AA373" i="3" s="1"/>
  <c r="AB373" i="3" s="1"/>
  <c r="C373" i="4" l="1"/>
  <c r="AC373" i="3"/>
  <c r="AD373" i="3" s="1"/>
  <c r="M374" i="3"/>
  <c r="N374" i="3" l="1"/>
  <c r="O374" i="3"/>
  <c r="AI374" i="3"/>
  <c r="G373" i="4"/>
  <c r="I373" i="4" s="1"/>
  <c r="J373" i="4" s="1"/>
  <c r="H373" i="4"/>
  <c r="K373" i="4" l="1"/>
  <c r="M373" i="4"/>
  <c r="P374" i="3"/>
  <c r="Q374" i="3" s="1"/>
  <c r="L374" i="4" l="1"/>
  <c r="V374" i="3"/>
  <c r="W374" i="3" l="1"/>
  <c r="X374" i="3" s="1"/>
  <c r="Y374" i="3" s="1"/>
  <c r="Z374" i="3" s="1"/>
  <c r="AA374" i="3" s="1"/>
  <c r="AB374" i="3" s="1"/>
  <c r="M375" i="3" l="1"/>
  <c r="AC374" i="3"/>
  <c r="AD374" i="3" s="1"/>
  <c r="C374" i="4"/>
  <c r="H374" i="4" l="1"/>
  <c r="G374" i="4"/>
  <c r="I374" i="4" s="1"/>
  <c r="J374" i="4" s="1"/>
  <c r="N375" i="3"/>
  <c r="AI375" i="3"/>
  <c r="O375" i="3"/>
  <c r="P375" i="3" l="1"/>
  <c r="Q375" i="3" s="1"/>
  <c r="K374" i="4"/>
  <c r="M374" i="4"/>
  <c r="L375" i="4" l="1"/>
  <c r="V375" i="3"/>
  <c r="W375" i="3" l="1"/>
  <c r="X375" i="3" s="1"/>
  <c r="Y375" i="3" s="1"/>
  <c r="Z375" i="3" s="1"/>
  <c r="AA375" i="3" s="1"/>
  <c r="AB375" i="3" s="1"/>
  <c r="AC375" i="3" l="1"/>
  <c r="AD375" i="3" s="1"/>
  <c r="M376" i="3"/>
  <c r="C375" i="4"/>
  <c r="AI376" i="3" l="1"/>
  <c r="O376" i="3"/>
  <c r="N376" i="3"/>
  <c r="H375" i="4"/>
  <c r="G375" i="4"/>
  <c r="I375" i="4" s="1"/>
  <c r="J375" i="4" s="1"/>
  <c r="P376" i="3" l="1"/>
  <c r="Q376" i="3" s="1"/>
  <c r="L376" i="4" s="1"/>
  <c r="M375" i="4"/>
  <c r="K375" i="4"/>
  <c r="V376" i="3" l="1"/>
  <c r="W376" i="3" s="1"/>
  <c r="X376" i="3" s="1"/>
  <c r="Y376" i="3" s="1"/>
  <c r="Z376" i="3" s="1"/>
  <c r="AA376" i="3" s="1"/>
  <c r="AB376" i="3" s="1"/>
  <c r="C376" i="4" l="1"/>
  <c r="AC376" i="3"/>
  <c r="AD376" i="3" s="1"/>
  <c r="M377" i="3"/>
  <c r="AI377" i="3" l="1"/>
  <c r="N377" i="3"/>
  <c r="O377" i="3"/>
  <c r="H376" i="4"/>
  <c r="G376" i="4"/>
  <c r="I376" i="4" s="1"/>
  <c r="J376" i="4" s="1"/>
  <c r="M376" i="4" l="1"/>
  <c r="K376" i="4"/>
  <c r="P377" i="3"/>
  <c r="Q377" i="3" s="1"/>
  <c r="L377" i="4" l="1"/>
  <c r="V377" i="3"/>
  <c r="W377" i="3" l="1"/>
  <c r="X377" i="3" s="1"/>
  <c r="Y377" i="3" s="1"/>
  <c r="Z377" i="3" s="1"/>
  <c r="AA377" i="3" s="1"/>
  <c r="AB377" i="3" s="1"/>
  <c r="AC377" i="3" l="1"/>
  <c r="AD377" i="3" s="1"/>
  <c r="M378" i="3"/>
  <c r="C377" i="4"/>
  <c r="G377" i="4" l="1"/>
  <c r="I377" i="4" s="1"/>
  <c r="J377" i="4" s="1"/>
  <c r="H377" i="4"/>
  <c r="AI378" i="3"/>
  <c r="N378" i="3"/>
  <c r="O378" i="3"/>
  <c r="P378" i="3" l="1"/>
  <c r="Q378" i="3" s="1"/>
  <c r="M377" i="4"/>
  <c r="K377" i="4"/>
  <c r="L378" i="4" l="1"/>
  <c r="V378" i="3"/>
  <c r="W378" i="3" l="1"/>
  <c r="X378" i="3" s="1"/>
  <c r="Y378" i="3" s="1"/>
  <c r="Z378" i="3" s="1"/>
  <c r="AA378" i="3" s="1"/>
  <c r="AB378" i="3" s="1"/>
  <c r="M379" i="3" l="1"/>
  <c r="C378" i="4"/>
  <c r="AC378" i="3"/>
  <c r="AD378" i="3" s="1"/>
  <c r="G378" i="4" l="1"/>
  <c r="I378" i="4" s="1"/>
  <c r="J378" i="4" s="1"/>
  <c r="H378" i="4"/>
  <c r="AI379" i="3"/>
  <c r="O379" i="3"/>
  <c r="N379" i="3"/>
  <c r="P379" i="3" l="1"/>
  <c r="Q379" i="3" s="1"/>
  <c r="L379" i="4" s="1"/>
  <c r="M378" i="4"/>
  <c r="K378" i="4"/>
  <c r="V379" i="3" l="1"/>
  <c r="W379" i="3" s="1"/>
  <c r="X379" i="3" s="1"/>
  <c r="Y379" i="3" s="1"/>
  <c r="Z379" i="3" s="1"/>
  <c r="AA379" i="3" s="1"/>
  <c r="AB379" i="3" s="1"/>
  <c r="C379" i="4" l="1"/>
  <c r="M380" i="3"/>
  <c r="AC379" i="3"/>
  <c r="AD379" i="3" s="1"/>
  <c r="N380" i="3" l="1"/>
  <c r="O380" i="3"/>
  <c r="AI380" i="3"/>
  <c r="H379" i="4"/>
  <c r="G379" i="4"/>
  <c r="I379" i="4" s="1"/>
  <c r="J379" i="4" s="1"/>
  <c r="M379" i="4" l="1"/>
  <c r="K379" i="4"/>
  <c r="P380" i="3"/>
  <c r="Q380" i="3" s="1"/>
  <c r="L380" i="4" l="1"/>
  <c r="V380" i="3"/>
  <c r="W380" i="3" l="1"/>
  <c r="X380" i="3" s="1"/>
  <c r="Y380" i="3" s="1"/>
  <c r="Z380" i="3" s="1"/>
  <c r="AA380" i="3" s="1"/>
  <c r="AB380" i="3" s="1"/>
  <c r="M381" i="3" l="1"/>
  <c r="AC380" i="3"/>
  <c r="AD380" i="3" s="1"/>
  <c r="C380" i="4"/>
  <c r="H380" i="4" l="1"/>
  <c r="G380" i="4"/>
  <c r="I380" i="4" s="1"/>
  <c r="J380" i="4" s="1"/>
  <c r="N381" i="3"/>
  <c r="AI381" i="3"/>
  <c r="O381" i="3"/>
  <c r="K380" i="4" l="1"/>
  <c r="M380" i="4"/>
  <c r="P381" i="3"/>
  <c r="Q381" i="3" s="1"/>
  <c r="L381" i="4" l="1"/>
  <c r="V381" i="3"/>
  <c r="W381" i="3" l="1"/>
  <c r="X381" i="3" s="1"/>
  <c r="Y381" i="3" s="1"/>
  <c r="Z381" i="3" s="1"/>
  <c r="AA381" i="3" s="1"/>
  <c r="AB381" i="3" s="1"/>
  <c r="AC381" i="3" l="1"/>
  <c r="AD381" i="3" s="1"/>
  <c r="M382" i="3"/>
  <c r="C381" i="4"/>
  <c r="G381" i="4" l="1"/>
  <c r="I381" i="4" s="1"/>
  <c r="J381" i="4" s="1"/>
  <c r="H381" i="4"/>
  <c r="O382" i="3"/>
  <c r="AI382" i="3"/>
  <c r="N382" i="3"/>
  <c r="P382" i="3" l="1"/>
  <c r="Q382" i="3" s="1"/>
  <c r="M381" i="4"/>
  <c r="K381" i="4"/>
  <c r="L382" i="4" l="1"/>
  <c r="V382" i="3"/>
  <c r="W382" i="3" l="1"/>
  <c r="X382" i="3" s="1"/>
  <c r="Y382" i="3" s="1"/>
  <c r="Z382" i="3" s="1"/>
  <c r="AA382" i="3" s="1"/>
  <c r="AB382" i="3" s="1"/>
  <c r="C382" i="4" l="1"/>
  <c r="AC382" i="3"/>
  <c r="AD382" i="3" s="1"/>
  <c r="M383" i="3"/>
  <c r="O383" i="3" l="1"/>
  <c r="N383" i="3"/>
  <c r="AI383" i="3"/>
  <c r="G382" i="4"/>
  <c r="I382" i="4" s="1"/>
  <c r="J382" i="4" s="1"/>
  <c r="H382" i="4"/>
  <c r="M382" i="4" l="1"/>
  <c r="K382" i="4"/>
  <c r="P383" i="3"/>
  <c r="Q383" i="3" s="1"/>
  <c r="L383" i="4" l="1"/>
  <c r="V383" i="3"/>
  <c r="W383" i="3" l="1"/>
  <c r="X383" i="3" s="1"/>
  <c r="Y383" i="3" s="1"/>
  <c r="Z383" i="3" s="1"/>
  <c r="AA383" i="3" s="1"/>
  <c r="AB383" i="3" s="1"/>
  <c r="M384" i="3" l="1"/>
  <c r="C383" i="4"/>
  <c r="AC383" i="3"/>
  <c r="AD383" i="3" s="1"/>
  <c r="H383" i="4" l="1"/>
  <c r="G383" i="4"/>
  <c r="I383" i="4" s="1"/>
  <c r="J383" i="4" s="1"/>
  <c r="AI384" i="3"/>
  <c r="N384" i="3"/>
  <c r="O384" i="3"/>
  <c r="P384" i="3" l="1"/>
  <c r="Q384" i="3" s="1"/>
  <c r="M383" i="4"/>
  <c r="K383" i="4"/>
  <c r="L384" i="4" l="1"/>
  <c r="V384" i="3"/>
  <c r="W384" i="3" l="1"/>
  <c r="X384" i="3" s="1"/>
  <c r="Y384" i="3" s="1"/>
  <c r="Z384" i="3" s="1"/>
  <c r="AA384" i="3" s="1"/>
  <c r="AB384" i="3" s="1"/>
  <c r="AC384" i="3" l="1"/>
  <c r="AD384" i="3" s="1"/>
  <c r="M385" i="3"/>
  <c r="C384" i="4"/>
  <c r="G384" i="4" l="1"/>
  <c r="I384" i="4" s="1"/>
  <c r="J384" i="4" s="1"/>
  <c r="H384" i="4"/>
  <c r="N385" i="3"/>
  <c r="O385" i="3"/>
  <c r="AI385" i="3"/>
  <c r="P385" i="3" l="1"/>
  <c r="Q385" i="3" s="1"/>
  <c r="M384" i="4"/>
  <c r="K384" i="4"/>
  <c r="L385" i="4" l="1"/>
  <c r="V385" i="3"/>
  <c r="W385" i="3" l="1"/>
  <c r="X385" i="3" s="1"/>
  <c r="Y385" i="3" s="1"/>
  <c r="Z385" i="3" s="1"/>
  <c r="AA385" i="3" s="1"/>
  <c r="AB385" i="3" s="1"/>
  <c r="C385" i="4" l="1"/>
  <c r="M386" i="3"/>
  <c r="AC385" i="3"/>
  <c r="AD385" i="3" s="1"/>
  <c r="O386" i="3" l="1"/>
  <c r="AI386" i="3"/>
  <c r="N386" i="3"/>
  <c r="G385" i="4"/>
  <c r="I385" i="4" s="1"/>
  <c r="J385" i="4" s="1"/>
  <c r="H385" i="4"/>
  <c r="P386" i="3" l="1"/>
  <c r="Q386" i="3" s="1"/>
  <c r="V386" i="3" s="1"/>
  <c r="K385" i="4"/>
  <c r="M385" i="4"/>
  <c r="L386" i="4" l="1"/>
  <c r="W386" i="3"/>
  <c r="X386" i="3" s="1"/>
  <c r="Y386" i="3" s="1"/>
  <c r="Z386" i="3" s="1"/>
  <c r="AA386" i="3" s="1"/>
  <c r="AB386" i="3" s="1"/>
  <c r="M387" i="3" l="1"/>
  <c r="AC386" i="3"/>
  <c r="AD386" i="3" s="1"/>
  <c r="C386" i="4"/>
  <c r="H386" i="4" l="1"/>
  <c r="G386" i="4"/>
  <c r="I386" i="4" s="1"/>
  <c r="J386" i="4" s="1"/>
  <c r="AI387" i="3"/>
  <c r="O387" i="3"/>
  <c r="N387" i="3"/>
  <c r="P387" i="3" l="1"/>
  <c r="Q387" i="3" s="1"/>
  <c r="M386" i="4"/>
  <c r="K386" i="4"/>
  <c r="L387" i="4" l="1"/>
  <c r="V387" i="3"/>
  <c r="W387" i="3" l="1"/>
  <c r="X387" i="3" s="1"/>
  <c r="Y387" i="3" s="1"/>
  <c r="Z387" i="3" s="1"/>
  <c r="AA387" i="3" s="1"/>
  <c r="AB387" i="3" s="1"/>
  <c r="M388" i="3" l="1"/>
  <c r="AC387" i="3"/>
  <c r="AD387" i="3" s="1"/>
  <c r="C387" i="4"/>
  <c r="H387" i="4" l="1"/>
  <c r="G387" i="4"/>
  <c r="I387" i="4" s="1"/>
  <c r="J387" i="4" s="1"/>
  <c r="N388" i="3"/>
  <c r="O388" i="3"/>
  <c r="AI388" i="3"/>
  <c r="M387" i="4" l="1"/>
  <c r="K387" i="4"/>
  <c r="P388" i="3"/>
  <c r="Q388" i="3" s="1"/>
  <c r="L388" i="4" l="1"/>
  <c r="V388" i="3"/>
  <c r="W388" i="3" l="1"/>
  <c r="X388" i="3" s="1"/>
  <c r="Y388" i="3" s="1"/>
  <c r="Z388" i="3" s="1"/>
  <c r="AA388" i="3" s="1"/>
  <c r="AB388" i="3" s="1"/>
  <c r="C388" i="4" l="1"/>
  <c r="AC388" i="3"/>
  <c r="AD388" i="3" s="1"/>
  <c r="M389" i="3"/>
  <c r="O389" i="3" l="1"/>
  <c r="AI389" i="3"/>
  <c r="N389" i="3"/>
  <c r="H388" i="4"/>
  <c r="G388" i="4"/>
  <c r="I388" i="4" s="1"/>
  <c r="J388" i="4" s="1"/>
  <c r="P389" i="3" l="1"/>
  <c r="Q389" i="3" s="1"/>
  <c r="L389" i="4" s="1"/>
  <c r="K388" i="4"/>
  <c r="M388" i="4"/>
  <c r="V389" i="3" l="1"/>
  <c r="W389" i="3" s="1"/>
  <c r="X389" i="3" s="1"/>
  <c r="Y389" i="3" s="1"/>
  <c r="Z389" i="3" s="1"/>
  <c r="AA389" i="3" s="1"/>
  <c r="AB389" i="3" s="1"/>
  <c r="C389" i="4" l="1"/>
  <c r="AC389" i="3"/>
  <c r="AD389" i="3" s="1"/>
  <c r="M390" i="3"/>
  <c r="N390" i="3" l="1"/>
  <c r="O390" i="3"/>
  <c r="AI390" i="3"/>
  <c r="G389" i="4"/>
  <c r="I389" i="4" s="1"/>
  <c r="J389" i="4" s="1"/>
  <c r="H389" i="4"/>
  <c r="M389" i="4" l="1"/>
  <c r="K389" i="4"/>
  <c r="P390" i="3"/>
  <c r="Q390" i="3" s="1"/>
  <c r="L390" i="4" l="1"/>
  <c r="V390" i="3"/>
  <c r="W390" i="3" l="1"/>
  <c r="X390" i="3" s="1"/>
  <c r="Y390" i="3" s="1"/>
  <c r="Z390" i="3" s="1"/>
  <c r="AA390" i="3" s="1"/>
  <c r="AB390" i="3" s="1"/>
  <c r="M391" i="3" l="1"/>
  <c r="C390" i="4"/>
  <c r="AC390" i="3"/>
  <c r="AD390" i="3" s="1"/>
  <c r="H390" i="4" l="1"/>
  <c r="G390" i="4"/>
  <c r="I390" i="4" s="1"/>
  <c r="J390" i="4" s="1"/>
  <c r="O391" i="3"/>
  <c r="AI391" i="3"/>
  <c r="N391" i="3"/>
  <c r="P391" i="3" l="1"/>
  <c r="Q391" i="3" s="1"/>
  <c r="K390" i="4"/>
  <c r="M390" i="4"/>
  <c r="L391" i="4" l="1"/>
  <c r="V391" i="3"/>
  <c r="W391" i="3" l="1"/>
  <c r="X391" i="3" s="1"/>
  <c r="Y391" i="3" s="1"/>
  <c r="Z391" i="3" s="1"/>
  <c r="AA391" i="3" s="1"/>
  <c r="AB391" i="3" s="1"/>
  <c r="AC391" i="3" l="1"/>
  <c r="AD391" i="3" s="1"/>
  <c r="C391" i="4"/>
  <c r="M392" i="3"/>
  <c r="N392" i="3" l="1"/>
  <c r="O392" i="3"/>
  <c r="AI392" i="3"/>
  <c r="H391" i="4"/>
  <c r="G391" i="4"/>
  <c r="I391" i="4" s="1"/>
  <c r="J391" i="4" s="1"/>
  <c r="K391" i="4" l="1"/>
  <c r="M391" i="4"/>
  <c r="P392" i="3"/>
  <c r="Q392" i="3" s="1"/>
  <c r="L392" i="4" l="1"/>
  <c r="V392" i="3"/>
  <c r="W392" i="3" l="1"/>
  <c r="X392" i="3" s="1"/>
  <c r="Y392" i="3" s="1"/>
  <c r="Z392" i="3" s="1"/>
  <c r="AA392" i="3" s="1"/>
  <c r="AB392" i="3" s="1"/>
  <c r="M393" i="3" l="1"/>
  <c r="AC392" i="3"/>
  <c r="AD392" i="3" s="1"/>
  <c r="C392" i="4"/>
  <c r="G392" i="4" l="1"/>
  <c r="I392" i="4" s="1"/>
  <c r="J392" i="4" s="1"/>
  <c r="H392" i="4"/>
  <c r="N393" i="3"/>
  <c r="AI393" i="3"/>
  <c r="O393" i="3"/>
  <c r="P393" i="3" l="1"/>
  <c r="Q393" i="3" s="1"/>
  <c r="K392" i="4"/>
  <c r="M392" i="4"/>
  <c r="L393" i="4" l="1"/>
  <c r="V393" i="3"/>
  <c r="W393" i="3" l="1"/>
  <c r="X393" i="3" s="1"/>
  <c r="Y393" i="3" s="1"/>
  <c r="Z393" i="3" s="1"/>
  <c r="AA393" i="3" s="1"/>
  <c r="AB393" i="3" s="1"/>
  <c r="AC393" i="3" l="1"/>
  <c r="AD393" i="3" s="1"/>
  <c r="C393" i="4"/>
  <c r="M394" i="3"/>
  <c r="N394" i="3" l="1"/>
  <c r="O394" i="3"/>
  <c r="AI394" i="3"/>
  <c r="H393" i="4"/>
  <c r="G393" i="4"/>
  <c r="I393" i="4" s="1"/>
  <c r="J393" i="4" s="1"/>
  <c r="M393" i="4" l="1"/>
  <c r="K393" i="4"/>
  <c r="P394" i="3"/>
  <c r="Q394" i="3" s="1"/>
  <c r="L394" i="4" l="1"/>
  <c r="V394" i="3"/>
  <c r="W394" i="3" l="1"/>
  <c r="X394" i="3" s="1"/>
  <c r="Y394" i="3" s="1"/>
  <c r="Z394" i="3" s="1"/>
  <c r="AA394" i="3" s="1"/>
  <c r="AB394" i="3" s="1"/>
  <c r="M395" i="3" l="1"/>
  <c r="C394" i="4"/>
  <c r="AC394" i="3"/>
  <c r="AD394" i="3" s="1"/>
  <c r="G394" i="4" l="1"/>
  <c r="I394" i="4" s="1"/>
  <c r="J394" i="4" s="1"/>
  <c r="H394" i="4"/>
  <c r="AI395" i="3"/>
  <c r="N395" i="3"/>
  <c r="O395" i="3"/>
  <c r="P395" i="3" l="1"/>
  <c r="Q395" i="3" s="1"/>
  <c r="L395" i="4" s="1"/>
  <c r="K394" i="4"/>
  <c r="M394" i="4"/>
  <c r="V395" i="3" l="1"/>
  <c r="W395" i="3" s="1"/>
  <c r="X395" i="3" s="1"/>
  <c r="Y395" i="3" s="1"/>
  <c r="Z395" i="3" s="1"/>
  <c r="AA395" i="3" s="1"/>
  <c r="AB395" i="3" s="1"/>
  <c r="C395" i="4" l="1"/>
  <c r="AC395" i="3"/>
  <c r="AD395" i="3" s="1"/>
  <c r="M396" i="3"/>
  <c r="AI396" i="3" l="1"/>
  <c r="O396" i="3"/>
  <c r="N396" i="3"/>
  <c r="H395" i="4"/>
  <c r="G395" i="4"/>
  <c r="I395" i="4" s="1"/>
  <c r="J395" i="4" s="1"/>
  <c r="P396" i="3" l="1"/>
  <c r="Q396" i="3" s="1"/>
  <c r="L396" i="4" s="1"/>
  <c r="K395" i="4"/>
  <c r="M395" i="4"/>
  <c r="V396" i="3" l="1"/>
  <c r="W396" i="3" s="1"/>
  <c r="X396" i="3" s="1"/>
  <c r="Y396" i="3" s="1"/>
  <c r="Z396" i="3" s="1"/>
  <c r="AA396" i="3" s="1"/>
  <c r="AB396" i="3" s="1"/>
  <c r="C396" i="4" l="1"/>
  <c r="AC396" i="3"/>
  <c r="AD396" i="3" s="1"/>
  <c r="M397" i="3"/>
  <c r="O397" i="3" l="1"/>
  <c r="N397" i="3"/>
  <c r="AI397" i="3"/>
  <c r="G396" i="4"/>
  <c r="I396" i="4" s="1"/>
  <c r="J396" i="4" s="1"/>
  <c r="H396" i="4"/>
  <c r="P397" i="3" l="1"/>
  <c r="Q397" i="3" s="1"/>
  <c r="L397" i="4" s="1"/>
  <c r="K396" i="4"/>
  <c r="M396" i="4"/>
  <c r="V397" i="3" l="1"/>
  <c r="W397" i="3" s="1"/>
  <c r="X397" i="3" s="1"/>
  <c r="Y397" i="3" s="1"/>
  <c r="Z397" i="3" s="1"/>
  <c r="AA397" i="3" s="1"/>
  <c r="AB397" i="3" s="1"/>
  <c r="M398" i="3" l="1"/>
  <c r="C397" i="4"/>
  <c r="AC397" i="3"/>
  <c r="AD397" i="3" s="1"/>
  <c r="G397" i="4" l="1"/>
  <c r="I397" i="4" s="1"/>
  <c r="J397" i="4" s="1"/>
  <c r="H397" i="4"/>
  <c r="O398" i="3"/>
  <c r="N398" i="3"/>
  <c r="AI398" i="3"/>
  <c r="P398" i="3" l="1"/>
  <c r="Q398" i="3" s="1"/>
  <c r="L398" i="4" s="1"/>
  <c r="K397" i="4"/>
  <c r="M397" i="4"/>
  <c r="V398" i="3" l="1"/>
  <c r="W398" i="3" s="1"/>
  <c r="X398" i="3" s="1"/>
  <c r="Y398" i="3" s="1"/>
  <c r="Z398" i="3" s="1"/>
  <c r="AA398" i="3" s="1"/>
  <c r="AB398" i="3" s="1"/>
  <c r="AC398" i="3" l="1"/>
  <c r="AD398" i="3" s="1"/>
  <c r="C398" i="4"/>
  <c r="M399" i="3"/>
  <c r="O399" i="3" l="1"/>
  <c r="N399" i="3"/>
  <c r="AI399" i="3"/>
  <c r="G398" i="4"/>
  <c r="I398" i="4" s="1"/>
  <c r="J398" i="4" s="1"/>
  <c r="H398" i="4"/>
  <c r="P399" i="3" l="1"/>
  <c r="Q399" i="3" s="1"/>
  <c r="L399" i="4" s="1"/>
  <c r="K398" i="4"/>
  <c r="M398" i="4"/>
  <c r="V399" i="3" l="1"/>
  <c r="W399" i="3" s="1"/>
  <c r="X399" i="3" s="1"/>
  <c r="Y399" i="3" s="1"/>
  <c r="Z399" i="3" s="1"/>
  <c r="AA399" i="3" s="1"/>
  <c r="AB399" i="3" s="1"/>
  <c r="C399" i="4" l="1"/>
  <c r="AC399" i="3"/>
  <c r="AD399" i="3" s="1"/>
  <c r="M400" i="3"/>
  <c r="AI400" i="3" l="1"/>
  <c r="N400" i="3"/>
  <c r="O400" i="3"/>
  <c r="G399" i="4"/>
  <c r="I399" i="4" s="1"/>
  <c r="J399" i="4" s="1"/>
  <c r="H399" i="4"/>
  <c r="M399" i="4" l="1"/>
  <c r="K399" i="4"/>
  <c r="P400" i="3"/>
  <c r="Q400" i="3" s="1"/>
  <c r="L400" i="4" l="1"/>
  <c r="V400" i="3"/>
  <c r="W400" i="3" l="1"/>
  <c r="X400" i="3" s="1"/>
  <c r="Y400" i="3" s="1"/>
  <c r="Z400" i="3" s="1"/>
  <c r="AA400" i="3" s="1"/>
  <c r="AB400" i="3" s="1"/>
  <c r="AC400" i="3" l="1"/>
  <c r="AD400" i="3" s="1"/>
  <c r="C400" i="4"/>
  <c r="M401" i="3"/>
  <c r="O401" i="3" l="1"/>
  <c r="N401" i="3"/>
  <c r="AI401" i="3"/>
  <c r="G400" i="4"/>
  <c r="I400" i="4" s="1"/>
  <c r="J400" i="4" s="1"/>
  <c r="H400" i="4"/>
  <c r="P401" i="3" l="1"/>
  <c r="Q401" i="3" s="1"/>
  <c r="L401" i="4" s="1"/>
  <c r="K400" i="4"/>
  <c r="M400" i="4"/>
  <c r="V401" i="3" l="1"/>
  <c r="W401" i="3" s="1"/>
  <c r="X401" i="3" s="1"/>
  <c r="Y401" i="3" s="1"/>
  <c r="Z401" i="3" s="1"/>
  <c r="AA401" i="3" s="1"/>
  <c r="AB401" i="3" s="1"/>
  <c r="AC401" i="3" l="1"/>
  <c r="AD401" i="3" s="1"/>
  <c r="M402" i="3"/>
  <c r="C401" i="4"/>
  <c r="G401" i="4" l="1"/>
  <c r="I401" i="4" s="1"/>
  <c r="J401" i="4" s="1"/>
  <c r="H401" i="4"/>
  <c r="AI402" i="3"/>
  <c r="O402" i="3"/>
  <c r="N402" i="3"/>
  <c r="P402" i="3" l="1"/>
  <c r="Q402" i="3" s="1"/>
  <c r="L402" i="4" s="1"/>
  <c r="K401" i="4"/>
  <c r="M401" i="4"/>
  <c r="V402" i="3" l="1"/>
  <c r="W402" i="3" s="1"/>
  <c r="X402" i="3" s="1"/>
  <c r="Y402" i="3" s="1"/>
  <c r="Z402" i="3" s="1"/>
  <c r="AA402" i="3" s="1"/>
  <c r="AB402" i="3" s="1"/>
  <c r="AC402" i="3" l="1"/>
  <c r="AD402" i="3" s="1"/>
  <c r="C402" i="4"/>
  <c r="M403" i="3"/>
  <c r="AI403" i="3" l="1"/>
  <c r="N403" i="3"/>
  <c r="O403" i="3"/>
  <c r="H402" i="4"/>
  <c r="G402" i="4"/>
  <c r="I402" i="4" s="1"/>
  <c r="J402" i="4" s="1"/>
  <c r="M402" i="4" l="1"/>
  <c r="K402" i="4"/>
  <c r="P403" i="3"/>
  <c r="Q403" i="3" s="1"/>
  <c r="L403" i="4" l="1"/>
  <c r="V403" i="3"/>
  <c r="W403" i="3" l="1"/>
  <c r="X403" i="3" s="1"/>
  <c r="Y403" i="3" s="1"/>
  <c r="Z403" i="3" s="1"/>
  <c r="AA403" i="3" s="1"/>
  <c r="AB403" i="3" s="1"/>
  <c r="C403" i="4" l="1"/>
  <c r="AC403" i="3"/>
  <c r="AD403" i="3" s="1"/>
  <c r="M404" i="3"/>
  <c r="AI404" i="3" l="1"/>
  <c r="N404" i="3"/>
  <c r="O404" i="3"/>
  <c r="H403" i="4"/>
  <c r="G403" i="4"/>
  <c r="I403" i="4" s="1"/>
  <c r="J403" i="4" s="1"/>
  <c r="M403" i="4" l="1"/>
  <c r="K403" i="4"/>
  <c r="P404" i="3"/>
  <c r="Q404" i="3" s="1"/>
  <c r="L404" i="4" l="1"/>
  <c r="V404" i="3"/>
  <c r="W404" i="3" l="1"/>
  <c r="X404" i="3" s="1"/>
  <c r="Y404" i="3" s="1"/>
  <c r="Z404" i="3" s="1"/>
  <c r="AA404" i="3" s="1"/>
  <c r="AB404" i="3" s="1"/>
  <c r="M405" i="3" l="1"/>
  <c r="C404" i="4"/>
  <c r="AC404" i="3"/>
  <c r="AD404" i="3" s="1"/>
  <c r="H404" i="4" l="1"/>
  <c r="G404" i="4"/>
  <c r="I404" i="4" s="1"/>
  <c r="J404" i="4" s="1"/>
  <c r="O405" i="3"/>
  <c r="N405" i="3"/>
  <c r="AI405" i="3"/>
  <c r="P405" i="3" l="1"/>
  <c r="Q405" i="3" s="1"/>
  <c r="L405" i="4" s="1"/>
  <c r="M404" i="4"/>
  <c r="K404" i="4"/>
  <c r="V405" i="3" l="1"/>
  <c r="W405" i="3" s="1"/>
  <c r="X405" i="3" s="1"/>
  <c r="Y405" i="3" s="1"/>
  <c r="Z405" i="3" s="1"/>
  <c r="AA405" i="3" s="1"/>
  <c r="AB405" i="3" s="1"/>
  <c r="AC405" i="3" l="1"/>
  <c r="AD405" i="3" s="1"/>
  <c r="C405" i="4"/>
  <c r="M406" i="3"/>
  <c r="AI406" i="3" l="1"/>
  <c r="O406" i="3"/>
  <c r="N406" i="3"/>
  <c r="G405" i="4"/>
  <c r="I405" i="4" s="1"/>
  <c r="J405" i="4" s="1"/>
  <c r="H405" i="4"/>
  <c r="P406" i="3" l="1"/>
  <c r="Q406" i="3" s="1"/>
  <c r="L406" i="4" s="1"/>
  <c r="C34" i="5" s="1"/>
  <c r="N34" i="5" s="1"/>
  <c r="M405" i="4"/>
  <c r="K405" i="4"/>
  <c r="V406" i="3" l="1"/>
  <c r="W406" i="3" s="1"/>
  <c r="X406" i="3" s="1"/>
  <c r="Y406" i="3" s="1"/>
  <c r="Z406" i="3" s="1"/>
  <c r="AA406" i="3" s="1"/>
  <c r="AB406" i="3" s="1"/>
  <c r="C406" i="4" l="1"/>
  <c r="AC406" i="3"/>
  <c r="AD406" i="3" s="1"/>
  <c r="M407" i="3"/>
  <c r="AI407" i="3" l="1"/>
  <c r="N407" i="3"/>
  <c r="O407" i="3"/>
  <c r="G406" i="4"/>
  <c r="I406" i="4" s="1"/>
  <c r="J406" i="4" s="1"/>
  <c r="H406" i="4"/>
  <c r="P407" i="3" l="1"/>
  <c r="Q407" i="3" s="1"/>
  <c r="L407" i="4" s="1"/>
  <c r="D34" i="5"/>
  <c r="K406" i="4"/>
  <c r="E34" i="5" s="1"/>
  <c r="M406" i="4"/>
  <c r="V407" i="3" l="1"/>
  <c r="W407" i="3" s="1"/>
  <c r="X407" i="3" s="1"/>
  <c r="Y407" i="3" s="1"/>
  <c r="Z407" i="3" s="1"/>
  <c r="AA407" i="3" s="1"/>
  <c r="AB407" i="3" s="1"/>
  <c r="M408" i="3" l="1"/>
  <c r="AC407" i="3"/>
  <c r="AD407" i="3" s="1"/>
  <c r="C407" i="4"/>
  <c r="H407" i="4" l="1"/>
  <c r="G407" i="4"/>
  <c r="I407" i="4" s="1"/>
  <c r="J407" i="4" s="1"/>
  <c r="AI408" i="3"/>
  <c r="O408" i="3"/>
  <c r="N408" i="3"/>
  <c r="P408" i="3" l="1"/>
  <c r="Q408" i="3" s="1"/>
  <c r="L408" i="4" s="1"/>
  <c r="M407" i="4"/>
  <c r="K407" i="4"/>
  <c r="V408" i="3" l="1"/>
  <c r="W408" i="3" s="1"/>
  <c r="X408" i="3" l="1"/>
  <c r="Y408" i="3" s="1"/>
  <c r="Z408" i="3" s="1"/>
  <c r="AA408" i="3" s="1"/>
  <c r="AB408" i="3" s="1"/>
  <c r="M409" i="3" s="1"/>
  <c r="AC408" i="3" l="1"/>
  <c r="AD408" i="3" s="1"/>
  <c r="C408" i="4"/>
  <c r="G408" i="4" s="1"/>
  <c r="I408" i="4" s="1"/>
  <c r="J408" i="4" s="1"/>
  <c r="N409" i="3"/>
  <c r="AI409" i="3"/>
  <c r="O409" i="3"/>
  <c r="H408" i="4" l="1"/>
  <c r="K408" i="4"/>
  <c r="M408" i="4"/>
  <c r="P409" i="3"/>
  <c r="Q409" i="3" s="1"/>
  <c r="L409" i="4" l="1"/>
  <c r="V409" i="3"/>
  <c r="W409" i="3" l="1"/>
  <c r="X409" i="3" s="1"/>
  <c r="Y409" i="3" s="1"/>
  <c r="Z409" i="3" s="1"/>
  <c r="AA409" i="3" s="1"/>
  <c r="AB409" i="3" s="1"/>
  <c r="AC409" i="3" l="1"/>
  <c r="AD409" i="3" s="1"/>
  <c r="M410" i="3"/>
  <c r="C409" i="4"/>
  <c r="H409" i="4" l="1"/>
  <c r="G409" i="4"/>
  <c r="I409" i="4" s="1"/>
  <c r="J409" i="4" s="1"/>
  <c r="O410" i="3"/>
  <c r="N410" i="3"/>
  <c r="AI410" i="3"/>
  <c r="P410" i="3" l="1"/>
  <c r="Q410" i="3" s="1"/>
  <c r="L410" i="4" s="1"/>
  <c r="M409" i="4"/>
  <c r="K409" i="4"/>
  <c r="V410" i="3" l="1"/>
  <c r="W410" i="3" s="1"/>
  <c r="X410" i="3" s="1"/>
  <c r="Y410" i="3" s="1"/>
  <c r="Z410" i="3" s="1"/>
  <c r="AA410" i="3" s="1"/>
  <c r="AB410" i="3" s="1"/>
  <c r="C410" i="4" l="1"/>
  <c r="AC410" i="3"/>
  <c r="AD410" i="3" s="1"/>
  <c r="M411" i="3"/>
  <c r="N411" i="3" l="1"/>
  <c r="O411" i="3"/>
  <c r="AI411" i="3"/>
  <c r="H410" i="4"/>
  <c r="G410" i="4"/>
  <c r="I410" i="4" s="1"/>
  <c r="J410" i="4" s="1"/>
  <c r="M410" i="4" l="1"/>
  <c r="K410" i="4"/>
  <c r="P411" i="3"/>
  <c r="Q411" i="3" s="1"/>
  <c r="L411" i="4" l="1"/>
  <c r="V411" i="3"/>
  <c r="W411" i="3" l="1"/>
  <c r="X411" i="3" s="1"/>
  <c r="Y411" i="3" s="1"/>
  <c r="Z411" i="3" s="1"/>
  <c r="AA411" i="3" s="1"/>
  <c r="AB411" i="3" s="1"/>
  <c r="AC411" i="3" l="1"/>
  <c r="AD411" i="3" s="1"/>
  <c r="M412" i="3"/>
  <c r="C411" i="4"/>
  <c r="H411" i="4" l="1"/>
  <c r="G411" i="4"/>
  <c r="I411" i="4" s="1"/>
  <c r="J411" i="4" s="1"/>
  <c r="N412" i="3"/>
  <c r="O412" i="3"/>
  <c r="AI412" i="3"/>
  <c r="M411" i="4" l="1"/>
  <c r="K411" i="4"/>
  <c r="P412" i="3"/>
  <c r="Q412" i="3" s="1"/>
  <c r="L412" i="4" l="1"/>
  <c r="V412" i="3"/>
  <c r="W412" i="3" l="1"/>
  <c r="X412" i="3" s="1"/>
  <c r="Y412" i="3" s="1"/>
  <c r="Z412" i="3" s="1"/>
  <c r="AA412" i="3" s="1"/>
  <c r="AB412" i="3" s="1"/>
  <c r="M413" i="3" l="1"/>
  <c r="AC412" i="3"/>
  <c r="AD412" i="3" s="1"/>
  <c r="C412" i="4"/>
  <c r="G412" i="4" l="1"/>
  <c r="I412" i="4" s="1"/>
  <c r="J412" i="4" s="1"/>
  <c r="H412" i="4"/>
  <c r="O413" i="3"/>
  <c r="AI413" i="3"/>
  <c r="N413" i="3"/>
  <c r="P413" i="3" l="1"/>
  <c r="Q413" i="3" s="1"/>
  <c r="L413" i="4" s="1"/>
  <c r="K412" i="4"/>
  <c r="M412" i="4"/>
  <c r="V413" i="3" l="1"/>
  <c r="W413" i="3" s="1"/>
  <c r="X413" i="3" s="1"/>
  <c r="Y413" i="3" s="1"/>
  <c r="Z413" i="3" s="1"/>
  <c r="AA413" i="3" s="1"/>
  <c r="AB413" i="3" s="1"/>
  <c r="C413" i="4" l="1"/>
  <c r="AC413" i="3"/>
  <c r="AD413" i="3" s="1"/>
  <c r="M414" i="3"/>
  <c r="AI414" i="3" l="1"/>
  <c r="N414" i="3"/>
  <c r="O414" i="3"/>
  <c r="H413" i="4"/>
  <c r="G413" i="4"/>
  <c r="I413" i="4" s="1"/>
  <c r="J413" i="4" s="1"/>
  <c r="P414" i="3" l="1"/>
  <c r="Q414" i="3" s="1"/>
  <c r="L414" i="4" s="1"/>
  <c r="M413" i="4"/>
  <c r="K413" i="4"/>
  <c r="V414" i="3" l="1"/>
  <c r="W414" i="3" s="1"/>
  <c r="X414" i="3" s="1"/>
  <c r="Y414" i="3" s="1"/>
  <c r="Z414" i="3" s="1"/>
  <c r="AA414" i="3" s="1"/>
  <c r="AB414" i="3" s="1"/>
  <c r="C414" i="4" l="1"/>
  <c r="M415" i="3"/>
  <c r="AC414" i="3"/>
  <c r="AD414" i="3" s="1"/>
  <c r="N415" i="3" l="1"/>
  <c r="AI415" i="3"/>
  <c r="O415" i="3"/>
  <c r="G414" i="4"/>
  <c r="I414" i="4" s="1"/>
  <c r="J414" i="4" s="1"/>
  <c r="H414" i="4"/>
  <c r="K414" i="4" l="1"/>
  <c r="M414" i="4"/>
  <c r="P415" i="3"/>
  <c r="Q415" i="3" s="1"/>
  <c r="L415" i="4" l="1"/>
  <c r="V415" i="3"/>
  <c r="W415" i="3" l="1"/>
  <c r="X415" i="3" s="1"/>
  <c r="Y415" i="3" s="1"/>
  <c r="Z415" i="3" s="1"/>
  <c r="AA415" i="3" s="1"/>
  <c r="AB415" i="3" s="1"/>
  <c r="M416" i="3" l="1"/>
  <c r="AC415" i="3"/>
  <c r="AD415" i="3" s="1"/>
  <c r="C415" i="4"/>
  <c r="G415" i="4" l="1"/>
  <c r="I415" i="4" s="1"/>
  <c r="J415" i="4" s="1"/>
  <c r="H415" i="4"/>
  <c r="O416" i="3"/>
  <c r="AI416" i="3"/>
  <c r="N416" i="3"/>
  <c r="P416" i="3" l="1"/>
  <c r="Q416" i="3" s="1"/>
  <c r="L416" i="4" s="1"/>
  <c r="M415" i="4"/>
  <c r="K415" i="4"/>
  <c r="V416" i="3" l="1"/>
  <c r="W416" i="3" s="1"/>
  <c r="X416" i="3" s="1"/>
  <c r="Y416" i="3" s="1"/>
  <c r="Z416" i="3" s="1"/>
  <c r="AA416" i="3" s="1"/>
  <c r="AB416" i="3" s="1"/>
  <c r="C416" i="4" l="1"/>
  <c r="AC416" i="3"/>
  <c r="AD416" i="3" s="1"/>
  <c r="M417" i="3"/>
  <c r="N417" i="3" l="1"/>
  <c r="O417" i="3"/>
  <c r="AI417" i="3"/>
  <c r="G416" i="4"/>
  <c r="I416" i="4" s="1"/>
  <c r="J416" i="4" s="1"/>
  <c r="H416" i="4"/>
  <c r="P417" i="3" l="1"/>
  <c r="Q417" i="3" s="1"/>
  <c r="L417" i="4" s="1"/>
  <c r="M416" i="4"/>
  <c r="K416" i="4"/>
  <c r="V417" i="3" l="1"/>
  <c r="W417" i="3" s="1"/>
  <c r="X417" i="3" s="1"/>
  <c r="Y417" i="3" s="1"/>
  <c r="Z417" i="3" s="1"/>
  <c r="AA417" i="3" s="1"/>
  <c r="AB417" i="3" s="1"/>
  <c r="M418" i="3" l="1"/>
  <c r="C417" i="4"/>
  <c r="AC417" i="3"/>
  <c r="AD417" i="3" s="1"/>
  <c r="G417" i="4" l="1"/>
  <c r="I417" i="4" s="1"/>
  <c r="J417" i="4" s="1"/>
  <c r="H417" i="4"/>
  <c r="O418" i="3"/>
  <c r="AI418" i="3"/>
  <c r="N418" i="3"/>
  <c r="P418" i="3" l="1"/>
  <c r="Q418" i="3" s="1"/>
  <c r="L418" i="4" s="1"/>
  <c r="M417" i="4"/>
  <c r="K417" i="4"/>
  <c r="V418" i="3" l="1"/>
  <c r="W418" i="3" s="1"/>
  <c r="X418" i="3" s="1"/>
  <c r="Y418" i="3" s="1"/>
  <c r="Z418" i="3" s="1"/>
  <c r="AA418" i="3" s="1"/>
  <c r="AB418" i="3" s="1"/>
  <c r="C418" i="4" l="1"/>
  <c r="AC418" i="3"/>
  <c r="AD418" i="3" s="1"/>
  <c r="M419" i="3"/>
  <c r="O419" i="3" l="1"/>
  <c r="N419" i="3"/>
  <c r="AI419" i="3"/>
  <c r="H418" i="4"/>
  <c r="G418" i="4"/>
  <c r="I418" i="4" s="1"/>
  <c r="J418" i="4" s="1"/>
  <c r="P419" i="3" l="1"/>
  <c r="Q419" i="3" s="1"/>
  <c r="L419" i="4" s="1"/>
  <c r="M418" i="4"/>
  <c r="K418" i="4"/>
  <c r="V419" i="3" l="1"/>
  <c r="W419" i="3" s="1"/>
  <c r="X419" i="3" l="1"/>
  <c r="Y419" i="3" s="1"/>
  <c r="Z419" i="3" s="1"/>
  <c r="AA419" i="3" s="1"/>
  <c r="AB419" i="3" s="1"/>
  <c r="AC419" i="3" s="1"/>
  <c r="AD419" i="3" s="1"/>
  <c r="C419" i="4" l="1"/>
  <c r="G419" i="4" s="1"/>
  <c r="I419" i="4" s="1"/>
  <c r="J419" i="4" s="1"/>
  <c r="M420" i="3"/>
  <c r="O420" i="3" s="1"/>
  <c r="AI420" i="3" l="1"/>
  <c r="N420" i="3"/>
  <c r="P420" i="3" s="1"/>
  <c r="Q420" i="3" s="1"/>
  <c r="L420" i="4" s="1"/>
  <c r="H419" i="4"/>
  <c r="K419" i="4"/>
  <c r="M419" i="4"/>
  <c r="V420" i="3" l="1"/>
  <c r="W420" i="3" s="1"/>
  <c r="X420" i="3" s="1"/>
  <c r="Y420" i="3" s="1"/>
  <c r="Z420" i="3" s="1"/>
  <c r="AA420" i="3" s="1"/>
  <c r="AB420" i="3" s="1"/>
  <c r="C420" i="4" l="1"/>
  <c r="M421" i="3"/>
  <c r="AC420" i="3"/>
  <c r="AD420" i="3" s="1"/>
  <c r="N421" i="3" l="1"/>
  <c r="AI421" i="3"/>
  <c r="O421" i="3"/>
  <c r="G420" i="4"/>
  <c r="I420" i="4" s="1"/>
  <c r="J420" i="4" s="1"/>
  <c r="H420" i="4"/>
  <c r="M420" i="4" l="1"/>
  <c r="K420" i="4"/>
  <c r="P421" i="3"/>
  <c r="Q421" i="3" s="1"/>
  <c r="L421" i="4" l="1"/>
  <c r="V421" i="3"/>
  <c r="W421" i="3" l="1"/>
  <c r="X421" i="3" s="1"/>
  <c r="Y421" i="3" s="1"/>
  <c r="Z421" i="3" s="1"/>
  <c r="AA421" i="3" s="1"/>
  <c r="AB421" i="3" s="1"/>
  <c r="C421" i="4" l="1"/>
  <c r="M422" i="3"/>
  <c r="AC421" i="3"/>
  <c r="AD421" i="3" s="1"/>
  <c r="N422" i="3" l="1"/>
  <c r="AI422" i="3"/>
  <c r="O422" i="3"/>
  <c r="H421" i="4"/>
  <c r="G421" i="4"/>
  <c r="I421" i="4" s="1"/>
  <c r="J421" i="4" s="1"/>
  <c r="P422" i="3" l="1"/>
  <c r="Q422" i="3" s="1"/>
  <c r="L422" i="4" s="1"/>
  <c r="M421" i="4"/>
  <c r="K421" i="4"/>
  <c r="V422" i="3" l="1"/>
  <c r="W422" i="3" s="1"/>
  <c r="X422" i="3" s="1"/>
  <c r="Y422" i="3" s="1"/>
  <c r="Z422" i="3" s="1"/>
  <c r="AA422" i="3" s="1"/>
  <c r="AB422" i="3" s="1"/>
  <c r="AC422" i="3" l="1"/>
  <c r="AD422" i="3" s="1"/>
  <c r="M423" i="3"/>
  <c r="C422" i="4"/>
  <c r="G422" i="4" l="1"/>
  <c r="I422" i="4" s="1"/>
  <c r="J422" i="4" s="1"/>
  <c r="H422" i="4"/>
  <c r="AI423" i="3"/>
  <c r="N423" i="3"/>
  <c r="O423" i="3"/>
  <c r="P423" i="3" l="1"/>
  <c r="Q423" i="3" s="1"/>
  <c r="M422" i="4"/>
  <c r="K422" i="4"/>
  <c r="L423" i="4" l="1"/>
  <c r="V423" i="3"/>
  <c r="W423" i="3" l="1"/>
  <c r="X423" i="3" s="1"/>
  <c r="Y423" i="3" s="1"/>
  <c r="Z423" i="3" s="1"/>
  <c r="AA423" i="3" s="1"/>
  <c r="AB423" i="3" s="1"/>
  <c r="M424" i="3" l="1"/>
  <c r="C423" i="4"/>
  <c r="AC423" i="3"/>
  <c r="AD423" i="3" s="1"/>
  <c r="G423" i="4" l="1"/>
  <c r="I423" i="4" s="1"/>
  <c r="J423" i="4" s="1"/>
  <c r="H423" i="4"/>
  <c r="N424" i="3"/>
  <c r="O424" i="3"/>
  <c r="AI424" i="3"/>
  <c r="P424" i="3" l="1"/>
  <c r="Q424" i="3" s="1"/>
  <c r="L424" i="4" s="1"/>
  <c r="M423" i="4"/>
  <c r="K423" i="4"/>
  <c r="V424" i="3" l="1"/>
  <c r="W424" i="3" s="1"/>
  <c r="X424" i="3" s="1"/>
  <c r="Y424" i="3" s="1"/>
  <c r="Z424" i="3" s="1"/>
  <c r="AA424" i="3" s="1"/>
  <c r="AB424" i="3" s="1"/>
  <c r="M425" i="3" l="1"/>
  <c r="C424" i="4"/>
  <c r="AC424" i="3"/>
  <c r="AD424" i="3" s="1"/>
  <c r="H424" i="4" l="1"/>
  <c r="G424" i="4"/>
  <c r="I424" i="4" s="1"/>
  <c r="J424" i="4" s="1"/>
  <c r="O425" i="3"/>
  <c r="N425" i="3"/>
  <c r="AI425" i="3"/>
  <c r="P425" i="3" l="1"/>
  <c r="Q425" i="3" s="1"/>
  <c r="L425" i="4" s="1"/>
  <c r="K424" i="4"/>
  <c r="M424" i="4"/>
  <c r="V425" i="3" l="1"/>
  <c r="W425" i="3" s="1"/>
  <c r="X425" i="3" s="1"/>
  <c r="Y425" i="3" s="1"/>
  <c r="Z425" i="3" s="1"/>
  <c r="AA425" i="3" s="1"/>
  <c r="AB425" i="3" s="1"/>
  <c r="M426" i="3" l="1"/>
  <c r="AC425" i="3"/>
  <c r="AD425" i="3" s="1"/>
  <c r="C425" i="4"/>
  <c r="H425" i="4" l="1"/>
  <c r="G425" i="4"/>
  <c r="I425" i="4" s="1"/>
  <c r="J425" i="4" s="1"/>
  <c r="O426" i="3"/>
  <c r="N426" i="3"/>
  <c r="AI426" i="3"/>
  <c r="P426" i="3" l="1"/>
  <c r="Q426" i="3" s="1"/>
  <c r="L426" i="4" s="1"/>
  <c r="M425" i="4"/>
  <c r="K425" i="4"/>
  <c r="V426" i="3" l="1"/>
  <c r="W426" i="3" s="1"/>
  <c r="X426" i="3" l="1"/>
  <c r="Y426" i="3" s="1"/>
  <c r="Z426" i="3" s="1"/>
  <c r="AA426" i="3" s="1"/>
  <c r="AB426" i="3" s="1"/>
  <c r="C426" i="4" s="1"/>
  <c r="M427" i="3" l="1"/>
  <c r="AI427" i="3" s="1"/>
  <c r="AC426" i="3"/>
  <c r="AD426" i="3" s="1"/>
  <c r="H426" i="4"/>
  <c r="G426" i="4"/>
  <c r="I426" i="4" s="1"/>
  <c r="J426" i="4" s="1"/>
  <c r="N427" i="3" l="1"/>
  <c r="O427" i="3"/>
  <c r="M426" i="4"/>
  <c r="K426" i="4"/>
  <c r="P427" i="3" l="1"/>
  <c r="Q427" i="3" s="1"/>
  <c r="L427" i="4" s="1"/>
  <c r="V427" i="3" l="1"/>
  <c r="W427" i="3" s="1"/>
  <c r="X427" i="3" s="1"/>
  <c r="Y427" i="3" s="1"/>
  <c r="Z427" i="3" s="1"/>
  <c r="AA427" i="3" s="1"/>
  <c r="AB427" i="3" s="1"/>
  <c r="M428" i="3" l="1"/>
  <c r="C427" i="4"/>
  <c r="AC427" i="3"/>
  <c r="AD427" i="3" s="1"/>
  <c r="G427" i="4" l="1"/>
  <c r="I427" i="4" s="1"/>
  <c r="J427" i="4" s="1"/>
  <c r="H427" i="4"/>
  <c r="O428" i="3"/>
  <c r="N428" i="3"/>
  <c r="AI428" i="3"/>
  <c r="P428" i="3" l="1"/>
  <c r="Q428" i="3" s="1"/>
  <c r="L428" i="4" s="1"/>
  <c r="K427" i="4"/>
  <c r="M427" i="4"/>
  <c r="V428" i="3" l="1"/>
  <c r="W428" i="3" s="1"/>
  <c r="X428" i="3" s="1"/>
  <c r="Y428" i="3" s="1"/>
  <c r="Z428" i="3" s="1"/>
  <c r="AA428" i="3" s="1"/>
  <c r="AB428" i="3" s="1"/>
  <c r="C428" i="4" l="1"/>
  <c r="M429" i="3"/>
  <c r="AC428" i="3"/>
  <c r="AD428" i="3" s="1"/>
  <c r="AI429" i="3" l="1"/>
  <c r="N429" i="3"/>
  <c r="O429" i="3"/>
  <c r="H428" i="4"/>
  <c r="G428" i="4"/>
  <c r="I428" i="4" s="1"/>
  <c r="J428" i="4" s="1"/>
  <c r="P429" i="3" l="1"/>
  <c r="Q429" i="3" s="1"/>
  <c r="V429" i="3" s="1"/>
  <c r="M428" i="4"/>
  <c r="K428" i="4"/>
  <c r="L429" i="4" l="1"/>
  <c r="W429" i="3"/>
  <c r="X429" i="3" s="1"/>
  <c r="Y429" i="3" s="1"/>
  <c r="Z429" i="3" s="1"/>
  <c r="AA429" i="3" s="1"/>
  <c r="AB429" i="3" s="1"/>
  <c r="M430" i="3" l="1"/>
  <c r="C429" i="4"/>
  <c r="AC429" i="3"/>
  <c r="AD429" i="3" s="1"/>
  <c r="G429" i="4" l="1"/>
  <c r="I429" i="4" s="1"/>
  <c r="J429" i="4" s="1"/>
  <c r="H429" i="4"/>
  <c r="AI430" i="3"/>
  <c r="O430" i="3"/>
  <c r="N430" i="3"/>
  <c r="P430" i="3" l="1"/>
  <c r="Q430" i="3" s="1"/>
  <c r="L430" i="4" s="1"/>
  <c r="K429" i="4"/>
  <c r="M429" i="4"/>
  <c r="V430" i="3" l="1"/>
  <c r="W430" i="3" s="1"/>
  <c r="X430" i="3" l="1"/>
  <c r="Y430" i="3" s="1"/>
  <c r="Z430" i="3" s="1"/>
  <c r="AA430" i="3" s="1"/>
  <c r="AB430" i="3" s="1"/>
  <c r="M431" i="3" s="1"/>
  <c r="AC430" i="3" l="1"/>
  <c r="AD430" i="3" s="1"/>
  <c r="C430" i="4"/>
  <c r="G430" i="4" s="1"/>
  <c r="I430" i="4" s="1"/>
  <c r="J430" i="4" s="1"/>
  <c r="H430" i="4"/>
  <c r="O431" i="3"/>
  <c r="AI431" i="3"/>
  <c r="N431" i="3"/>
  <c r="P431" i="3" l="1"/>
  <c r="Q431" i="3" s="1"/>
  <c r="L431" i="4" s="1"/>
  <c r="K430" i="4"/>
  <c r="M430" i="4"/>
  <c r="V431" i="3" l="1"/>
  <c r="W431" i="3" s="1"/>
  <c r="X431" i="3" s="1"/>
  <c r="Y431" i="3" s="1"/>
  <c r="Z431" i="3" s="1"/>
  <c r="AA431" i="3" s="1"/>
  <c r="AB431" i="3" s="1"/>
  <c r="AC431" i="3" l="1"/>
  <c r="AD431" i="3" s="1"/>
  <c r="M432" i="3"/>
  <c r="C431" i="4"/>
  <c r="H431" i="4" l="1"/>
  <c r="G431" i="4"/>
  <c r="I431" i="4" s="1"/>
  <c r="J431" i="4" s="1"/>
  <c r="N432" i="3"/>
  <c r="O432" i="3"/>
  <c r="AI432" i="3"/>
  <c r="P432" i="3" l="1"/>
  <c r="Q432" i="3" s="1"/>
  <c r="L432" i="4" s="1"/>
  <c r="K431" i="4"/>
  <c r="M431" i="4"/>
  <c r="V432" i="3" l="1"/>
  <c r="W432" i="3" s="1"/>
  <c r="X432" i="3" s="1"/>
  <c r="Y432" i="3" s="1"/>
  <c r="Z432" i="3" s="1"/>
  <c r="AA432" i="3" s="1"/>
  <c r="AB432" i="3" s="1"/>
  <c r="C432" i="4" l="1"/>
  <c r="M433" i="3"/>
  <c r="AC432" i="3"/>
  <c r="AD432" i="3" s="1"/>
  <c r="N433" i="3" l="1"/>
  <c r="AI433" i="3"/>
  <c r="O433" i="3"/>
  <c r="G432" i="4"/>
  <c r="I432" i="4" s="1"/>
  <c r="J432" i="4" s="1"/>
  <c r="H432" i="4"/>
  <c r="P433" i="3" l="1"/>
  <c r="Q433" i="3" s="1"/>
  <c r="L433" i="4" s="1"/>
  <c r="K432" i="4"/>
  <c r="M432" i="4"/>
  <c r="V433" i="3" l="1"/>
  <c r="W433" i="3" s="1"/>
  <c r="X433" i="3" s="1"/>
  <c r="Y433" i="3" s="1"/>
  <c r="Z433" i="3" s="1"/>
  <c r="AA433" i="3" s="1"/>
  <c r="AB433" i="3" s="1"/>
  <c r="C433" i="4" l="1"/>
  <c r="AC433" i="3"/>
  <c r="AD433" i="3" s="1"/>
  <c r="M434" i="3"/>
  <c r="O434" i="3" l="1"/>
  <c r="AI434" i="3"/>
  <c r="N434" i="3"/>
  <c r="G433" i="4"/>
  <c r="I433" i="4" s="1"/>
  <c r="J433" i="4" s="1"/>
  <c r="H433" i="4"/>
  <c r="K433" i="4" l="1"/>
  <c r="M433" i="4"/>
  <c r="P434" i="3"/>
  <c r="Q434" i="3" s="1"/>
  <c r="L434" i="4" l="1"/>
  <c r="V434" i="3"/>
  <c r="W434" i="3" l="1"/>
  <c r="X434" i="3" s="1"/>
  <c r="Y434" i="3" s="1"/>
  <c r="Z434" i="3" s="1"/>
  <c r="AA434" i="3" s="1"/>
  <c r="AB434" i="3" s="1"/>
  <c r="C434" i="4" l="1"/>
  <c r="AC434" i="3"/>
  <c r="AD434" i="3" s="1"/>
  <c r="M435" i="3"/>
  <c r="N435" i="3" l="1"/>
  <c r="O435" i="3"/>
  <c r="AI435" i="3"/>
  <c r="H434" i="4"/>
  <c r="G434" i="4"/>
  <c r="I434" i="4" s="1"/>
  <c r="J434" i="4" s="1"/>
  <c r="M434" i="4" l="1"/>
  <c r="K434" i="4"/>
  <c r="P435" i="3"/>
  <c r="Q435" i="3" s="1"/>
  <c r="L435" i="4" l="1"/>
  <c r="V435" i="3"/>
  <c r="W435" i="3" l="1"/>
  <c r="X435" i="3" s="1"/>
  <c r="Y435" i="3" s="1"/>
  <c r="Z435" i="3" s="1"/>
  <c r="AA435" i="3" s="1"/>
  <c r="AB435" i="3" s="1"/>
  <c r="M436" i="3" l="1"/>
  <c r="AC435" i="3"/>
  <c r="AD435" i="3" s="1"/>
  <c r="C435" i="4"/>
  <c r="H435" i="4" l="1"/>
  <c r="G435" i="4"/>
  <c r="I435" i="4" s="1"/>
  <c r="J435" i="4" s="1"/>
  <c r="N436" i="3"/>
  <c r="O436" i="3"/>
  <c r="AI436" i="3"/>
  <c r="K435" i="4" l="1"/>
  <c r="M435" i="4"/>
  <c r="P436" i="3"/>
  <c r="Q436" i="3" s="1"/>
  <c r="L436" i="4" l="1"/>
  <c r="V436" i="3"/>
  <c r="W436" i="3" l="1"/>
  <c r="X436" i="3" s="1"/>
  <c r="Y436" i="3" s="1"/>
  <c r="Z436" i="3" s="1"/>
  <c r="AA436" i="3" s="1"/>
  <c r="AB436" i="3" s="1"/>
  <c r="M437" i="3" l="1"/>
  <c r="AC436" i="3"/>
  <c r="AD436" i="3" s="1"/>
  <c r="C436" i="4"/>
  <c r="G436" i="4" l="1"/>
  <c r="I436" i="4" s="1"/>
  <c r="J436" i="4" s="1"/>
  <c r="H436" i="4"/>
  <c r="N437" i="3"/>
  <c r="O437" i="3"/>
  <c r="AI437" i="3"/>
  <c r="P437" i="3" l="1"/>
  <c r="Q437" i="3" s="1"/>
  <c r="M436" i="4"/>
  <c r="K436" i="4"/>
  <c r="L437" i="4" l="1"/>
  <c r="V437" i="3"/>
  <c r="W437" i="3" l="1"/>
  <c r="X437" i="3" s="1"/>
  <c r="Y437" i="3" s="1"/>
  <c r="Z437" i="3" s="1"/>
  <c r="AA437" i="3" s="1"/>
  <c r="AB437" i="3" s="1"/>
  <c r="C437" i="4" l="1"/>
  <c r="AC437" i="3"/>
  <c r="AD437" i="3" s="1"/>
  <c r="M438" i="3"/>
  <c r="AI438" i="3" l="1"/>
  <c r="O438" i="3"/>
  <c r="N438" i="3"/>
  <c r="G437" i="4"/>
  <c r="I437" i="4" s="1"/>
  <c r="J437" i="4" s="1"/>
  <c r="H437" i="4"/>
  <c r="P438" i="3" l="1"/>
  <c r="Q438" i="3" s="1"/>
  <c r="L438" i="4" s="1"/>
  <c r="K437" i="4"/>
  <c r="M437" i="4"/>
  <c r="V438" i="3" l="1"/>
  <c r="W438" i="3" s="1"/>
  <c r="X438" i="3" s="1"/>
  <c r="Y438" i="3" s="1"/>
  <c r="Z438" i="3" s="1"/>
  <c r="AA438" i="3" s="1"/>
  <c r="AB438" i="3" s="1"/>
  <c r="AC438" i="3" l="1"/>
  <c r="AD438" i="3" s="1"/>
  <c r="M439" i="3"/>
  <c r="C438" i="4"/>
  <c r="G438" i="4" l="1"/>
  <c r="I438" i="4" s="1"/>
  <c r="J438" i="4" s="1"/>
  <c r="H438" i="4"/>
  <c r="AI439" i="3"/>
  <c r="O439" i="3"/>
  <c r="N439" i="3"/>
  <c r="P439" i="3" l="1"/>
  <c r="Q439" i="3" s="1"/>
  <c r="L439" i="4" s="1"/>
  <c r="M438" i="4"/>
  <c r="K438" i="4"/>
  <c r="V439" i="3" l="1"/>
  <c r="W439" i="3" s="1"/>
  <c r="X439" i="3" s="1"/>
  <c r="Y439" i="3" s="1"/>
  <c r="Z439" i="3" s="1"/>
  <c r="AA439" i="3" s="1"/>
  <c r="AB439" i="3" s="1"/>
  <c r="M440" i="3" l="1"/>
  <c r="AC439" i="3"/>
  <c r="AD439" i="3" s="1"/>
  <c r="C439" i="4"/>
  <c r="H439" i="4" l="1"/>
  <c r="G439" i="4"/>
  <c r="I439" i="4" s="1"/>
  <c r="J439" i="4" s="1"/>
  <c r="N440" i="3"/>
  <c r="O440" i="3"/>
  <c r="AI440" i="3"/>
  <c r="P440" i="3" l="1"/>
  <c r="Q440" i="3" s="1"/>
  <c r="M439" i="4"/>
  <c r="K439" i="4"/>
  <c r="L440" i="4" l="1"/>
  <c r="V440" i="3"/>
  <c r="W440" i="3" l="1"/>
  <c r="X440" i="3" s="1"/>
  <c r="Y440" i="3" s="1"/>
  <c r="Z440" i="3" s="1"/>
  <c r="AA440" i="3" s="1"/>
  <c r="AB440" i="3" s="1"/>
  <c r="M441" i="3" l="1"/>
  <c r="C440" i="4"/>
  <c r="AC440" i="3"/>
  <c r="AD440" i="3" s="1"/>
  <c r="H440" i="4" l="1"/>
  <c r="G440" i="4"/>
  <c r="I440" i="4" s="1"/>
  <c r="J440" i="4" s="1"/>
  <c r="AI441" i="3"/>
  <c r="N441" i="3"/>
  <c r="O441" i="3"/>
  <c r="P441" i="3" l="1"/>
  <c r="Q441" i="3" s="1"/>
  <c r="L441" i="4" s="1"/>
  <c r="M440" i="4"/>
  <c r="K440" i="4"/>
  <c r="V441" i="3" l="1"/>
  <c r="W441" i="3" s="1"/>
  <c r="X441" i="3" s="1"/>
  <c r="Y441" i="3" s="1"/>
  <c r="Z441" i="3" s="1"/>
  <c r="AA441" i="3" s="1"/>
  <c r="AB441" i="3" s="1"/>
  <c r="AC441" i="3" l="1"/>
  <c r="AD441" i="3" s="1"/>
  <c r="M442" i="3"/>
  <c r="C441" i="4"/>
  <c r="G441" i="4" l="1"/>
  <c r="I441" i="4" s="1"/>
  <c r="J441" i="4" s="1"/>
  <c r="H441" i="4"/>
  <c r="AI442" i="3"/>
  <c r="N442" i="3"/>
  <c r="O442" i="3"/>
  <c r="P442" i="3" l="1"/>
  <c r="Q442" i="3" s="1"/>
  <c r="M441" i="4"/>
  <c r="K441" i="4"/>
  <c r="L442" i="4" l="1"/>
  <c r="V442" i="3"/>
  <c r="W442" i="3" l="1"/>
  <c r="X442" i="3" s="1"/>
  <c r="Y442" i="3" s="1"/>
  <c r="Z442" i="3" s="1"/>
  <c r="AA442" i="3" s="1"/>
  <c r="AB442" i="3" s="1"/>
  <c r="C442" i="4" l="1"/>
  <c r="AC442" i="3"/>
  <c r="AD442" i="3" s="1"/>
  <c r="M443" i="3"/>
  <c r="N443" i="3" l="1"/>
  <c r="AI443" i="3"/>
  <c r="O443" i="3"/>
  <c r="H442" i="4"/>
  <c r="G442" i="4"/>
  <c r="I442" i="4" s="1"/>
  <c r="J442" i="4" s="1"/>
  <c r="M442" i="4" l="1"/>
  <c r="K442" i="4"/>
  <c r="P443" i="3"/>
  <c r="Q443" i="3" s="1"/>
  <c r="L443" i="4" l="1"/>
  <c r="V443" i="3"/>
  <c r="W443" i="3" l="1"/>
  <c r="X443" i="3" s="1"/>
  <c r="Y443" i="3" s="1"/>
  <c r="Z443" i="3" s="1"/>
  <c r="AA443" i="3" s="1"/>
  <c r="AB443" i="3" s="1"/>
  <c r="M444" i="3" l="1"/>
  <c r="AC443" i="3"/>
  <c r="AD443" i="3" s="1"/>
  <c r="C443" i="4"/>
  <c r="G443" i="4" l="1"/>
  <c r="I443" i="4" s="1"/>
  <c r="J443" i="4" s="1"/>
  <c r="H443" i="4"/>
  <c r="AI444" i="3"/>
  <c r="O444" i="3"/>
  <c r="N444" i="3"/>
  <c r="P444" i="3" l="1"/>
  <c r="Q444" i="3" s="1"/>
  <c r="L444" i="4" s="1"/>
  <c r="K443" i="4"/>
  <c r="M443" i="4"/>
  <c r="V444" i="3" l="1"/>
  <c r="W444" i="3" s="1"/>
  <c r="X444" i="3" s="1"/>
  <c r="Y444" i="3" s="1"/>
  <c r="Z444" i="3" s="1"/>
  <c r="AA444" i="3" s="1"/>
  <c r="AB444" i="3" s="1"/>
  <c r="AC444" i="3" l="1"/>
  <c r="AD444" i="3" s="1"/>
  <c r="C444" i="4"/>
  <c r="M445" i="3"/>
  <c r="O445" i="3" l="1"/>
  <c r="N445" i="3"/>
  <c r="AI445" i="3"/>
  <c r="G444" i="4"/>
  <c r="I444" i="4" s="1"/>
  <c r="J444" i="4" s="1"/>
  <c r="H444" i="4"/>
  <c r="P445" i="3" l="1"/>
  <c r="Q445" i="3" s="1"/>
  <c r="L445" i="4" s="1"/>
  <c r="M444" i="4"/>
  <c r="K444" i="4"/>
  <c r="V445" i="3" l="1"/>
  <c r="W445" i="3" s="1"/>
  <c r="X445" i="3" s="1"/>
  <c r="Y445" i="3" s="1"/>
  <c r="Z445" i="3" s="1"/>
  <c r="AA445" i="3" s="1"/>
  <c r="AB445" i="3" s="1"/>
  <c r="M446" i="3" l="1"/>
  <c r="C445" i="4"/>
  <c r="AC445" i="3"/>
  <c r="AD445" i="3" s="1"/>
  <c r="H445" i="4" l="1"/>
  <c r="G445" i="4"/>
  <c r="I445" i="4" s="1"/>
  <c r="J445" i="4" s="1"/>
  <c r="O446" i="3"/>
  <c r="AI446" i="3"/>
  <c r="N446" i="3"/>
  <c r="P446" i="3" l="1"/>
  <c r="Q446" i="3" s="1"/>
  <c r="V446" i="3" s="1"/>
  <c r="M445" i="4"/>
  <c r="K445" i="4"/>
  <c r="L446" i="4" l="1"/>
  <c r="W446" i="3"/>
  <c r="X446" i="3" s="1"/>
  <c r="Y446" i="3" s="1"/>
  <c r="Z446" i="3" s="1"/>
  <c r="AA446" i="3" s="1"/>
  <c r="AB446" i="3" s="1"/>
  <c r="M447" i="3" l="1"/>
  <c r="C446" i="4"/>
  <c r="AC446" i="3"/>
  <c r="AD446" i="3" s="1"/>
  <c r="H446" i="4" l="1"/>
  <c r="G446" i="4"/>
  <c r="I446" i="4" s="1"/>
  <c r="J446" i="4" s="1"/>
  <c r="O447" i="3"/>
  <c r="AI447" i="3"/>
  <c r="N447" i="3"/>
  <c r="P447" i="3" l="1"/>
  <c r="Q447" i="3" s="1"/>
  <c r="L447" i="4" s="1"/>
  <c r="M446" i="4"/>
  <c r="K446" i="4"/>
  <c r="V447" i="3" l="1"/>
  <c r="W447" i="3" s="1"/>
  <c r="X447" i="3" s="1"/>
  <c r="Y447" i="3" s="1"/>
  <c r="Z447" i="3" s="1"/>
  <c r="AA447" i="3" s="1"/>
  <c r="AB447" i="3" s="1"/>
  <c r="AC447" i="3" l="1"/>
  <c r="AD447" i="3" s="1"/>
  <c r="C447" i="4"/>
  <c r="M448" i="3"/>
  <c r="N448" i="3" l="1"/>
  <c r="AI448" i="3"/>
  <c r="O448" i="3"/>
  <c r="G447" i="4"/>
  <c r="I447" i="4" s="1"/>
  <c r="J447" i="4" s="1"/>
  <c r="H447" i="4"/>
  <c r="K447" i="4" l="1"/>
  <c r="M447" i="4"/>
  <c r="P448" i="3"/>
  <c r="Q448" i="3" s="1"/>
  <c r="L448" i="4" l="1"/>
  <c r="C35" i="5" s="1"/>
  <c r="N35" i="5" s="1"/>
  <c r="V448" i="3"/>
  <c r="W448" i="3" l="1"/>
  <c r="X448" i="3" s="1"/>
  <c r="Y448" i="3" s="1"/>
  <c r="Z448" i="3" s="1"/>
  <c r="AA448" i="3" s="1"/>
  <c r="AB448" i="3" s="1"/>
  <c r="C448" i="4" l="1"/>
  <c r="AC448" i="3"/>
  <c r="AD448" i="3" s="1"/>
  <c r="M449" i="3"/>
  <c r="O449" i="3" l="1"/>
  <c r="AI449" i="3"/>
  <c r="N449" i="3"/>
  <c r="H448" i="4"/>
  <c r="G448" i="4"/>
  <c r="I448" i="4" s="1"/>
  <c r="J448" i="4" s="1"/>
  <c r="P449" i="3" l="1"/>
  <c r="Q449" i="3" s="1"/>
  <c r="L449" i="4" s="1"/>
  <c r="M448" i="4"/>
  <c r="K448" i="4"/>
  <c r="E35" i="5" s="1"/>
  <c r="D35" i="5"/>
  <c r="V449" i="3"/>
  <c r="W449" i="3" l="1"/>
  <c r="X449" i="3" s="1"/>
  <c r="Y449" i="3" s="1"/>
  <c r="Z449" i="3" s="1"/>
  <c r="AA449" i="3" s="1"/>
  <c r="AB449" i="3" s="1"/>
  <c r="C449" i="4" l="1"/>
  <c r="AC449" i="3"/>
  <c r="AD449" i="3" s="1"/>
  <c r="M450" i="3"/>
  <c r="AI450" i="3" l="1"/>
  <c r="O450" i="3"/>
  <c r="N450" i="3"/>
  <c r="G449" i="4"/>
  <c r="I449" i="4" s="1"/>
  <c r="J449" i="4" s="1"/>
  <c r="H449" i="4"/>
  <c r="P450" i="3" l="1"/>
  <c r="Q450" i="3" s="1"/>
  <c r="L450" i="4" s="1"/>
  <c r="M449" i="4"/>
  <c r="K449" i="4"/>
  <c r="V450" i="3" l="1"/>
  <c r="W450" i="3" s="1"/>
  <c r="X450" i="3" s="1"/>
  <c r="Y450" i="3" s="1"/>
  <c r="Z450" i="3" s="1"/>
  <c r="AA450" i="3" s="1"/>
  <c r="AB450" i="3" s="1"/>
  <c r="C450" i="4" l="1"/>
  <c r="M451" i="3"/>
  <c r="AC450" i="3"/>
  <c r="AD450" i="3" s="1"/>
  <c r="O451" i="3" l="1"/>
  <c r="N451" i="3"/>
  <c r="AI451" i="3"/>
  <c r="G450" i="4"/>
  <c r="I450" i="4" s="1"/>
  <c r="J450" i="4" s="1"/>
  <c r="H450" i="4"/>
  <c r="P451" i="3" l="1"/>
  <c r="Q451" i="3" s="1"/>
  <c r="L451" i="4" s="1"/>
  <c r="K450" i="4"/>
  <c r="M450" i="4"/>
  <c r="V451" i="3" l="1"/>
  <c r="W451" i="3" s="1"/>
  <c r="X451" i="3" s="1"/>
  <c r="Y451" i="3" s="1"/>
  <c r="Z451" i="3" s="1"/>
  <c r="AA451" i="3" s="1"/>
  <c r="AB451" i="3" s="1"/>
  <c r="C451" i="4" l="1"/>
  <c r="M452" i="3"/>
  <c r="AC451" i="3"/>
  <c r="AD451" i="3" s="1"/>
  <c r="O452" i="3" l="1"/>
  <c r="N452" i="3"/>
  <c r="AI452" i="3"/>
  <c r="G451" i="4"/>
  <c r="I451" i="4" s="1"/>
  <c r="J451" i="4" s="1"/>
  <c r="H451" i="4"/>
  <c r="P452" i="3" l="1"/>
  <c r="Q452" i="3" s="1"/>
  <c r="L452" i="4" s="1"/>
  <c r="M451" i="4"/>
  <c r="K451" i="4"/>
  <c r="V452" i="3" l="1"/>
  <c r="W452" i="3" s="1"/>
  <c r="X452" i="3" s="1"/>
  <c r="Y452" i="3" s="1"/>
  <c r="Z452" i="3" s="1"/>
  <c r="AA452" i="3" s="1"/>
  <c r="AB452" i="3" s="1"/>
  <c r="AC452" i="3" l="1"/>
  <c r="AD452" i="3" s="1"/>
  <c r="M453" i="3"/>
  <c r="C452" i="4"/>
  <c r="G452" i="4" l="1"/>
  <c r="I452" i="4" s="1"/>
  <c r="J452" i="4" s="1"/>
  <c r="H452" i="4"/>
  <c r="O453" i="3"/>
  <c r="N453" i="3"/>
  <c r="AI453" i="3"/>
  <c r="P453" i="3" l="1"/>
  <c r="Q453" i="3" s="1"/>
  <c r="L453" i="4" s="1"/>
  <c r="M452" i="4"/>
  <c r="K452" i="4"/>
  <c r="V453" i="3" l="1"/>
  <c r="W453" i="3" s="1"/>
  <c r="X453" i="3" s="1"/>
  <c r="Y453" i="3" s="1"/>
  <c r="Z453" i="3" s="1"/>
  <c r="AA453" i="3" s="1"/>
  <c r="AB453" i="3" s="1"/>
  <c r="M454" i="3" l="1"/>
  <c r="C453" i="4"/>
  <c r="AC453" i="3"/>
  <c r="AD453" i="3" s="1"/>
  <c r="H453" i="4" l="1"/>
  <c r="G453" i="4"/>
  <c r="I453" i="4" s="1"/>
  <c r="J453" i="4" s="1"/>
  <c r="N454" i="3"/>
  <c r="AI454" i="3"/>
  <c r="O454" i="3"/>
  <c r="P454" i="3" l="1"/>
  <c r="Q454" i="3" s="1"/>
  <c r="M453" i="4"/>
  <c r="K453" i="4"/>
  <c r="L454" i="4" l="1"/>
  <c r="V454" i="3"/>
  <c r="W454" i="3" l="1"/>
  <c r="X454" i="3" s="1"/>
  <c r="Y454" i="3" s="1"/>
  <c r="Z454" i="3" s="1"/>
  <c r="AA454" i="3" s="1"/>
  <c r="AB454" i="3" s="1"/>
  <c r="M455" i="3" l="1"/>
  <c r="C454" i="4"/>
  <c r="AC454" i="3"/>
  <c r="AD454" i="3" s="1"/>
  <c r="G454" i="4" l="1"/>
  <c r="I454" i="4" s="1"/>
  <c r="J454" i="4" s="1"/>
  <c r="H454" i="4"/>
  <c r="AI455" i="3"/>
  <c r="N455" i="3"/>
  <c r="O455" i="3"/>
  <c r="P455" i="3" l="1"/>
  <c r="Q455" i="3" s="1"/>
  <c r="K454" i="4"/>
  <c r="M454" i="4"/>
  <c r="L455" i="4" l="1"/>
  <c r="V455" i="3"/>
  <c r="W455" i="3" l="1"/>
  <c r="X455" i="3" s="1"/>
  <c r="Y455" i="3" s="1"/>
  <c r="Z455" i="3" s="1"/>
  <c r="AA455" i="3" s="1"/>
  <c r="AB455" i="3" s="1"/>
  <c r="M456" i="3" l="1"/>
  <c r="C455" i="4"/>
  <c r="AC455" i="3"/>
  <c r="AD455" i="3" s="1"/>
  <c r="G455" i="4" l="1"/>
  <c r="I455" i="4" s="1"/>
  <c r="J455" i="4" s="1"/>
  <c r="H455" i="4"/>
  <c r="O456" i="3"/>
  <c r="N456" i="3"/>
  <c r="AI456" i="3"/>
  <c r="P456" i="3" l="1"/>
  <c r="Q456" i="3" s="1"/>
  <c r="L456" i="4" s="1"/>
  <c r="M455" i="4"/>
  <c r="K455" i="4"/>
  <c r="V456" i="3" l="1"/>
  <c r="W456" i="3" s="1"/>
  <c r="X456" i="3" s="1"/>
  <c r="Y456" i="3" s="1"/>
  <c r="Z456" i="3" s="1"/>
  <c r="AA456" i="3" s="1"/>
  <c r="AB456" i="3" s="1"/>
  <c r="AC456" i="3" l="1"/>
  <c r="AD456" i="3" s="1"/>
  <c r="C456" i="4"/>
  <c r="M457" i="3"/>
  <c r="G456" i="4" l="1"/>
  <c r="I456" i="4" s="1"/>
  <c r="J456" i="4" s="1"/>
  <c r="H456" i="4"/>
  <c r="O457" i="3"/>
  <c r="N457" i="3"/>
  <c r="AI457" i="3"/>
  <c r="P457" i="3" l="1"/>
  <c r="Q457" i="3" s="1"/>
  <c r="L457" i="4" s="1"/>
  <c r="M456" i="4"/>
  <c r="K456" i="4"/>
  <c r="V457" i="3" l="1"/>
  <c r="W457" i="3" s="1"/>
  <c r="X457" i="3" s="1"/>
  <c r="Y457" i="3" s="1"/>
  <c r="Z457" i="3" s="1"/>
  <c r="AA457" i="3" s="1"/>
  <c r="AB457" i="3" s="1"/>
  <c r="M458" i="3" l="1"/>
  <c r="C457" i="4"/>
  <c r="AC457" i="3"/>
  <c r="AD457" i="3" s="1"/>
  <c r="G457" i="4" l="1"/>
  <c r="I457" i="4" s="1"/>
  <c r="J457" i="4" s="1"/>
  <c r="H457" i="4"/>
  <c r="N458" i="3"/>
  <c r="O458" i="3"/>
  <c r="AI458" i="3"/>
  <c r="P458" i="3" l="1"/>
  <c r="Q458" i="3" s="1"/>
  <c r="L458" i="4" s="1"/>
  <c r="M457" i="4"/>
  <c r="K457" i="4"/>
  <c r="V458" i="3" l="1"/>
  <c r="W458" i="3" s="1"/>
  <c r="X458" i="3" s="1"/>
  <c r="Y458" i="3" s="1"/>
  <c r="Z458" i="3" s="1"/>
  <c r="AA458" i="3" s="1"/>
  <c r="AB458" i="3" s="1"/>
  <c r="M459" i="3" l="1"/>
  <c r="AC458" i="3"/>
  <c r="AD458" i="3" s="1"/>
  <c r="C458" i="4"/>
  <c r="H458" i="4" l="1"/>
  <c r="G458" i="4"/>
  <c r="I458" i="4" s="1"/>
  <c r="J458" i="4" s="1"/>
  <c r="O459" i="3"/>
  <c r="AI459" i="3"/>
  <c r="N459" i="3"/>
  <c r="P459" i="3" l="1"/>
  <c r="Q459" i="3" s="1"/>
  <c r="L459" i="4" s="1"/>
  <c r="M458" i="4"/>
  <c r="K458" i="4"/>
  <c r="V459" i="3" l="1"/>
  <c r="W459" i="3" s="1"/>
  <c r="X459" i="3" s="1"/>
  <c r="Y459" i="3" s="1"/>
  <c r="Z459" i="3" s="1"/>
  <c r="AA459" i="3" s="1"/>
  <c r="AB459" i="3" s="1"/>
  <c r="C459" i="4" l="1"/>
  <c r="M460" i="3"/>
  <c r="AC459" i="3"/>
  <c r="AD459" i="3" s="1"/>
  <c r="AI460" i="3" l="1"/>
  <c r="N460" i="3"/>
  <c r="O460" i="3"/>
  <c r="H459" i="4"/>
  <c r="G459" i="4"/>
  <c r="I459" i="4" s="1"/>
  <c r="J459" i="4" s="1"/>
  <c r="P460" i="3" l="1"/>
  <c r="Q460" i="3" s="1"/>
  <c r="M459" i="4"/>
  <c r="K459" i="4"/>
  <c r="L460" i="4" l="1"/>
  <c r="V460" i="3"/>
  <c r="W460" i="3" l="1"/>
  <c r="X460" i="3" s="1"/>
  <c r="Y460" i="3" s="1"/>
  <c r="Z460" i="3" s="1"/>
  <c r="AA460" i="3" s="1"/>
  <c r="AB460" i="3" s="1"/>
  <c r="AC460" i="3" l="1"/>
  <c r="AD460" i="3" s="1"/>
  <c r="M461" i="3"/>
  <c r="C460" i="4"/>
  <c r="O461" i="3" l="1"/>
  <c r="N461" i="3"/>
  <c r="AI461" i="3"/>
  <c r="H460" i="4"/>
  <c r="G460" i="4"/>
  <c r="I460" i="4" s="1"/>
  <c r="J460" i="4" s="1"/>
  <c r="P461" i="3" l="1"/>
  <c r="Q461" i="3" s="1"/>
  <c r="L461" i="4" s="1"/>
  <c r="K460" i="4"/>
  <c r="M460" i="4"/>
  <c r="V461" i="3" l="1"/>
  <c r="W461" i="3" s="1"/>
  <c r="X461" i="3" s="1"/>
  <c r="Y461" i="3" s="1"/>
  <c r="Z461" i="3" s="1"/>
  <c r="AA461" i="3" s="1"/>
  <c r="AB461" i="3" s="1"/>
  <c r="M462" i="3" l="1"/>
  <c r="C461" i="4"/>
  <c r="AC461" i="3"/>
  <c r="AD461" i="3" s="1"/>
  <c r="H461" i="4" l="1"/>
  <c r="G461" i="4"/>
  <c r="I461" i="4" s="1"/>
  <c r="J461" i="4" s="1"/>
  <c r="N462" i="3"/>
  <c r="AI462" i="3"/>
  <c r="O462" i="3"/>
  <c r="P462" i="3" l="1"/>
  <c r="Q462" i="3" s="1"/>
  <c r="K461" i="4"/>
  <c r="M461" i="4"/>
  <c r="L462" i="4" l="1"/>
  <c r="V462" i="3"/>
  <c r="W462" i="3" l="1"/>
  <c r="X462" i="3" s="1"/>
  <c r="Y462" i="3" s="1"/>
  <c r="Z462" i="3" s="1"/>
  <c r="AA462" i="3" s="1"/>
  <c r="AB462" i="3" s="1"/>
  <c r="M463" i="3" l="1"/>
  <c r="AC462" i="3"/>
  <c r="AD462" i="3" s="1"/>
  <c r="C462" i="4"/>
  <c r="H462" i="4" l="1"/>
  <c r="G462" i="4"/>
  <c r="I462" i="4" s="1"/>
  <c r="J462" i="4" s="1"/>
  <c r="AI463" i="3"/>
  <c r="O463" i="3"/>
  <c r="N463" i="3"/>
  <c r="P463" i="3" l="1"/>
  <c r="Q463" i="3" s="1"/>
  <c r="L463" i="4" s="1"/>
  <c r="M462" i="4"/>
  <c r="K462" i="4"/>
  <c r="V463" i="3" l="1"/>
  <c r="W463" i="3" s="1"/>
  <c r="X463" i="3" s="1"/>
  <c r="Y463" i="3" s="1"/>
  <c r="Z463" i="3" s="1"/>
  <c r="AA463" i="3" s="1"/>
  <c r="AB463" i="3" s="1"/>
  <c r="M464" i="3" l="1"/>
  <c r="AC463" i="3"/>
  <c r="AD463" i="3" s="1"/>
  <c r="C463" i="4"/>
  <c r="G463" i="4" l="1"/>
  <c r="I463" i="4" s="1"/>
  <c r="J463" i="4" s="1"/>
  <c r="H463" i="4"/>
  <c r="N464" i="3"/>
  <c r="O464" i="3"/>
  <c r="AI464" i="3"/>
  <c r="P464" i="3" l="1"/>
  <c r="Q464" i="3" s="1"/>
  <c r="L464" i="4" s="1"/>
  <c r="M463" i="4"/>
  <c r="K463" i="4"/>
  <c r="V464" i="3" l="1"/>
  <c r="W464" i="3" s="1"/>
  <c r="X464" i="3" s="1"/>
  <c r="Y464" i="3" s="1"/>
  <c r="Z464" i="3" s="1"/>
  <c r="AA464" i="3" s="1"/>
  <c r="AB464" i="3" s="1"/>
  <c r="C464" i="4" l="1"/>
  <c r="M465" i="3"/>
  <c r="AC464" i="3"/>
  <c r="AD464" i="3" s="1"/>
  <c r="O465" i="3" l="1"/>
  <c r="N465" i="3"/>
  <c r="AI465" i="3"/>
  <c r="G464" i="4"/>
  <c r="I464" i="4" s="1"/>
  <c r="J464" i="4" s="1"/>
  <c r="H464" i="4"/>
  <c r="P465" i="3" l="1"/>
  <c r="Q465" i="3" s="1"/>
  <c r="L465" i="4" s="1"/>
  <c r="K464" i="4"/>
  <c r="M464" i="4"/>
  <c r="V465" i="3" l="1"/>
  <c r="W465" i="3" s="1"/>
  <c r="X465" i="3" s="1"/>
  <c r="Y465" i="3" s="1"/>
  <c r="Z465" i="3" s="1"/>
  <c r="AA465" i="3" s="1"/>
  <c r="AB465" i="3" s="1"/>
  <c r="C465" i="4" l="1"/>
  <c r="M466" i="3"/>
  <c r="AC465" i="3"/>
  <c r="AD465" i="3" s="1"/>
  <c r="O466" i="3" l="1"/>
  <c r="AI466" i="3"/>
  <c r="N466" i="3"/>
  <c r="H465" i="4"/>
  <c r="G465" i="4"/>
  <c r="I465" i="4" s="1"/>
  <c r="J465" i="4" s="1"/>
  <c r="P466" i="3" l="1"/>
  <c r="Q466" i="3" s="1"/>
  <c r="L466" i="4" s="1"/>
  <c r="K465" i="4"/>
  <c r="M465" i="4"/>
  <c r="V466" i="3" l="1"/>
  <c r="W466" i="3" s="1"/>
  <c r="X466" i="3" s="1"/>
  <c r="Y466" i="3" s="1"/>
  <c r="Z466" i="3" s="1"/>
  <c r="AA466" i="3" s="1"/>
  <c r="AB466" i="3" s="1"/>
  <c r="C466" i="4" l="1"/>
  <c r="AC466" i="3"/>
  <c r="AD466" i="3" s="1"/>
  <c r="M467" i="3"/>
  <c r="O467" i="3" l="1"/>
  <c r="AI467" i="3"/>
  <c r="N467" i="3"/>
  <c r="H466" i="4"/>
  <c r="G466" i="4"/>
  <c r="I466" i="4" s="1"/>
  <c r="J466" i="4" s="1"/>
  <c r="P467" i="3" l="1"/>
  <c r="Q467" i="3" s="1"/>
  <c r="L467" i="4" s="1"/>
  <c r="K466" i="4"/>
  <c r="M466" i="4"/>
  <c r="V467" i="3" l="1"/>
  <c r="W467" i="3" s="1"/>
  <c r="X467" i="3" l="1"/>
  <c r="Y467" i="3" s="1"/>
  <c r="Z467" i="3" s="1"/>
  <c r="AA467" i="3" s="1"/>
  <c r="AB467" i="3" s="1"/>
  <c r="AC467" i="3" s="1"/>
  <c r="AD467" i="3" s="1"/>
  <c r="C467" i="4" l="1"/>
  <c r="G467" i="4" s="1"/>
  <c r="I467" i="4" s="1"/>
  <c r="J467" i="4" s="1"/>
  <c r="M468" i="3"/>
  <c r="AI468" i="3" s="1"/>
  <c r="N468" i="3"/>
  <c r="O468" i="3" l="1"/>
  <c r="P468" i="3" s="1"/>
  <c r="Q468" i="3" s="1"/>
  <c r="L468" i="4" s="1"/>
  <c r="H467" i="4"/>
  <c r="K467" i="4"/>
  <c r="M467" i="4"/>
  <c r="V468" i="3" l="1"/>
  <c r="W468" i="3" s="1"/>
  <c r="X468" i="3" s="1"/>
  <c r="Y468" i="3" s="1"/>
  <c r="Z468" i="3" s="1"/>
  <c r="AA468" i="3" s="1"/>
  <c r="AB468" i="3" s="1"/>
  <c r="M469" i="3" l="1"/>
  <c r="C468" i="4"/>
  <c r="AC468" i="3"/>
  <c r="AD468" i="3" s="1"/>
  <c r="G468" i="4" l="1"/>
  <c r="I468" i="4" s="1"/>
  <c r="J468" i="4" s="1"/>
  <c r="H468" i="4"/>
  <c r="O469" i="3"/>
  <c r="N469" i="3"/>
  <c r="AI469" i="3"/>
  <c r="P469" i="3" l="1"/>
  <c r="Q469" i="3" s="1"/>
  <c r="L469" i="4" s="1"/>
  <c r="K468" i="4"/>
  <c r="M468" i="4"/>
  <c r="V469" i="3" l="1"/>
  <c r="W469" i="3" s="1"/>
  <c r="X469" i="3" s="1"/>
  <c r="Y469" i="3" s="1"/>
  <c r="Z469" i="3" s="1"/>
  <c r="AA469" i="3" s="1"/>
  <c r="AB469" i="3" s="1"/>
  <c r="C469" i="4" l="1"/>
  <c r="M470" i="3"/>
  <c r="AC469" i="3"/>
  <c r="AD469" i="3" s="1"/>
  <c r="AI470" i="3" l="1"/>
  <c r="O470" i="3"/>
  <c r="N470" i="3"/>
  <c r="H469" i="4"/>
  <c r="G469" i="4"/>
  <c r="I469" i="4" s="1"/>
  <c r="J469" i="4" s="1"/>
  <c r="P470" i="3" l="1"/>
  <c r="Q470" i="3" s="1"/>
  <c r="L470" i="4" s="1"/>
  <c r="K469" i="4"/>
  <c r="M469" i="4"/>
  <c r="V470" i="3" l="1"/>
  <c r="W470" i="3" s="1"/>
  <c r="X470" i="3" s="1"/>
  <c r="Y470" i="3" s="1"/>
  <c r="Z470" i="3" s="1"/>
  <c r="AA470" i="3" s="1"/>
  <c r="AB470" i="3" s="1"/>
  <c r="M471" i="3" l="1"/>
  <c r="C470" i="4"/>
  <c r="AC470" i="3"/>
  <c r="AD470" i="3" s="1"/>
  <c r="G470" i="4" l="1"/>
  <c r="I470" i="4" s="1"/>
  <c r="J470" i="4" s="1"/>
  <c r="H470" i="4"/>
  <c r="O471" i="3"/>
  <c r="AI471" i="3"/>
  <c r="N471" i="3"/>
  <c r="P471" i="3" l="1"/>
  <c r="Q471" i="3" s="1"/>
  <c r="L471" i="4" s="1"/>
  <c r="K470" i="4"/>
  <c r="M470" i="4"/>
  <c r="V471" i="3" l="1"/>
  <c r="W471" i="3" s="1"/>
  <c r="X471" i="3" s="1"/>
  <c r="Y471" i="3" s="1"/>
  <c r="Z471" i="3" s="1"/>
  <c r="AA471" i="3" s="1"/>
  <c r="AB471" i="3" s="1"/>
  <c r="M472" i="3" l="1"/>
  <c r="C471" i="4"/>
  <c r="AC471" i="3"/>
  <c r="AD471" i="3" s="1"/>
  <c r="H471" i="4" l="1"/>
  <c r="G471" i="4"/>
  <c r="I471" i="4" s="1"/>
  <c r="J471" i="4" s="1"/>
  <c r="AI472" i="3"/>
  <c r="O472" i="3"/>
  <c r="N472" i="3"/>
  <c r="P472" i="3" l="1"/>
  <c r="Q472" i="3" s="1"/>
  <c r="L472" i="4" s="1"/>
  <c r="M471" i="4"/>
  <c r="K471" i="4"/>
  <c r="V472" i="3" l="1"/>
  <c r="W472" i="3" s="1"/>
  <c r="X472" i="3" s="1"/>
  <c r="Y472" i="3" s="1"/>
  <c r="Z472" i="3" s="1"/>
  <c r="AA472" i="3" s="1"/>
  <c r="AB472" i="3" s="1"/>
  <c r="AC472" i="3" l="1"/>
  <c r="AD472" i="3" s="1"/>
  <c r="C472" i="4"/>
  <c r="M473" i="3"/>
  <c r="N473" i="3" l="1"/>
  <c r="AI473" i="3"/>
  <c r="O473" i="3"/>
  <c r="G472" i="4"/>
  <c r="I472" i="4" s="1"/>
  <c r="J472" i="4" s="1"/>
  <c r="H472" i="4"/>
  <c r="M472" i="4" l="1"/>
  <c r="K472" i="4"/>
  <c r="P473" i="3"/>
  <c r="Q473" i="3" s="1"/>
  <c r="L473" i="4" l="1"/>
  <c r="V473" i="3"/>
  <c r="W473" i="3" l="1"/>
  <c r="X473" i="3" s="1"/>
  <c r="Y473" i="3" s="1"/>
  <c r="Z473" i="3" s="1"/>
  <c r="AA473" i="3" s="1"/>
  <c r="AB473" i="3" s="1"/>
  <c r="M474" i="3" l="1"/>
  <c r="AC473" i="3"/>
  <c r="AD473" i="3" s="1"/>
  <c r="C473" i="4"/>
  <c r="H473" i="4" l="1"/>
  <c r="G473" i="4"/>
  <c r="I473" i="4" s="1"/>
  <c r="J473" i="4" s="1"/>
  <c r="N474" i="3"/>
  <c r="O474" i="3"/>
  <c r="AI474" i="3"/>
  <c r="P474" i="3" l="1"/>
  <c r="Q474" i="3" s="1"/>
  <c r="M473" i="4"/>
  <c r="K473" i="4"/>
  <c r="L474" i="4" l="1"/>
  <c r="V474" i="3"/>
  <c r="W474" i="3" l="1"/>
  <c r="X474" i="3" s="1"/>
  <c r="Y474" i="3" s="1"/>
  <c r="Z474" i="3" s="1"/>
  <c r="AA474" i="3" s="1"/>
  <c r="AB474" i="3" s="1"/>
  <c r="M475" i="3" l="1"/>
  <c r="AC474" i="3"/>
  <c r="AD474" i="3" s="1"/>
  <c r="C474" i="4"/>
  <c r="G474" i="4" l="1"/>
  <c r="I474" i="4" s="1"/>
  <c r="J474" i="4" s="1"/>
  <c r="H474" i="4"/>
  <c r="N475" i="3"/>
  <c r="O475" i="3"/>
  <c r="AI475" i="3"/>
  <c r="P475" i="3" l="1"/>
  <c r="Q475" i="3" s="1"/>
  <c r="L475" i="4" s="1"/>
  <c r="M474" i="4"/>
  <c r="K474" i="4"/>
  <c r="V475" i="3" l="1"/>
  <c r="W475" i="3" s="1"/>
  <c r="X475" i="3" s="1"/>
  <c r="Y475" i="3" s="1"/>
  <c r="Z475" i="3" s="1"/>
  <c r="AA475" i="3" s="1"/>
  <c r="AB475" i="3" s="1"/>
  <c r="C475" i="4" l="1"/>
  <c r="M476" i="3"/>
  <c r="AC475" i="3"/>
  <c r="AD475" i="3" s="1"/>
  <c r="N476" i="3" l="1"/>
  <c r="O476" i="3"/>
  <c r="AI476" i="3"/>
  <c r="G475" i="4"/>
  <c r="I475" i="4" s="1"/>
  <c r="J475" i="4" s="1"/>
  <c r="H475" i="4"/>
  <c r="P476" i="3" l="1"/>
  <c r="Q476" i="3" s="1"/>
  <c r="L476" i="4" s="1"/>
  <c r="K475" i="4"/>
  <c r="M475" i="4"/>
  <c r="V476" i="3" l="1"/>
  <c r="W476" i="3" s="1"/>
  <c r="X476" i="3" s="1"/>
  <c r="Y476" i="3" s="1"/>
  <c r="Z476" i="3" s="1"/>
  <c r="AA476" i="3" s="1"/>
  <c r="AB476" i="3" s="1"/>
  <c r="M477" i="3" l="1"/>
  <c r="AC476" i="3"/>
  <c r="AD476" i="3" s="1"/>
  <c r="C476" i="4"/>
  <c r="H476" i="4" l="1"/>
  <c r="G476" i="4"/>
  <c r="I476" i="4" s="1"/>
  <c r="J476" i="4" s="1"/>
  <c r="AI477" i="3"/>
  <c r="N477" i="3"/>
  <c r="O477" i="3"/>
  <c r="K476" i="4" l="1"/>
  <c r="M476" i="4"/>
  <c r="P477" i="3"/>
  <c r="Q477" i="3" s="1"/>
  <c r="L477" i="4" l="1"/>
  <c r="V477" i="3"/>
  <c r="W477" i="3" l="1"/>
  <c r="X477" i="3" s="1"/>
  <c r="Y477" i="3" s="1"/>
  <c r="Z477" i="3" s="1"/>
  <c r="AA477" i="3" s="1"/>
  <c r="AB477" i="3" s="1"/>
  <c r="C477" i="4" l="1"/>
  <c r="AC477" i="3"/>
  <c r="AD477" i="3" s="1"/>
  <c r="M478" i="3"/>
  <c r="N478" i="3" l="1"/>
  <c r="O478" i="3"/>
  <c r="AI478" i="3"/>
  <c r="H477" i="4"/>
  <c r="G477" i="4"/>
  <c r="I477" i="4" s="1"/>
  <c r="J477" i="4" s="1"/>
  <c r="K477" i="4" l="1"/>
  <c r="M477" i="4"/>
  <c r="P478" i="3"/>
  <c r="Q478" i="3" s="1"/>
  <c r="L478" i="4" l="1"/>
  <c r="V478" i="3"/>
  <c r="W478" i="3" l="1"/>
  <c r="X478" i="3" s="1"/>
  <c r="Y478" i="3" s="1"/>
  <c r="Z478" i="3" s="1"/>
  <c r="AA478" i="3" s="1"/>
  <c r="AB478" i="3" s="1"/>
  <c r="C478" i="4" l="1"/>
  <c r="M479" i="3"/>
  <c r="AC478" i="3"/>
  <c r="AD478" i="3" s="1"/>
  <c r="G478" i="4" l="1"/>
  <c r="I478" i="4" s="1"/>
  <c r="J478" i="4" s="1"/>
  <c r="H478" i="4"/>
  <c r="N479" i="3"/>
  <c r="O479" i="3"/>
  <c r="AI479" i="3"/>
  <c r="P479" i="3" l="1"/>
  <c r="Q479" i="3" s="1"/>
  <c r="L479" i="4" s="1"/>
  <c r="M478" i="4"/>
  <c r="K478" i="4"/>
  <c r="V479" i="3" l="1"/>
  <c r="W479" i="3" s="1"/>
  <c r="X479" i="3" s="1"/>
  <c r="Y479" i="3" s="1"/>
  <c r="Z479" i="3" s="1"/>
  <c r="AA479" i="3" s="1"/>
  <c r="AB479" i="3" s="1"/>
  <c r="C479" i="4" l="1"/>
  <c r="M480" i="3"/>
  <c r="AC479" i="3"/>
  <c r="AD479" i="3" s="1"/>
  <c r="N480" i="3" l="1"/>
  <c r="AI480" i="3"/>
  <c r="O480" i="3"/>
  <c r="G479" i="4"/>
  <c r="I479" i="4" s="1"/>
  <c r="J479" i="4" s="1"/>
  <c r="H479" i="4"/>
  <c r="K479" i="4" l="1"/>
  <c r="M479" i="4"/>
  <c r="P480" i="3"/>
  <c r="Q480" i="3" s="1"/>
  <c r="L480" i="4" l="1"/>
  <c r="V480" i="3"/>
  <c r="W480" i="3" l="1"/>
  <c r="X480" i="3" s="1"/>
  <c r="Y480" i="3" s="1"/>
  <c r="Z480" i="3" s="1"/>
  <c r="AA480" i="3" s="1"/>
  <c r="AB480" i="3" s="1"/>
  <c r="AC480" i="3" l="1"/>
  <c r="AD480" i="3" s="1"/>
  <c r="M481" i="3"/>
  <c r="C480" i="4"/>
  <c r="H480" i="4" l="1"/>
  <c r="G480" i="4"/>
  <c r="I480" i="4" s="1"/>
  <c r="J480" i="4" s="1"/>
  <c r="O481" i="3"/>
  <c r="N481" i="3"/>
  <c r="AI481" i="3"/>
  <c r="P481" i="3" l="1"/>
  <c r="Q481" i="3" s="1"/>
  <c r="L481" i="4" s="1"/>
  <c r="K480" i="4"/>
  <c r="M480" i="4"/>
  <c r="V481" i="3" l="1"/>
  <c r="W481" i="3" s="1"/>
  <c r="X481" i="3" s="1"/>
  <c r="Y481" i="3" s="1"/>
  <c r="Z481" i="3" s="1"/>
  <c r="AA481" i="3" s="1"/>
  <c r="AB481" i="3" s="1"/>
  <c r="M482" i="3" l="1"/>
  <c r="C481" i="4"/>
  <c r="AC481" i="3"/>
  <c r="AD481" i="3" s="1"/>
  <c r="H481" i="4" l="1"/>
  <c r="G481" i="4"/>
  <c r="I481" i="4" s="1"/>
  <c r="J481" i="4" s="1"/>
  <c r="O482" i="3"/>
  <c r="AI482" i="3"/>
  <c r="N482" i="3"/>
  <c r="P482" i="3" l="1"/>
  <c r="Q482" i="3" s="1"/>
  <c r="V482" i="3" s="1"/>
  <c r="K481" i="4"/>
  <c r="M481" i="4"/>
  <c r="L482" i="4" l="1"/>
  <c r="W482" i="3"/>
  <c r="X482" i="3" s="1"/>
  <c r="Y482" i="3" s="1"/>
  <c r="Z482" i="3" s="1"/>
  <c r="AA482" i="3" s="1"/>
  <c r="AB482" i="3" s="1"/>
  <c r="C482" i="4" l="1"/>
  <c r="AC482" i="3"/>
  <c r="AD482" i="3" s="1"/>
  <c r="M483" i="3"/>
  <c r="N483" i="3" l="1"/>
  <c r="AI483" i="3"/>
  <c r="O483" i="3"/>
  <c r="G482" i="4"/>
  <c r="I482" i="4" s="1"/>
  <c r="J482" i="4" s="1"/>
  <c r="H482" i="4"/>
  <c r="M482" i="4" l="1"/>
  <c r="K482" i="4"/>
  <c r="P483" i="3"/>
  <c r="Q483" i="3" s="1"/>
  <c r="L483" i="4" l="1"/>
  <c r="V483" i="3"/>
  <c r="W483" i="3" l="1"/>
  <c r="X483" i="3" s="1"/>
  <c r="Y483" i="3" s="1"/>
  <c r="Z483" i="3" s="1"/>
  <c r="AA483" i="3" s="1"/>
  <c r="AB483" i="3" s="1"/>
  <c r="AC483" i="3" l="1"/>
  <c r="AD483" i="3" s="1"/>
  <c r="M484" i="3"/>
  <c r="C483" i="4"/>
  <c r="H483" i="4" l="1"/>
  <c r="G483" i="4"/>
  <c r="I483" i="4" s="1"/>
  <c r="J483" i="4" s="1"/>
  <c r="AI484" i="3"/>
  <c r="N484" i="3"/>
  <c r="O484" i="3"/>
  <c r="P484" i="3" l="1"/>
  <c r="Q484" i="3" s="1"/>
  <c r="L484" i="4" s="1"/>
  <c r="K483" i="4"/>
  <c r="M483" i="4"/>
  <c r="V484" i="3" l="1"/>
  <c r="W484" i="3" s="1"/>
  <c r="X484" i="3" s="1"/>
  <c r="Y484" i="3" s="1"/>
  <c r="Z484" i="3" s="1"/>
  <c r="AA484" i="3" s="1"/>
  <c r="AB484" i="3" s="1"/>
  <c r="AC484" i="3" l="1"/>
  <c r="AD484" i="3" s="1"/>
  <c r="C484" i="4"/>
  <c r="M485" i="3"/>
  <c r="AI485" i="3" l="1"/>
  <c r="O485" i="3"/>
  <c r="N485" i="3"/>
  <c r="H484" i="4"/>
  <c r="G484" i="4"/>
  <c r="I484" i="4" s="1"/>
  <c r="J484" i="4" s="1"/>
  <c r="P485" i="3" l="1"/>
  <c r="Q485" i="3" s="1"/>
  <c r="L485" i="4" s="1"/>
  <c r="K484" i="4"/>
  <c r="M484" i="4"/>
  <c r="V485" i="3" l="1"/>
  <c r="W485" i="3" s="1"/>
  <c r="X485" i="3" l="1"/>
  <c r="Y485" i="3" s="1"/>
  <c r="Z485" i="3" s="1"/>
  <c r="AA485" i="3" s="1"/>
  <c r="AB485" i="3" s="1"/>
  <c r="C485" i="4" s="1"/>
  <c r="AC485" i="3" l="1"/>
  <c r="AD485" i="3" s="1"/>
  <c r="M486" i="3"/>
  <c r="AI486" i="3" s="1"/>
  <c r="H485" i="4"/>
  <c r="G485" i="4"/>
  <c r="I485" i="4" s="1"/>
  <c r="J485" i="4" s="1"/>
  <c r="O486" i="3" l="1"/>
  <c r="N486" i="3"/>
  <c r="M485" i="4"/>
  <c r="K485" i="4"/>
  <c r="P486" i="3" l="1"/>
  <c r="Q486" i="3" s="1"/>
  <c r="L486" i="4" s="1"/>
  <c r="V486" i="3" l="1"/>
  <c r="W486" i="3" s="1"/>
  <c r="X486" i="3" s="1"/>
  <c r="Y486" i="3" s="1"/>
  <c r="Z486" i="3" s="1"/>
  <c r="AA486" i="3" s="1"/>
  <c r="AB486" i="3" s="1"/>
  <c r="C486" i="4" s="1"/>
  <c r="AC486" i="3" l="1"/>
  <c r="AD486" i="3" s="1"/>
  <c r="M487" i="3"/>
  <c r="AI487" i="3"/>
  <c r="O487" i="3"/>
  <c r="N487" i="3"/>
  <c r="H486" i="4"/>
  <c r="G486" i="4"/>
  <c r="I486" i="4" s="1"/>
  <c r="J486" i="4" s="1"/>
  <c r="P487" i="3" l="1"/>
  <c r="Q487" i="3" s="1"/>
  <c r="L487" i="4" s="1"/>
  <c r="K486" i="4"/>
  <c r="M486" i="4"/>
  <c r="V487" i="3" l="1"/>
  <c r="W487" i="3" s="1"/>
  <c r="X487" i="3" s="1"/>
  <c r="Y487" i="3" s="1"/>
  <c r="Z487" i="3" s="1"/>
  <c r="AA487" i="3" s="1"/>
  <c r="AB487" i="3" s="1"/>
  <c r="AC487" i="3" l="1"/>
  <c r="AD487" i="3" s="1"/>
  <c r="C487" i="4"/>
  <c r="M488" i="3"/>
  <c r="H487" i="4" l="1"/>
  <c r="G487" i="4"/>
  <c r="I487" i="4" s="1"/>
  <c r="J487" i="4" s="1"/>
  <c r="N488" i="3"/>
  <c r="AI488" i="3"/>
  <c r="O488" i="3"/>
  <c r="P488" i="3" l="1"/>
  <c r="Q488" i="3" s="1"/>
  <c r="L488" i="4" s="1"/>
  <c r="M487" i="4"/>
  <c r="K487" i="4"/>
  <c r="V488" i="3" l="1"/>
  <c r="W488" i="3" s="1"/>
  <c r="X488" i="3" s="1"/>
  <c r="Y488" i="3" s="1"/>
  <c r="Z488" i="3" s="1"/>
  <c r="AA488" i="3" s="1"/>
  <c r="AB488" i="3" s="1"/>
  <c r="AC488" i="3" l="1"/>
  <c r="AD488" i="3" s="1"/>
  <c r="C488" i="4"/>
  <c r="M489" i="3"/>
  <c r="O489" i="3" l="1"/>
  <c r="N489" i="3"/>
  <c r="AI489" i="3"/>
  <c r="G488" i="4"/>
  <c r="I488" i="4" s="1"/>
  <c r="J488" i="4" s="1"/>
  <c r="H488" i="4"/>
  <c r="P489" i="3" l="1"/>
  <c r="Q489" i="3" s="1"/>
  <c r="L489" i="4" s="1"/>
  <c r="M488" i="4"/>
  <c r="K488" i="4"/>
  <c r="V489" i="3" l="1"/>
  <c r="W489" i="3" s="1"/>
  <c r="X489" i="3" s="1"/>
  <c r="Y489" i="3" s="1"/>
  <c r="Z489" i="3" s="1"/>
  <c r="AA489" i="3" s="1"/>
  <c r="AB489" i="3" s="1"/>
  <c r="M490" i="3" l="1"/>
  <c r="AC489" i="3"/>
  <c r="AD489" i="3" s="1"/>
  <c r="C489" i="4"/>
  <c r="H489" i="4" l="1"/>
  <c r="G489" i="4"/>
  <c r="I489" i="4" s="1"/>
  <c r="J489" i="4" s="1"/>
  <c r="N490" i="3"/>
  <c r="AI490" i="3"/>
  <c r="O490" i="3"/>
  <c r="P490" i="3" l="1"/>
  <c r="Q490" i="3" s="1"/>
  <c r="K489" i="4"/>
  <c r="M489" i="4"/>
  <c r="L490" i="4" l="1"/>
  <c r="C36" i="5" s="1"/>
  <c r="N36" i="5" s="1"/>
  <c r="V490" i="3"/>
  <c r="W490" i="3" l="1"/>
  <c r="X490" i="3" s="1"/>
  <c r="Y490" i="3" s="1"/>
  <c r="Z490" i="3" s="1"/>
  <c r="AA490" i="3" s="1"/>
  <c r="AB490" i="3" s="1"/>
  <c r="C490" i="4" l="1"/>
  <c r="M491" i="3"/>
  <c r="AC490" i="3"/>
  <c r="AD490" i="3" s="1"/>
  <c r="AI491" i="3" l="1"/>
  <c r="O491" i="3"/>
  <c r="N491" i="3"/>
  <c r="G490" i="4"/>
  <c r="I490" i="4" s="1"/>
  <c r="J490" i="4" s="1"/>
  <c r="H490" i="4"/>
  <c r="P491" i="3" l="1"/>
  <c r="Q491" i="3" s="1"/>
  <c r="L491" i="4" s="1"/>
  <c r="K490" i="4"/>
  <c r="E36" i="5" s="1"/>
  <c r="D36" i="5"/>
  <c r="M490" i="4"/>
  <c r="V491" i="3" l="1"/>
  <c r="W491" i="3" s="1"/>
  <c r="X491" i="3" s="1"/>
  <c r="Y491" i="3" s="1"/>
  <c r="Z491" i="3" s="1"/>
  <c r="AA491" i="3" s="1"/>
  <c r="AB491" i="3" s="1"/>
  <c r="M492" i="3" l="1"/>
  <c r="AC491" i="3"/>
  <c r="AD491" i="3" s="1"/>
  <c r="C491" i="4"/>
  <c r="G491" i="4" l="1"/>
  <c r="I491" i="4" s="1"/>
  <c r="J491" i="4" s="1"/>
  <c r="H491" i="4"/>
  <c r="AI492" i="3"/>
  <c r="O492" i="3"/>
  <c r="N492" i="3"/>
  <c r="P492" i="3" l="1"/>
  <c r="Q492" i="3" s="1"/>
  <c r="L492" i="4" s="1"/>
  <c r="M491" i="4"/>
  <c r="K491" i="4"/>
  <c r="V492" i="3" l="1"/>
  <c r="W492" i="3" s="1"/>
  <c r="X492" i="3" s="1"/>
  <c r="Y492" i="3" s="1"/>
  <c r="Z492" i="3" s="1"/>
  <c r="AA492" i="3" s="1"/>
  <c r="AB492" i="3" s="1"/>
  <c r="M493" i="3" l="1"/>
  <c r="C492" i="4"/>
  <c r="AC492" i="3"/>
  <c r="AD492" i="3" s="1"/>
  <c r="G492" i="4" l="1"/>
  <c r="I492" i="4" s="1"/>
  <c r="J492" i="4" s="1"/>
  <c r="H492" i="4"/>
  <c r="AI493" i="3"/>
  <c r="O493" i="3"/>
  <c r="N493" i="3"/>
  <c r="P493" i="3" l="1"/>
  <c r="Q493" i="3" s="1"/>
  <c r="L493" i="4" s="1"/>
  <c r="K492" i="4"/>
  <c r="M492" i="4"/>
  <c r="V493" i="3" l="1"/>
  <c r="W493" i="3" s="1"/>
  <c r="X493" i="3" s="1"/>
  <c r="Y493" i="3" s="1"/>
  <c r="Z493" i="3" s="1"/>
  <c r="AA493" i="3" s="1"/>
  <c r="AB493" i="3" s="1"/>
  <c r="M494" i="3" l="1"/>
  <c r="AC493" i="3"/>
  <c r="AD493" i="3" s="1"/>
  <c r="C493" i="4"/>
  <c r="H493" i="4" l="1"/>
  <c r="G493" i="4"/>
  <c r="I493" i="4" s="1"/>
  <c r="J493" i="4" s="1"/>
  <c r="AI494" i="3"/>
  <c r="O494" i="3"/>
  <c r="N494" i="3"/>
  <c r="P494" i="3" l="1"/>
  <c r="Q494" i="3" s="1"/>
  <c r="V494" i="3" s="1"/>
  <c r="K493" i="4"/>
  <c r="M493" i="4"/>
  <c r="L494" i="4" l="1"/>
  <c r="W494" i="3"/>
  <c r="X494" i="3" s="1"/>
  <c r="Y494" i="3" s="1"/>
  <c r="Z494" i="3" s="1"/>
  <c r="AA494" i="3" s="1"/>
  <c r="AB494" i="3" s="1"/>
  <c r="AC494" i="3" l="1"/>
  <c r="AD494" i="3" s="1"/>
  <c r="M495" i="3"/>
  <c r="C494" i="4"/>
  <c r="AI495" i="3" l="1"/>
  <c r="O495" i="3"/>
  <c r="N495" i="3"/>
  <c r="H494" i="4"/>
  <c r="G494" i="4"/>
  <c r="I494" i="4" s="1"/>
  <c r="J494" i="4" s="1"/>
  <c r="P495" i="3" l="1"/>
  <c r="Q495" i="3" s="1"/>
  <c r="L495" i="4" s="1"/>
  <c r="K494" i="4"/>
  <c r="M494" i="4"/>
  <c r="V495" i="3" l="1"/>
  <c r="W495" i="3" s="1"/>
  <c r="X495" i="3" s="1"/>
  <c r="Y495" i="3" s="1"/>
  <c r="Z495" i="3" s="1"/>
  <c r="AA495" i="3" s="1"/>
  <c r="AB495" i="3" s="1"/>
  <c r="C495" i="4" l="1"/>
  <c r="M496" i="3"/>
  <c r="AC495" i="3"/>
  <c r="AD495" i="3" s="1"/>
  <c r="N496" i="3" l="1"/>
  <c r="AI496" i="3"/>
  <c r="O496" i="3"/>
  <c r="H495" i="4"/>
  <c r="G495" i="4"/>
  <c r="I495" i="4" s="1"/>
  <c r="J495" i="4" s="1"/>
  <c r="M495" i="4" l="1"/>
  <c r="K495" i="4"/>
  <c r="P496" i="3"/>
  <c r="Q496" i="3" s="1"/>
  <c r="L496" i="4" l="1"/>
  <c r="V496" i="3"/>
  <c r="W496" i="3" l="1"/>
  <c r="X496" i="3" s="1"/>
  <c r="Y496" i="3" s="1"/>
  <c r="Z496" i="3" s="1"/>
  <c r="AA496" i="3" s="1"/>
  <c r="AB496" i="3" s="1"/>
  <c r="AC496" i="3" l="1"/>
  <c r="AD496" i="3" s="1"/>
  <c r="M497" i="3"/>
  <c r="C496" i="4"/>
  <c r="H496" i="4" l="1"/>
  <c r="G496" i="4"/>
  <c r="I496" i="4" s="1"/>
  <c r="J496" i="4" s="1"/>
  <c r="AI497" i="3"/>
  <c r="O497" i="3"/>
  <c r="N497" i="3"/>
  <c r="P497" i="3" l="1"/>
  <c r="Q497" i="3" s="1"/>
  <c r="L497" i="4" s="1"/>
  <c r="M496" i="4"/>
  <c r="K496" i="4"/>
  <c r="V497" i="3" l="1"/>
  <c r="W497" i="3" s="1"/>
  <c r="X497" i="3" s="1"/>
  <c r="Y497" i="3" s="1"/>
  <c r="Z497" i="3" s="1"/>
  <c r="AA497" i="3" s="1"/>
  <c r="AB497" i="3" s="1"/>
  <c r="M498" i="3" l="1"/>
  <c r="C497" i="4"/>
  <c r="AC497" i="3"/>
  <c r="AD497" i="3" s="1"/>
  <c r="G497" i="4" l="1"/>
  <c r="I497" i="4" s="1"/>
  <c r="J497" i="4" s="1"/>
  <c r="H497" i="4"/>
  <c r="N498" i="3"/>
  <c r="O498" i="3"/>
  <c r="AI498" i="3"/>
  <c r="P498" i="3" l="1"/>
  <c r="Q498" i="3" s="1"/>
  <c r="M497" i="4"/>
  <c r="K497" i="4"/>
  <c r="L498" i="4" l="1"/>
  <c r="V498" i="3"/>
  <c r="W498" i="3" l="1"/>
  <c r="X498" i="3" s="1"/>
  <c r="Y498" i="3" s="1"/>
  <c r="Z498" i="3" s="1"/>
  <c r="AA498" i="3" s="1"/>
  <c r="AB498" i="3" s="1"/>
  <c r="M499" i="3" l="1"/>
  <c r="AC498" i="3"/>
  <c r="AD498" i="3" s="1"/>
  <c r="C498" i="4"/>
  <c r="H498" i="4" l="1"/>
  <c r="G498" i="4"/>
  <c r="I498" i="4" s="1"/>
  <c r="J498" i="4" s="1"/>
  <c r="AI499" i="3"/>
  <c r="O499" i="3"/>
  <c r="N499" i="3"/>
  <c r="P499" i="3" l="1"/>
  <c r="Q499" i="3" s="1"/>
  <c r="L499" i="4" s="1"/>
  <c r="K498" i="4"/>
  <c r="M498" i="4"/>
  <c r="V499" i="3" l="1"/>
  <c r="W499" i="3" s="1"/>
  <c r="X499" i="3" s="1"/>
  <c r="Y499" i="3" s="1"/>
  <c r="Z499" i="3" s="1"/>
  <c r="AA499" i="3" s="1"/>
  <c r="AB499" i="3" s="1"/>
  <c r="AC499" i="3" l="1"/>
  <c r="AD499" i="3" s="1"/>
  <c r="M500" i="3"/>
  <c r="C499" i="4"/>
  <c r="N500" i="3" l="1"/>
  <c r="AI500" i="3"/>
  <c r="O500" i="3"/>
  <c r="H499" i="4"/>
  <c r="G499" i="4"/>
  <c r="I499" i="4" s="1"/>
  <c r="J499" i="4" s="1"/>
  <c r="M499" i="4" l="1"/>
  <c r="K499" i="4"/>
  <c r="P500" i="3"/>
  <c r="Q500" i="3" s="1"/>
  <c r="L500" i="4" l="1"/>
  <c r="V500" i="3"/>
  <c r="W500" i="3" l="1"/>
  <c r="X500" i="3" s="1"/>
  <c r="Y500" i="3" s="1"/>
  <c r="Z500" i="3" s="1"/>
  <c r="AA500" i="3" s="1"/>
  <c r="AB500" i="3" s="1"/>
  <c r="AC500" i="3" l="1"/>
  <c r="AD500" i="3" s="1"/>
  <c r="M501" i="3"/>
  <c r="C500" i="4"/>
  <c r="H500" i="4" l="1"/>
  <c r="G500" i="4"/>
  <c r="I500" i="4" s="1"/>
  <c r="J500" i="4" s="1"/>
  <c r="O501" i="3"/>
  <c r="N501" i="3"/>
  <c r="AI501" i="3"/>
  <c r="P501" i="3" l="1"/>
  <c r="Q501" i="3" s="1"/>
  <c r="L501" i="4" s="1"/>
  <c r="K500" i="4"/>
  <c r="M500" i="4"/>
  <c r="V501" i="3" l="1"/>
  <c r="W501" i="3" s="1"/>
  <c r="X501" i="3" s="1"/>
  <c r="Y501" i="3" s="1"/>
  <c r="Z501" i="3" s="1"/>
  <c r="AA501" i="3" s="1"/>
  <c r="AB501" i="3" s="1"/>
  <c r="M502" i="3" l="1"/>
  <c r="C501" i="4"/>
  <c r="AC501" i="3"/>
  <c r="AD501" i="3" s="1"/>
  <c r="G501" i="4" l="1"/>
  <c r="I501" i="4" s="1"/>
  <c r="J501" i="4" s="1"/>
  <c r="H501" i="4"/>
  <c r="O502" i="3"/>
  <c r="N502" i="3"/>
  <c r="AI502" i="3"/>
  <c r="P502" i="3" l="1"/>
  <c r="Q502" i="3" s="1"/>
  <c r="L502" i="4" s="1"/>
  <c r="K501" i="4"/>
  <c r="M501" i="4"/>
  <c r="V502" i="3" l="1"/>
  <c r="W502" i="3" s="1"/>
  <c r="X502" i="3" s="1"/>
  <c r="Y502" i="3" s="1"/>
  <c r="Z502" i="3" s="1"/>
  <c r="AA502" i="3" s="1"/>
  <c r="AB502" i="3" s="1"/>
  <c r="C502" i="4" l="1"/>
  <c r="AC502" i="3"/>
  <c r="AD502" i="3" s="1"/>
  <c r="M503" i="3"/>
  <c r="N503" i="3" l="1"/>
  <c r="AI503" i="3"/>
  <c r="O503" i="3"/>
  <c r="G502" i="4"/>
  <c r="I502" i="4" s="1"/>
  <c r="J502" i="4" s="1"/>
  <c r="H502" i="4"/>
  <c r="K502" i="4" l="1"/>
  <c r="M502" i="4"/>
  <c r="P503" i="3"/>
  <c r="Q503" i="3" s="1"/>
  <c r="L503" i="4" l="1"/>
  <c r="V503" i="3"/>
  <c r="W503" i="3" l="1"/>
  <c r="X503" i="3" s="1"/>
  <c r="Y503" i="3" s="1"/>
  <c r="Z503" i="3" s="1"/>
  <c r="AA503" i="3" s="1"/>
  <c r="AB503" i="3" s="1"/>
  <c r="AC503" i="3" l="1"/>
  <c r="AD503" i="3" s="1"/>
  <c r="C503" i="4"/>
  <c r="M504" i="3"/>
  <c r="AI504" i="3" l="1"/>
  <c r="O504" i="3"/>
  <c r="N504" i="3"/>
  <c r="H503" i="4"/>
  <c r="G503" i="4"/>
  <c r="I503" i="4" s="1"/>
  <c r="J503" i="4" s="1"/>
  <c r="P504" i="3" l="1"/>
  <c r="Q504" i="3" s="1"/>
  <c r="L504" i="4" s="1"/>
  <c r="M503" i="4"/>
  <c r="K503" i="4"/>
  <c r="V504" i="3" l="1"/>
  <c r="W504" i="3" s="1"/>
  <c r="X504" i="3" s="1"/>
  <c r="Y504" i="3" s="1"/>
  <c r="Z504" i="3" s="1"/>
  <c r="AA504" i="3" s="1"/>
  <c r="AB504" i="3" s="1"/>
  <c r="AC504" i="3" l="1"/>
  <c r="AD504" i="3" s="1"/>
  <c r="M505" i="3"/>
  <c r="C504" i="4"/>
  <c r="N505" i="3" l="1"/>
  <c r="O505" i="3"/>
  <c r="AI505" i="3"/>
  <c r="H504" i="4"/>
  <c r="G504" i="4"/>
  <c r="I504" i="4" s="1"/>
  <c r="J504" i="4" s="1"/>
  <c r="K504" i="4" l="1"/>
  <c r="M504" i="4"/>
  <c r="P505" i="3"/>
  <c r="Q505" i="3" s="1"/>
  <c r="L505" i="4" l="1"/>
  <c r="V505" i="3"/>
  <c r="W505" i="3" l="1"/>
  <c r="X505" i="3" s="1"/>
  <c r="Y505" i="3" s="1"/>
  <c r="Z505" i="3" s="1"/>
  <c r="AA505" i="3" s="1"/>
  <c r="AB505" i="3" s="1"/>
  <c r="M506" i="3" l="1"/>
  <c r="AC505" i="3"/>
  <c r="AD505" i="3" s="1"/>
  <c r="C505" i="4"/>
  <c r="H505" i="4" l="1"/>
  <c r="G505" i="4"/>
  <c r="I505" i="4" s="1"/>
  <c r="J505" i="4" s="1"/>
  <c r="N506" i="3"/>
  <c r="O506" i="3"/>
  <c r="AI506" i="3"/>
  <c r="M505" i="4" l="1"/>
  <c r="K505" i="4"/>
  <c r="P506" i="3"/>
  <c r="Q506" i="3" s="1"/>
  <c r="L506" i="4" l="1"/>
  <c r="V506" i="3"/>
  <c r="W506" i="3" l="1"/>
  <c r="X506" i="3" s="1"/>
  <c r="Y506" i="3" s="1"/>
  <c r="Z506" i="3" s="1"/>
  <c r="AA506" i="3" s="1"/>
  <c r="AB506" i="3" s="1"/>
  <c r="M507" i="3" l="1"/>
  <c r="AC506" i="3"/>
  <c r="AD506" i="3" s="1"/>
  <c r="C506" i="4"/>
  <c r="H506" i="4" l="1"/>
  <c r="G506" i="4"/>
  <c r="I506" i="4" s="1"/>
  <c r="J506" i="4" s="1"/>
  <c r="O507" i="3"/>
  <c r="AI507" i="3"/>
  <c r="N507" i="3"/>
  <c r="P507" i="3" l="1"/>
  <c r="Q507" i="3" s="1"/>
  <c r="L507" i="4" s="1"/>
  <c r="M506" i="4"/>
  <c r="K506" i="4"/>
  <c r="V507" i="3" l="1"/>
  <c r="W507" i="3" s="1"/>
  <c r="X507" i="3" s="1"/>
  <c r="Y507" i="3" s="1"/>
  <c r="Z507" i="3" s="1"/>
  <c r="AA507" i="3" s="1"/>
  <c r="AB507" i="3" s="1"/>
  <c r="AC507" i="3" l="1"/>
  <c r="AD507" i="3" s="1"/>
  <c r="C507" i="4"/>
  <c r="M508" i="3"/>
  <c r="AI508" i="3" l="1"/>
  <c r="N508" i="3"/>
  <c r="O508" i="3"/>
  <c r="G507" i="4"/>
  <c r="I507" i="4" s="1"/>
  <c r="J507" i="4" s="1"/>
  <c r="H507" i="4"/>
  <c r="K507" i="4" l="1"/>
  <c r="M507" i="4"/>
  <c r="P508" i="3"/>
  <c r="Q508" i="3" s="1"/>
  <c r="L508" i="4" l="1"/>
  <c r="V508" i="3"/>
  <c r="W508" i="3" l="1"/>
  <c r="X508" i="3" s="1"/>
  <c r="Y508" i="3" s="1"/>
  <c r="Z508" i="3" s="1"/>
  <c r="AA508" i="3" s="1"/>
  <c r="AB508" i="3" s="1"/>
  <c r="C508" i="4" l="1"/>
  <c r="AC508" i="3"/>
  <c r="AD508" i="3" s="1"/>
  <c r="M509" i="3"/>
  <c r="AI509" i="3" l="1"/>
  <c r="O509" i="3"/>
  <c r="N509" i="3"/>
  <c r="H508" i="4"/>
  <c r="G508" i="4"/>
  <c r="I508" i="4" s="1"/>
  <c r="J508" i="4" s="1"/>
  <c r="P509" i="3" l="1"/>
  <c r="Q509" i="3" s="1"/>
  <c r="L509" i="4" s="1"/>
  <c r="M508" i="4"/>
  <c r="K508" i="4"/>
  <c r="V509" i="3" l="1"/>
  <c r="W509" i="3" s="1"/>
  <c r="X509" i="3" s="1"/>
  <c r="Y509" i="3" s="1"/>
  <c r="Z509" i="3" s="1"/>
  <c r="AA509" i="3" s="1"/>
  <c r="AB509" i="3" s="1"/>
  <c r="C509" i="4" l="1"/>
  <c r="M510" i="3"/>
  <c r="AC509" i="3"/>
  <c r="AD509" i="3" s="1"/>
  <c r="AI510" i="3" l="1"/>
  <c r="O510" i="3"/>
  <c r="N510" i="3"/>
  <c r="H509" i="4"/>
  <c r="G509" i="4"/>
  <c r="I509" i="4" s="1"/>
  <c r="J509" i="4" s="1"/>
  <c r="P510" i="3" l="1"/>
  <c r="Q510" i="3" s="1"/>
  <c r="L510" i="4" s="1"/>
  <c r="K509" i="4"/>
  <c r="M509" i="4"/>
  <c r="V510" i="3" l="1"/>
  <c r="W510" i="3" s="1"/>
  <c r="X510" i="3" s="1"/>
  <c r="Y510" i="3" s="1"/>
  <c r="Z510" i="3" s="1"/>
  <c r="AA510" i="3" s="1"/>
  <c r="AB510" i="3" s="1"/>
  <c r="C510" i="4" l="1"/>
  <c r="M511" i="3"/>
  <c r="AC510" i="3"/>
  <c r="AD510" i="3" s="1"/>
  <c r="AI511" i="3" l="1"/>
  <c r="N511" i="3"/>
  <c r="O511" i="3"/>
  <c r="G510" i="4"/>
  <c r="I510" i="4" s="1"/>
  <c r="J510" i="4" s="1"/>
  <c r="H510" i="4"/>
  <c r="P511" i="3" l="1"/>
  <c r="Q511" i="3" s="1"/>
  <c r="M510" i="4"/>
  <c r="K510" i="4"/>
  <c r="L511" i="4" l="1"/>
  <c r="V511" i="3"/>
  <c r="W511" i="3" l="1"/>
  <c r="X511" i="3" s="1"/>
  <c r="Y511" i="3" s="1"/>
  <c r="Z511" i="3" s="1"/>
  <c r="AA511" i="3" s="1"/>
  <c r="AB511" i="3" s="1"/>
  <c r="M512" i="3" l="1"/>
  <c r="C511" i="4"/>
  <c r="AC511" i="3"/>
  <c r="AD511" i="3" s="1"/>
  <c r="H511" i="4" l="1"/>
  <c r="G511" i="4"/>
  <c r="I511" i="4" s="1"/>
  <c r="J511" i="4" s="1"/>
  <c r="AI512" i="3"/>
  <c r="O512" i="3"/>
  <c r="N512" i="3"/>
  <c r="P512" i="3" l="1"/>
  <c r="Q512" i="3" s="1"/>
  <c r="L512" i="4" s="1"/>
  <c r="M511" i="4"/>
  <c r="K511" i="4"/>
  <c r="V512" i="3" l="1"/>
  <c r="W512" i="3" s="1"/>
  <c r="X512" i="3" s="1"/>
  <c r="Y512" i="3" s="1"/>
  <c r="Z512" i="3" s="1"/>
  <c r="AA512" i="3" s="1"/>
  <c r="AB512" i="3" s="1"/>
  <c r="AC512" i="3" l="1"/>
  <c r="AD512" i="3" s="1"/>
  <c r="M513" i="3"/>
  <c r="C512" i="4"/>
  <c r="G512" i="4" l="1"/>
  <c r="I512" i="4" s="1"/>
  <c r="J512" i="4" s="1"/>
  <c r="H512" i="4"/>
  <c r="AI513" i="3"/>
  <c r="N513" i="3"/>
  <c r="O513" i="3"/>
  <c r="P513" i="3" l="1"/>
  <c r="Q513" i="3" s="1"/>
  <c r="M512" i="4"/>
  <c r="K512" i="4"/>
  <c r="L513" i="4" l="1"/>
  <c r="V513" i="3"/>
  <c r="W513" i="3" l="1"/>
  <c r="X513" i="3" s="1"/>
  <c r="Y513" i="3" s="1"/>
  <c r="Z513" i="3" s="1"/>
  <c r="AA513" i="3" s="1"/>
  <c r="AB513" i="3" s="1"/>
  <c r="M514" i="3" l="1"/>
  <c r="C513" i="4"/>
  <c r="AC513" i="3"/>
  <c r="AD513" i="3" s="1"/>
  <c r="H513" i="4" l="1"/>
  <c r="G513" i="4"/>
  <c r="I513" i="4" s="1"/>
  <c r="J513" i="4" s="1"/>
  <c r="O514" i="3"/>
  <c r="N514" i="3"/>
  <c r="AI514" i="3"/>
  <c r="P514" i="3" l="1"/>
  <c r="Q514" i="3" s="1"/>
  <c r="L514" i="4" s="1"/>
  <c r="M513" i="4"/>
  <c r="K513" i="4"/>
  <c r="V514" i="3" l="1"/>
  <c r="W514" i="3" s="1"/>
  <c r="X514" i="3" s="1"/>
  <c r="Y514" i="3" s="1"/>
  <c r="Z514" i="3" s="1"/>
  <c r="AA514" i="3" s="1"/>
  <c r="AB514" i="3" s="1"/>
  <c r="C514" i="4" l="1"/>
  <c r="AC514" i="3"/>
  <c r="AD514" i="3" s="1"/>
  <c r="M515" i="3"/>
  <c r="O515" i="3" l="1"/>
  <c r="AI515" i="3"/>
  <c r="N515" i="3"/>
  <c r="H514" i="4"/>
  <c r="G514" i="4"/>
  <c r="I514" i="4" s="1"/>
  <c r="J514" i="4" s="1"/>
  <c r="P515" i="3" l="1"/>
  <c r="Q515" i="3" s="1"/>
  <c r="L515" i="4" s="1"/>
  <c r="K514" i="4"/>
  <c r="M514" i="4"/>
  <c r="V515" i="3" l="1"/>
  <c r="W515" i="3" s="1"/>
  <c r="X515" i="3" s="1"/>
  <c r="Y515" i="3" s="1"/>
  <c r="Z515" i="3" s="1"/>
  <c r="AA515" i="3" s="1"/>
  <c r="AB515" i="3" s="1"/>
  <c r="C515" i="4" l="1"/>
  <c r="M516" i="3"/>
  <c r="AC515" i="3"/>
  <c r="AD515" i="3" s="1"/>
  <c r="N516" i="3" l="1"/>
  <c r="O516" i="3"/>
  <c r="AI516" i="3"/>
  <c r="G515" i="4"/>
  <c r="I515" i="4" s="1"/>
  <c r="J515" i="4" s="1"/>
  <c r="H515" i="4"/>
  <c r="K515" i="4" l="1"/>
  <c r="M515" i="4"/>
  <c r="P516" i="3"/>
  <c r="Q516" i="3" s="1"/>
  <c r="L516" i="4" l="1"/>
  <c r="V516" i="3"/>
  <c r="W516" i="3" l="1"/>
  <c r="X516" i="3" s="1"/>
  <c r="Y516" i="3" s="1"/>
  <c r="Z516" i="3" s="1"/>
  <c r="AA516" i="3" s="1"/>
  <c r="AB516" i="3" s="1"/>
  <c r="C516" i="4" l="1"/>
  <c r="AC516" i="3"/>
  <c r="AD516" i="3" s="1"/>
  <c r="M517" i="3"/>
  <c r="N517" i="3" l="1"/>
  <c r="O517" i="3"/>
  <c r="AI517" i="3"/>
  <c r="G516" i="4"/>
  <c r="I516" i="4" s="1"/>
  <c r="J516" i="4" s="1"/>
  <c r="H516" i="4"/>
  <c r="M516" i="4" l="1"/>
  <c r="K516" i="4"/>
  <c r="P517" i="3"/>
  <c r="Q517" i="3" s="1"/>
  <c r="L517" i="4" l="1"/>
  <c r="V517" i="3"/>
  <c r="W517" i="3" l="1"/>
  <c r="X517" i="3" s="1"/>
  <c r="Y517" i="3" s="1"/>
  <c r="Z517" i="3" s="1"/>
  <c r="AA517" i="3" s="1"/>
  <c r="AB517" i="3" s="1"/>
  <c r="AC517" i="3" l="1"/>
  <c r="AD517" i="3" s="1"/>
  <c r="M518" i="3"/>
  <c r="C517" i="4"/>
  <c r="AI518" i="3" l="1"/>
  <c r="N518" i="3"/>
  <c r="O518" i="3"/>
  <c r="H517" i="4"/>
  <c r="G517" i="4"/>
  <c r="I517" i="4" s="1"/>
  <c r="J517" i="4" s="1"/>
  <c r="P518" i="3" l="1"/>
  <c r="Q518" i="3" s="1"/>
  <c r="K517" i="4"/>
  <c r="M517" i="4"/>
  <c r="L518" i="4" l="1"/>
  <c r="V518" i="3"/>
  <c r="W518" i="3" l="1"/>
  <c r="X518" i="3" s="1"/>
  <c r="Y518" i="3" s="1"/>
  <c r="Z518" i="3" s="1"/>
  <c r="AA518" i="3" s="1"/>
  <c r="AB518" i="3" s="1"/>
  <c r="C518" i="4" l="1"/>
  <c r="M519" i="3"/>
  <c r="AC518" i="3"/>
  <c r="AD518" i="3" s="1"/>
  <c r="N519" i="3" l="1"/>
  <c r="AI519" i="3"/>
  <c r="O519" i="3"/>
  <c r="H518" i="4"/>
  <c r="G518" i="4"/>
  <c r="I518" i="4" s="1"/>
  <c r="J518" i="4" s="1"/>
  <c r="P519" i="3" l="1"/>
  <c r="Q519" i="3" s="1"/>
  <c r="L519" i="4" s="1"/>
  <c r="M518" i="4"/>
  <c r="K518" i="4"/>
  <c r="V519" i="3" l="1"/>
  <c r="W519" i="3" s="1"/>
  <c r="X519" i="3" s="1"/>
  <c r="Y519" i="3" s="1"/>
  <c r="Z519" i="3" s="1"/>
  <c r="AA519" i="3" s="1"/>
  <c r="AB519" i="3" s="1"/>
  <c r="M520" i="3" l="1"/>
  <c r="AC519" i="3"/>
  <c r="AD519" i="3" s="1"/>
  <c r="C519" i="4"/>
  <c r="G519" i="4" l="1"/>
  <c r="I519" i="4" s="1"/>
  <c r="J519" i="4" s="1"/>
  <c r="H519" i="4"/>
  <c r="AI520" i="3"/>
  <c r="N520" i="3"/>
  <c r="O520" i="3"/>
  <c r="P520" i="3" l="1"/>
  <c r="Q520" i="3" s="1"/>
  <c r="L520" i="4" s="1"/>
  <c r="K519" i="4"/>
  <c r="M519" i="4"/>
  <c r="V520" i="3" l="1"/>
  <c r="W520" i="3" s="1"/>
  <c r="X520" i="3" s="1"/>
  <c r="Y520" i="3" s="1"/>
  <c r="Z520" i="3" s="1"/>
  <c r="AA520" i="3" s="1"/>
  <c r="AB520" i="3" s="1"/>
  <c r="AC520" i="3" l="1"/>
  <c r="AD520" i="3" s="1"/>
  <c r="C520" i="4"/>
  <c r="M521" i="3"/>
  <c r="AI521" i="3" l="1"/>
  <c r="O521" i="3"/>
  <c r="N521" i="3"/>
  <c r="G520" i="4"/>
  <c r="I520" i="4" s="1"/>
  <c r="J520" i="4" s="1"/>
  <c r="H520" i="4"/>
  <c r="P521" i="3" l="1"/>
  <c r="Q521" i="3" s="1"/>
  <c r="L521" i="4" s="1"/>
  <c r="K520" i="4"/>
  <c r="M520" i="4"/>
  <c r="V521" i="3" l="1"/>
  <c r="W521" i="3" s="1"/>
  <c r="X521" i="3" s="1"/>
  <c r="Y521" i="3" s="1"/>
  <c r="Z521" i="3" s="1"/>
  <c r="AA521" i="3" s="1"/>
  <c r="AB521" i="3" s="1"/>
  <c r="M522" i="3" l="1"/>
  <c r="C521" i="4"/>
  <c r="AC521" i="3"/>
  <c r="AD521" i="3" s="1"/>
  <c r="H521" i="4" l="1"/>
  <c r="G521" i="4"/>
  <c r="I521" i="4" s="1"/>
  <c r="J521" i="4" s="1"/>
  <c r="O522" i="3"/>
  <c r="N522" i="3"/>
  <c r="AI522" i="3"/>
  <c r="P522" i="3" l="1"/>
  <c r="Q522" i="3" s="1"/>
  <c r="L522" i="4" s="1"/>
  <c r="M521" i="4"/>
  <c r="K521" i="4"/>
  <c r="V522" i="3" l="1"/>
  <c r="W522" i="3" s="1"/>
  <c r="X522" i="3" s="1"/>
  <c r="Y522" i="3" s="1"/>
  <c r="Z522" i="3" s="1"/>
  <c r="AA522" i="3" s="1"/>
  <c r="AB522" i="3" s="1"/>
  <c r="AC522" i="3" l="1"/>
  <c r="AD522" i="3" s="1"/>
  <c r="C522" i="4"/>
  <c r="M523" i="3"/>
  <c r="O523" i="3" l="1"/>
  <c r="AI523" i="3"/>
  <c r="N523" i="3"/>
  <c r="G522" i="4"/>
  <c r="I522" i="4" s="1"/>
  <c r="J522" i="4" s="1"/>
  <c r="H522" i="4"/>
  <c r="P523" i="3" l="1"/>
  <c r="Q523" i="3" s="1"/>
  <c r="L523" i="4" s="1"/>
  <c r="K522" i="4"/>
  <c r="M522" i="4"/>
  <c r="V523" i="3" l="1"/>
  <c r="W523" i="3" s="1"/>
  <c r="X523" i="3" s="1"/>
  <c r="Y523" i="3" s="1"/>
  <c r="Z523" i="3" s="1"/>
  <c r="AA523" i="3" s="1"/>
  <c r="AB523" i="3" s="1"/>
  <c r="C523" i="4" l="1"/>
  <c r="AC523" i="3"/>
  <c r="AD523" i="3" s="1"/>
  <c r="M524" i="3"/>
  <c r="N524" i="3" l="1"/>
  <c r="O524" i="3"/>
  <c r="AI524" i="3"/>
  <c r="G523" i="4"/>
  <c r="I523" i="4" s="1"/>
  <c r="J523" i="4" s="1"/>
  <c r="H523" i="4"/>
  <c r="P524" i="3" l="1"/>
  <c r="Q524" i="3" s="1"/>
  <c r="L524" i="4" s="1"/>
  <c r="M523" i="4"/>
  <c r="K523" i="4"/>
  <c r="V524" i="3" l="1"/>
  <c r="W524" i="3" s="1"/>
  <c r="X524" i="3" s="1"/>
  <c r="Y524" i="3" s="1"/>
  <c r="Z524" i="3" s="1"/>
  <c r="AA524" i="3" s="1"/>
  <c r="AB524" i="3" s="1"/>
  <c r="M525" i="3" l="1"/>
  <c r="AC524" i="3"/>
  <c r="AD524" i="3" s="1"/>
  <c r="C524" i="4"/>
  <c r="H524" i="4" l="1"/>
  <c r="G524" i="4"/>
  <c r="I524" i="4" s="1"/>
  <c r="J524" i="4" s="1"/>
  <c r="O525" i="3"/>
  <c r="AI525" i="3"/>
  <c r="N525" i="3"/>
  <c r="P525" i="3" l="1"/>
  <c r="Q525" i="3" s="1"/>
  <c r="L525" i="4" s="1"/>
  <c r="K524" i="4"/>
  <c r="M524" i="4"/>
  <c r="V525" i="3" l="1"/>
  <c r="W525" i="3" s="1"/>
  <c r="X525" i="3" s="1"/>
  <c r="Y525" i="3" s="1"/>
  <c r="Z525" i="3" s="1"/>
  <c r="AA525" i="3" s="1"/>
  <c r="AB525" i="3" s="1"/>
  <c r="AC525" i="3" l="1"/>
  <c r="AD525" i="3" s="1"/>
  <c r="M526" i="3"/>
  <c r="C525" i="4"/>
  <c r="G525" i="4" l="1"/>
  <c r="I525" i="4" s="1"/>
  <c r="J525" i="4" s="1"/>
  <c r="H525" i="4"/>
  <c r="O526" i="3"/>
  <c r="N526" i="3"/>
  <c r="AI526" i="3"/>
  <c r="P526" i="3" l="1"/>
  <c r="Q526" i="3" s="1"/>
  <c r="L526" i="4" s="1"/>
  <c r="M525" i="4"/>
  <c r="K525" i="4"/>
  <c r="V526" i="3" l="1"/>
  <c r="W526" i="3" s="1"/>
  <c r="X526" i="3" s="1"/>
  <c r="Y526" i="3" s="1"/>
  <c r="Z526" i="3" s="1"/>
  <c r="AA526" i="3" s="1"/>
  <c r="AB526" i="3" s="1"/>
  <c r="AC526" i="3" l="1"/>
  <c r="AD526" i="3" s="1"/>
  <c r="M527" i="3"/>
  <c r="C526" i="4"/>
  <c r="H526" i="4" l="1"/>
  <c r="G526" i="4"/>
  <c r="I526" i="4" s="1"/>
  <c r="J526" i="4" s="1"/>
  <c r="O527" i="3"/>
  <c r="N527" i="3"/>
  <c r="AI527" i="3"/>
  <c r="P527" i="3" l="1"/>
  <c r="Q527" i="3" s="1"/>
  <c r="L527" i="4" s="1"/>
  <c r="M526" i="4"/>
  <c r="K526" i="4"/>
  <c r="V527" i="3" l="1"/>
  <c r="W527" i="3" s="1"/>
  <c r="X527" i="3" s="1"/>
  <c r="Y527" i="3" s="1"/>
  <c r="Z527" i="3" s="1"/>
  <c r="AA527" i="3" s="1"/>
  <c r="AB527" i="3" s="1"/>
  <c r="C527" i="4" l="1"/>
  <c r="AC527" i="3"/>
  <c r="AD527" i="3" s="1"/>
  <c r="M528" i="3"/>
  <c r="O528" i="3" l="1"/>
  <c r="N528" i="3"/>
  <c r="AI528" i="3"/>
  <c r="H527" i="4"/>
  <c r="G527" i="4"/>
  <c r="I527" i="4" s="1"/>
  <c r="J527" i="4" s="1"/>
  <c r="P528" i="3" l="1"/>
  <c r="Q528" i="3" s="1"/>
  <c r="L528" i="4" s="1"/>
  <c r="M527" i="4"/>
  <c r="K527" i="4"/>
  <c r="V528" i="3" l="1"/>
  <c r="W528" i="3" s="1"/>
  <c r="X528" i="3" s="1"/>
  <c r="Y528" i="3" s="1"/>
  <c r="Z528" i="3" s="1"/>
  <c r="AA528" i="3" s="1"/>
  <c r="AB528" i="3" s="1"/>
  <c r="M529" i="3" l="1"/>
  <c r="AC528" i="3"/>
  <c r="AD528" i="3" s="1"/>
  <c r="C528" i="4"/>
  <c r="H528" i="4" l="1"/>
  <c r="G528" i="4"/>
  <c r="I528" i="4" s="1"/>
  <c r="J528" i="4" s="1"/>
  <c r="N529" i="3"/>
  <c r="AI529" i="3"/>
  <c r="O529" i="3"/>
  <c r="K528" i="4" l="1"/>
  <c r="M528" i="4"/>
  <c r="P529" i="3"/>
  <c r="Q529" i="3" s="1"/>
  <c r="L529" i="4" l="1"/>
  <c r="V529" i="3"/>
  <c r="W529" i="3" l="1"/>
  <c r="X529" i="3" s="1"/>
  <c r="Y529" i="3" s="1"/>
  <c r="Z529" i="3" s="1"/>
  <c r="AA529" i="3" s="1"/>
  <c r="AB529" i="3" s="1"/>
  <c r="C529" i="4" l="1"/>
  <c r="AC529" i="3"/>
  <c r="AD529" i="3" s="1"/>
  <c r="M530" i="3"/>
  <c r="N530" i="3" l="1"/>
  <c r="AI530" i="3"/>
  <c r="O530" i="3"/>
  <c r="H529" i="4"/>
  <c r="G529" i="4"/>
  <c r="I529" i="4" s="1"/>
  <c r="J529" i="4" s="1"/>
  <c r="K529" i="4" l="1"/>
  <c r="M529" i="4"/>
  <c r="P530" i="3"/>
  <c r="Q530" i="3" s="1"/>
  <c r="L530" i="4" l="1"/>
  <c r="V530" i="3"/>
  <c r="W530" i="3" l="1"/>
  <c r="X530" i="3" s="1"/>
  <c r="Y530" i="3" s="1"/>
  <c r="Z530" i="3" s="1"/>
  <c r="AA530" i="3" s="1"/>
  <c r="AB530" i="3" s="1"/>
  <c r="AC530" i="3" l="1"/>
  <c r="AD530" i="3" s="1"/>
  <c r="C530" i="4"/>
  <c r="M531" i="3"/>
  <c r="G530" i="4" l="1"/>
  <c r="I530" i="4" s="1"/>
  <c r="J530" i="4" s="1"/>
  <c r="H530" i="4"/>
  <c r="N531" i="3"/>
  <c r="AI531" i="3"/>
  <c r="O531" i="3"/>
  <c r="P531" i="3" l="1"/>
  <c r="Q531" i="3" s="1"/>
  <c r="K530" i="4"/>
  <c r="M530" i="4"/>
  <c r="L531" i="4" l="1"/>
  <c r="V531" i="3"/>
  <c r="W531" i="3" l="1"/>
  <c r="X531" i="3" s="1"/>
  <c r="Y531" i="3" s="1"/>
  <c r="Z531" i="3" s="1"/>
  <c r="AA531" i="3" s="1"/>
  <c r="AB531" i="3" s="1"/>
  <c r="M532" i="3" l="1"/>
  <c r="AC531" i="3"/>
  <c r="AD531" i="3" s="1"/>
  <c r="C531" i="4"/>
  <c r="H531" i="4" l="1"/>
  <c r="G531" i="4"/>
  <c r="I531" i="4" s="1"/>
  <c r="J531" i="4" s="1"/>
  <c r="N532" i="3"/>
  <c r="O532" i="3"/>
  <c r="AI532" i="3"/>
  <c r="P532" i="3" l="1"/>
  <c r="Q532" i="3" s="1"/>
  <c r="L532" i="4" s="1"/>
  <c r="C37" i="5" s="1"/>
  <c r="N37" i="5" s="1"/>
  <c r="K531" i="4"/>
  <c r="M531" i="4"/>
  <c r="V532" i="3" l="1"/>
  <c r="W532" i="3" s="1"/>
  <c r="X532" i="3" s="1"/>
  <c r="Y532" i="3" s="1"/>
  <c r="Z532" i="3" s="1"/>
  <c r="AA532" i="3" s="1"/>
  <c r="AB532" i="3" s="1"/>
  <c r="M533" i="3" l="1"/>
  <c r="AC532" i="3"/>
  <c r="AD532" i="3" s="1"/>
  <c r="C532" i="4"/>
  <c r="G532" i="4" l="1"/>
  <c r="I532" i="4" s="1"/>
  <c r="J532" i="4" s="1"/>
  <c r="H532" i="4"/>
  <c r="AI533" i="3"/>
  <c r="N533" i="3"/>
  <c r="O533" i="3"/>
  <c r="P533" i="3" l="1"/>
  <c r="Q533" i="3" s="1"/>
  <c r="L533" i="4" s="1"/>
  <c r="M532" i="4"/>
  <c r="D37" i="5"/>
  <c r="K532" i="4"/>
  <c r="E37" i="5" s="1"/>
  <c r="V533" i="3" l="1"/>
  <c r="W533" i="3" s="1"/>
  <c r="X533" i="3" s="1"/>
  <c r="Y533" i="3" s="1"/>
  <c r="Z533" i="3" s="1"/>
  <c r="AA533" i="3" s="1"/>
  <c r="AB533" i="3" s="1"/>
  <c r="M534" i="3" l="1"/>
  <c r="AC533" i="3"/>
  <c r="AD533" i="3" s="1"/>
  <c r="C533" i="4"/>
  <c r="H533" i="4" l="1"/>
  <c r="G533" i="4"/>
  <c r="I533" i="4" s="1"/>
  <c r="J533" i="4" s="1"/>
  <c r="AI534" i="3"/>
  <c r="N534" i="3"/>
  <c r="O534" i="3"/>
  <c r="P534" i="3" l="1"/>
  <c r="Q534" i="3" s="1"/>
  <c r="M533" i="4"/>
  <c r="K533" i="4"/>
  <c r="L534" i="4" l="1"/>
  <c r="V534" i="3"/>
  <c r="W534" i="3" l="1"/>
  <c r="X534" i="3" s="1"/>
  <c r="Y534" i="3" s="1"/>
  <c r="Z534" i="3" s="1"/>
  <c r="AA534" i="3" s="1"/>
  <c r="AB534" i="3" s="1"/>
  <c r="C534" i="4" l="1"/>
  <c r="AC534" i="3"/>
  <c r="AD534" i="3" s="1"/>
  <c r="M535" i="3"/>
  <c r="O535" i="3" l="1"/>
  <c r="AI535" i="3"/>
  <c r="N535" i="3"/>
  <c r="G534" i="4"/>
  <c r="I534" i="4" s="1"/>
  <c r="J534" i="4" s="1"/>
  <c r="H534" i="4"/>
  <c r="M534" i="4" l="1"/>
  <c r="K534" i="4"/>
  <c r="P535" i="3"/>
  <c r="Q535" i="3" s="1"/>
  <c r="L535" i="4" l="1"/>
  <c r="V535" i="3"/>
  <c r="W535" i="3" l="1"/>
  <c r="X535" i="3" s="1"/>
  <c r="Y535" i="3" s="1"/>
  <c r="Z535" i="3" s="1"/>
  <c r="AA535" i="3" s="1"/>
  <c r="AB535" i="3" s="1"/>
  <c r="C535" i="4" l="1"/>
  <c r="AC535" i="3"/>
  <c r="AD535" i="3" s="1"/>
  <c r="M536" i="3"/>
  <c r="AI536" i="3" l="1"/>
  <c r="O536" i="3"/>
  <c r="N536" i="3"/>
  <c r="H535" i="4"/>
  <c r="G535" i="4"/>
  <c r="I535" i="4" s="1"/>
  <c r="J535" i="4" s="1"/>
  <c r="P536" i="3" l="1"/>
  <c r="Q536" i="3" s="1"/>
  <c r="L536" i="4" s="1"/>
  <c r="M535" i="4"/>
  <c r="K535" i="4"/>
  <c r="V536" i="3" l="1"/>
  <c r="W536" i="3" s="1"/>
  <c r="X536" i="3" s="1"/>
  <c r="Y536" i="3" s="1"/>
  <c r="Z536" i="3" s="1"/>
  <c r="AA536" i="3" s="1"/>
  <c r="AB536" i="3" s="1"/>
  <c r="C536" i="4" l="1"/>
  <c r="AC536" i="3"/>
  <c r="AD536" i="3" s="1"/>
  <c r="M537" i="3"/>
  <c r="AI537" i="3" l="1"/>
  <c r="N537" i="3"/>
  <c r="O537" i="3"/>
  <c r="H536" i="4"/>
  <c r="G536" i="4"/>
  <c r="I536" i="4" s="1"/>
  <c r="J536" i="4" s="1"/>
  <c r="P537" i="3" l="1"/>
  <c r="Q537" i="3" s="1"/>
  <c r="L537" i="4" s="1"/>
  <c r="K536" i="4"/>
  <c r="M536" i="4"/>
  <c r="V537" i="3" l="1"/>
  <c r="W537" i="3" s="1"/>
  <c r="X537" i="3" s="1"/>
  <c r="Y537" i="3" s="1"/>
  <c r="Z537" i="3" s="1"/>
  <c r="AA537" i="3" s="1"/>
  <c r="AB537" i="3" s="1"/>
  <c r="AC537" i="3" l="1"/>
  <c r="AD537" i="3" s="1"/>
  <c r="C537" i="4"/>
  <c r="M538" i="3"/>
  <c r="N538" i="3" l="1"/>
  <c r="AI538" i="3"/>
  <c r="O538" i="3"/>
  <c r="G537" i="4"/>
  <c r="I537" i="4" s="1"/>
  <c r="J537" i="4" s="1"/>
  <c r="H537" i="4"/>
  <c r="P538" i="3" l="1"/>
  <c r="Q538" i="3" s="1"/>
  <c r="L538" i="4" s="1"/>
  <c r="M537" i="4"/>
  <c r="K537" i="4"/>
  <c r="V538" i="3" l="1"/>
  <c r="W538" i="3" s="1"/>
  <c r="X538" i="3" s="1"/>
  <c r="Y538" i="3" s="1"/>
  <c r="Z538" i="3" s="1"/>
  <c r="AA538" i="3" s="1"/>
  <c r="AB538" i="3" s="1"/>
  <c r="AC538" i="3" l="1"/>
  <c r="AD538" i="3" s="1"/>
  <c r="C538" i="4"/>
  <c r="M539" i="3"/>
  <c r="N539" i="3" l="1"/>
  <c r="AI539" i="3"/>
  <c r="O539" i="3"/>
  <c r="H538" i="4"/>
  <c r="G538" i="4"/>
  <c r="I538" i="4" s="1"/>
  <c r="J538" i="4" s="1"/>
  <c r="M538" i="4" l="1"/>
  <c r="K538" i="4"/>
  <c r="P539" i="3"/>
  <c r="Q539" i="3" s="1"/>
  <c r="L539" i="4" l="1"/>
  <c r="V539" i="3"/>
  <c r="W539" i="3" l="1"/>
  <c r="X539" i="3" s="1"/>
  <c r="Y539" i="3" s="1"/>
  <c r="Z539" i="3" s="1"/>
  <c r="AA539" i="3" s="1"/>
  <c r="AB539" i="3" s="1"/>
  <c r="M540" i="3" l="1"/>
  <c r="AC539" i="3"/>
  <c r="AD539" i="3" s="1"/>
  <c r="C539" i="4"/>
  <c r="G539" i="4" l="1"/>
  <c r="I539" i="4" s="1"/>
  <c r="J539" i="4" s="1"/>
  <c r="H539" i="4"/>
  <c r="AI540" i="3"/>
  <c r="O540" i="3"/>
  <c r="N540" i="3"/>
  <c r="P540" i="3" l="1"/>
  <c r="Q540" i="3" s="1"/>
  <c r="L540" i="4" s="1"/>
  <c r="K539" i="4"/>
  <c r="M539" i="4"/>
  <c r="V540" i="3" l="1"/>
  <c r="W540" i="3" s="1"/>
  <c r="X540" i="3" s="1"/>
  <c r="Y540" i="3" s="1"/>
  <c r="Z540" i="3" s="1"/>
  <c r="AA540" i="3" s="1"/>
  <c r="AB540" i="3" s="1"/>
  <c r="C540" i="4" l="1"/>
  <c r="M541" i="3"/>
  <c r="AC540" i="3"/>
  <c r="AD540" i="3" s="1"/>
  <c r="N541" i="3" l="1"/>
  <c r="AI541" i="3"/>
  <c r="O541" i="3"/>
  <c r="H540" i="4"/>
  <c r="G540" i="4"/>
  <c r="I540" i="4" s="1"/>
  <c r="J540" i="4" s="1"/>
  <c r="P541" i="3" l="1"/>
  <c r="Q541" i="3" s="1"/>
  <c r="L541" i="4" s="1"/>
  <c r="K540" i="4"/>
  <c r="M540" i="4"/>
  <c r="V541" i="3" l="1"/>
  <c r="W541" i="3" s="1"/>
  <c r="X541" i="3" s="1"/>
  <c r="Y541" i="3" s="1"/>
  <c r="Z541" i="3" s="1"/>
  <c r="AA541" i="3" s="1"/>
  <c r="AB541" i="3" s="1"/>
  <c r="C541" i="4" l="1"/>
  <c r="AC541" i="3"/>
  <c r="AD541" i="3" s="1"/>
  <c r="M542" i="3"/>
  <c r="O542" i="3" l="1"/>
  <c r="N542" i="3"/>
  <c r="AI542" i="3"/>
  <c r="G541" i="4"/>
  <c r="I541" i="4" s="1"/>
  <c r="J541" i="4" s="1"/>
  <c r="H541" i="4"/>
  <c r="P542" i="3" l="1"/>
  <c r="Q542" i="3" s="1"/>
  <c r="L542" i="4" s="1"/>
  <c r="K541" i="4"/>
  <c r="M541" i="4"/>
  <c r="V542" i="3" l="1"/>
  <c r="W542" i="3" s="1"/>
  <c r="X542" i="3" s="1"/>
  <c r="Y542" i="3" s="1"/>
  <c r="Z542" i="3" s="1"/>
  <c r="AA542" i="3" s="1"/>
  <c r="AB542" i="3" s="1"/>
  <c r="C542" i="4" l="1"/>
  <c r="AC542" i="3"/>
  <c r="AD542" i="3" s="1"/>
  <c r="M543" i="3"/>
  <c r="AI543" i="3" l="1"/>
  <c r="O543" i="3"/>
  <c r="N543" i="3"/>
  <c r="G542" i="4"/>
  <c r="I542" i="4" s="1"/>
  <c r="J542" i="4" s="1"/>
  <c r="H542" i="4"/>
  <c r="P543" i="3" l="1"/>
  <c r="Q543" i="3" s="1"/>
  <c r="L543" i="4" s="1"/>
  <c r="K542" i="4"/>
  <c r="M542" i="4"/>
  <c r="V543" i="3" l="1"/>
  <c r="W543" i="3" s="1"/>
  <c r="X543" i="3" s="1"/>
  <c r="Y543" i="3" s="1"/>
  <c r="Z543" i="3" s="1"/>
  <c r="AA543" i="3" s="1"/>
  <c r="AB543" i="3" s="1"/>
  <c r="C543" i="4" l="1"/>
  <c r="AC543" i="3"/>
  <c r="AD543" i="3" s="1"/>
  <c r="M544" i="3"/>
  <c r="AI544" i="3" l="1"/>
  <c r="N544" i="3"/>
  <c r="O544" i="3"/>
  <c r="H543" i="4"/>
  <c r="G543" i="4"/>
  <c r="I543" i="4" s="1"/>
  <c r="J543" i="4" s="1"/>
  <c r="P544" i="3" l="1"/>
  <c r="Q544" i="3" s="1"/>
  <c r="L544" i="4" s="1"/>
  <c r="M543" i="4"/>
  <c r="K543" i="4"/>
  <c r="V544" i="3" l="1"/>
  <c r="W544" i="3" s="1"/>
  <c r="X544" i="3" s="1"/>
  <c r="Y544" i="3" s="1"/>
  <c r="Z544" i="3" s="1"/>
  <c r="AA544" i="3" s="1"/>
  <c r="AB544" i="3" s="1"/>
  <c r="AC544" i="3" l="1"/>
  <c r="AD544" i="3" s="1"/>
  <c r="C544" i="4"/>
  <c r="M545" i="3"/>
  <c r="O545" i="3" l="1"/>
  <c r="AI545" i="3"/>
  <c r="N545" i="3"/>
  <c r="H544" i="4"/>
  <c r="G544" i="4"/>
  <c r="I544" i="4" s="1"/>
  <c r="J544" i="4" s="1"/>
  <c r="P545" i="3" l="1"/>
  <c r="Q545" i="3" s="1"/>
  <c r="L545" i="4" s="1"/>
  <c r="M544" i="4"/>
  <c r="K544" i="4"/>
  <c r="V545" i="3" l="1"/>
  <c r="W545" i="3" s="1"/>
  <c r="X545" i="3" s="1"/>
  <c r="Y545" i="3" s="1"/>
  <c r="Z545" i="3" s="1"/>
  <c r="AA545" i="3" s="1"/>
  <c r="AB545" i="3" s="1"/>
  <c r="C545" i="4" l="1"/>
  <c r="M546" i="3"/>
  <c r="AC545" i="3"/>
  <c r="AD545" i="3" s="1"/>
  <c r="O546" i="3" l="1"/>
  <c r="AI546" i="3"/>
  <c r="N546" i="3"/>
  <c r="G545" i="4"/>
  <c r="I545" i="4" s="1"/>
  <c r="J545" i="4" s="1"/>
  <c r="H545" i="4"/>
  <c r="P546" i="3" l="1"/>
  <c r="Q546" i="3" s="1"/>
  <c r="L546" i="4" s="1"/>
  <c r="K545" i="4"/>
  <c r="M545" i="4"/>
  <c r="V546" i="3" l="1"/>
  <c r="W546" i="3" s="1"/>
  <c r="X546" i="3" s="1"/>
  <c r="Y546" i="3" s="1"/>
  <c r="Z546" i="3" s="1"/>
  <c r="AA546" i="3" s="1"/>
  <c r="AB546" i="3" s="1"/>
  <c r="M547" i="3" l="1"/>
  <c r="C546" i="4"/>
  <c r="AC546" i="3"/>
  <c r="AD546" i="3" s="1"/>
  <c r="H546" i="4" l="1"/>
  <c r="G546" i="4"/>
  <c r="I546" i="4" s="1"/>
  <c r="J546" i="4" s="1"/>
  <c r="O547" i="3"/>
  <c r="N547" i="3"/>
  <c r="AI547" i="3"/>
  <c r="M546" i="4" l="1"/>
  <c r="K546" i="4"/>
  <c r="P547" i="3"/>
  <c r="Q547" i="3" s="1"/>
  <c r="L547" i="4" l="1"/>
  <c r="V547" i="3"/>
  <c r="W547" i="3" l="1"/>
  <c r="X547" i="3" s="1"/>
  <c r="Y547" i="3" s="1"/>
  <c r="Z547" i="3" s="1"/>
  <c r="AA547" i="3" s="1"/>
  <c r="AB547" i="3" s="1"/>
  <c r="M548" i="3" l="1"/>
  <c r="AC547" i="3"/>
  <c r="AD547" i="3" s="1"/>
  <c r="C547" i="4"/>
  <c r="G547" i="4" l="1"/>
  <c r="I547" i="4" s="1"/>
  <c r="J547" i="4" s="1"/>
  <c r="H547" i="4"/>
  <c r="AI548" i="3"/>
  <c r="O548" i="3"/>
  <c r="N548" i="3"/>
  <c r="P548" i="3" l="1"/>
  <c r="Q548" i="3" s="1"/>
  <c r="M547" i="4"/>
  <c r="K547" i="4"/>
  <c r="L548" i="4" l="1"/>
  <c r="V548" i="3"/>
  <c r="W548" i="3" l="1"/>
  <c r="X548" i="3" s="1"/>
  <c r="Y548" i="3" s="1"/>
  <c r="Z548" i="3" s="1"/>
  <c r="AA548" i="3" s="1"/>
  <c r="AB548" i="3" s="1"/>
  <c r="AC548" i="3" l="1"/>
  <c r="AD548" i="3" s="1"/>
  <c r="M549" i="3"/>
  <c r="C548" i="4"/>
  <c r="G548" i="4" l="1"/>
  <c r="I548" i="4" s="1"/>
  <c r="J548" i="4" s="1"/>
  <c r="H548" i="4"/>
  <c r="O549" i="3"/>
  <c r="N549" i="3"/>
  <c r="AI549" i="3"/>
  <c r="P549" i="3" l="1"/>
  <c r="Q549" i="3" s="1"/>
  <c r="L549" i="4" s="1"/>
  <c r="K548" i="4"/>
  <c r="M548" i="4"/>
  <c r="V549" i="3" l="1"/>
  <c r="W549" i="3" s="1"/>
  <c r="X549" i="3" s="1"/>
  <c r="Y549" i="3" s="1"/>
  <c r="Z549" i="3" s="1"/>
  <c r="AA549" i="3" s="1"/>
  <c r="AB549" i="3" s="1"/>
  <c r="M550" i="3" l="1"/>
  <c r="AC549" i="3"/>
  <c r="AD549" i="3" s="1"/>
  <c r="C549" i="4"/>
  <c r="H549" i="4" l="1"/>
  <c r="G549" i="4"/>
  <c r="I549" i="4" s="1"/>
  <c r="J549" i="4" s="1"/>
  <c r="O550" i="3"/>
  <c r="N550" i="3"/>
  <c r="AI550" i="3"/>
  <c r="P550" i="3" l="1"/>
  <c r="Q550" i="3" s="1"/>
  <c r="L550" i="4" s="1"/>
  <c r="K549" i="4"/>
  <c r="M549" i="4"/>
  <c r="V550" i="3" l="1"/>
  <c r="W550" i="3" s="1"/>
  <c r="X550" i="3" s="1"/>
  <c r="Y550" i="3" s="1"/>
  <c r="Z550" i="3" s="1"/>
  <c r="AA550" i="3" s="1"/>
  <c r="AB550" i="3" s="1"/>
  <c r="C550" i="4" l="1"/>
  <c r="AC550" i="3"/>
  <c r="AD550" i="3" s="1"/>
  <c r="M551" i="3"/>
  <c r="N551" i="3" l="1"/>
  <c r="O551" i="3"/>
  <c r="AI551" i="3"/>
  <c r="H550" i="4"/>
  <c r="G550" i="4"/>
  <c r="I550" i="4" s="1"/>
  <c r="J550" i="4" s="1"/>
  <c r="K550" i="4" l="1"/>
  <c r="M550" i="4"/>
  <c r="P551" i="3"/>
  <c r="Q551" i="3" s="1"/>
  <c r="L551" i="4" l="1"/>
  <c r="V551" i="3"/>
  <c r="W551" i="3" l="1"/>
  <c r="X551" i="3" s="1"/>
  <c r="Y551" i="3" s="1"/>
  <c r="Z551" i="3" s="1"/>
  <c r="AA551" i="3" s="1"/>
  <c r="AB551" i="3" s="1"/>
  <c r="M552" i="3" l="1"/>
  <c r="C551" i="4"/>
  <c r="AC551" i="3"/>
  <c r="AD551" i="3" s="1"/>
  <c r="G551" i="4" l="1"/>
  <c r="I551" i="4" s="1"/>
  <c r="J551" i="4" s="1"/>
  <c r="H551" i="4"/>
  <c r="O552" i="3"/>
  <c r="AI552" i="3"/>
  <c r="N552" i="3"/>
  <c r="P552" i="3" l="1"/>
  <c r="Q552" i="3" s="1"/>
  <c r="L552" i="4" s="1"/>
  <c r="M551" i="4"/>
  <c r="K551" i="4"/>
  <c r="V552" i="3" l="1"/>
  <c r="W552" i="3" s="1"/>
  <c r="X552" i="3" s="1"/>
  <c r="Y552" i="3" s="1"/>
  <c r="Z552" i="3" s="1"/>
  <c r="AA552" i="3" s="1"/>
  <c r="AB552" i="3" s="1"/>
  <c r="C552" i="4" l="1"/>
  <c r="M553" i="3"/>
  <c r="AC552" i="3"/>
  <c r="AD552" i="3" s="1"/>
  <c r="O553" i="3" l="1"/>
  <c r="AI553" i="3"/>
  <c r="N553" i="3"/>
  <c r="G552" i="4"/>
  <c r="I552" i="4" s="1"/>
  <c r="J552" i="4" s="1"/>
  <c r="H552" i="4"/>
  <c r="P553" i="3" l="1"/>
  <c r="Q553" i="3" s="1"/>
  <c r="L553" i="4" s="1"/>
  <c r="M552" i="4"/>
  <c r="K552" i="4"/>
  <c r="V553" i="3" l="1"/>
  <c r="W553" i="3" s="1"/>
  <c r="X553" i="3" s="1"/>
  <c r="Y553" i="3" s="1"/>
  <c r="Z553" i="3" s="1"/>
  <c r="AA553" i="3" s="1"/>
  <c r="AB553" i="3" s="1"/>
  <c r="AC553" i="3" l="1"/>
  <c r="AD553" i="3" s="1"/>
  <c r="C553" i="4"/>
  <c r="M554" i="3"/>
  <c r="N554" i="3" l="1"/>
  <c r="AI554" i="3"/>
  <c r="O554" i="3"/>
  <c r="H553" i="4"/>
  <c r="G553" i="4"/>
  <c r="I553" i="4" s="1"/>
  <c r="J553" i="4" s="1"/>
  <c r="M553" i="4" l="1"/>
  <c r="K553" i="4"/>
  <c r="P554" i="3"/>
  <c r="Q554" i="3" s="1"/>
  <c r="L554" i="4" l="1"/>
  <c r="V554" i="3"/>
  <c r="W554" i="3" l="1"/>
  <c r="X554" i="3" s="1"/>
  <c r="Y554" i="3" s="1"/>
  <c r="Z554" i="3" s="1"/>
  <c r="AA554" i="3" s="1"/>
  <c r="AB554" i="3" s="1"/>
  <c r="AC554" i="3" l="1"/>
  <c r="AD554" i="3" s="1"/>
  <c r="M555" i="3"/>
  <c r="C554" i="4"/>
  <c r="G554" i="4" l="1"/>
  <c r="I554" i="4" s="1"/>
  <c r="J554" i="4" s="1"/>
  <c r="H554" i="4"/>
  <c r="AI555" i="3"/>
  <c r="O555" i="3"/>
  <c r="N555" i="3"/>
  <c r="P555" i="3" l="1"/>
  <c r="Q555" i="3" s="1"/>
  <c r="K554" i="4"/>
  <c r="M554" i="4"/>
  <c r="L555" i="4" l="1"/>
  <c r="V555" i="3"/>
  <c r="W555" i="3" l="1"/>
  <c r="X555" i="3" s="1"/>
  <c r="Y555" i="3" s="1"/>
  <c r="Z555" i="3" s="1"/>
  <c r="AA555" i="3" s="1"/>
  <c r="AB555" i="3" s="1"/>
  <c r="C555" i="4" l="1"/>
  <c r="AC555" i="3"/>
  <c r="AD555" i="3" s="1"/>
  <c r="M556" i="3"/>
  <c r="N556" i="3" l="1"/>
  <c r="O556" i="3"/>
  <c r="AI556" i="3"/>
  <c r="H555" i="4"/>
  <c r="G555" i="4"/>
  <c r="I555" i="4" s="1"/>
  <c r="J555" i="4" s="1"/>
  <c r="M555" i="4" l="1"/>
  <c r="K555" i="4"/>
  <c r="P556" i="3"/>
  <c r="Q556" i="3" s="1"/>
  <c r="L556" i="4" l="1"/>
  <c r="V556" i="3"/>
  <c r="W556" i="3" l="1"/>
  <c r="X556" i="3" s="1"/>
  <c r="Y556" i="3" s="1"/>
  <c r="Z556" i="3" s="1"/>
  <c r="AA556" i="3" s="1"/>
  <c r="AB556" i="3" s="1"/>
  <c r="C556" i="4" l="1"/>
  <c r="AC556" i="3"/>
  <c r="AD556" i="3" s="1"/>
  <c r="M557" i="3"/>
  <c r="AI557" i="3" l="1"/>
  <c r="N557" i="3"/>
  <c r="O557" i="3"/>
  <c r="G556" i="4"/>
  <c r="I556" i="4" s="1"/>
  <c r="J556" i="4" s="1"/>
  <c r="H556" i="4"/>
  <c r="P557" i="3" l="1"/>
  <c r="Q557" i="3" s="1"/>
  <c r="M556" i="4"/>
  <c r="K556" i="4"/>
  <c r="L557" i="4" l="1"/>
  <c r="V557" i="3"/>
  <c r="W557" i="3" l="1"/>
  <c r="X557" i="3" s="1"/>
  <c r="Y557" i="3" s="1"/>
  <c r="Z557" i="3" s="1"/>
  <c r="AA557" i="3" s="1"/>
  <c r="AB557" i="3" s="1"/>
  <c r="C557" i="4" l="1"/>
  <c r="M558" i="3"/>
  <c r="AC557" i="3"/>
  <c r="AD557" i="3" s="1"/>
  <c r="O558" i="3" l="1"/>
  <c r="AI558" i="3"/>
  <c r="N558" i="3"/>
  <c r="H557" i="4"/>
  <c r="G557" i="4"/>
  <c r="I557" i="4" s="1"/>
  <c r="J557" i="4" s="1"/>
  <c r="P558" i="3" l="1"/>
  <c r="Q558" i="3" s="1"/>
  <c r="L558" i="4" s="1"/>
  <c r="K557" i="4"/>
  <c r="M557" i="4"/>
  <c r="V558" i="3" l="1"/>
  <c r="W558" i="3" s="1"/>
  <c r="X558" i="3" s="1"/>
  <c r="Y558" i="3" s="1"/>
  <c r="Z558" i="3" s="1"/>
  <c r="AA558" i="3" s="1"/>
  <c r="AB558" i="3" s="1"/>
  <c r="C558" i="4" l="1"/>
  <c r="M559" i="3"/>
  <c r="AC558" i="3"/>
  <c r="AD558" i="3" s="1"/>
  <c r="AI559" i="3" l="1"/>
  <c r="O559" i="3"/>
  <c r="N559" i="3"/>
  <c r="H558" i="4"/>
  <c r="G558" i="4"/>
  <c r="I558" i="4" s="1"/>
  <c r="J558" i="4" s="1"/>
  <c r="P559" i="3" l="1"/>
  <c r="Q559" i="3" s="1"/>
  <c r="L559" i="4" s="1"/>
  <c r="K558" i="4"/>
  <c r="M558" i="4"/>
  <c r="V559" i="3" l="1"/>
  <c r="W559" i="3" s="1"/>
  <c r="X559" i="3" s="1"/>
  <c r="Y559" i="3" s="1"/>
  <c r="Z559" i="3" s="1"/>
  <c r="AA559" i="3" s="1"/>
  <c r="AB559" i="3" s="1"/>
  <c r="AC559" i="3" l="1"/>
  <c r="AD559" i="3" s="1"/>
  <c r="C559" i="4"/>
  <c r="M560" i="3"/>
  <c r="H559" i="4" l="1"/>
  <c r="G559" i="4"/>
  <c r="I559" i="4" s="1"/>
  <c r="J559" i="4" s="1"/>
  <c r="N560" i="3"/>
  <c r="AI560" i="3"/>
  <c r="O560" i="3"/>
  <c r="M559" i="4" l="1"/>
  <c r="K559" i="4"/>
  <c r="P560" i="3"/>
  <c r="Q560" i="3" s="1"/>
  <c r="L560" i="4" l="1"/>
  <c r="V560" i="3"/>
  <c r="W560" i="3" l="1"/>
  <c r="X560" i="3" s="1"/>
  <c r="Y560" i="3" s="1"/>
  <c r="Z560" i="3" s="1"/>
  <c r="AA560" i="3" s="1"/>
  <c r="AB560" i="3" s="1"/>
  <c r="C560" i="4" l="1"/>
  <c r="M561" i="3"/>
  <c r="AC560" i="3"/>
  <c r="AD560" i="3" s="1"/>
  <c r="O561" i="3" l="1"/>
  <c r="AI561" i="3"/>
  <c r="N561" i="3"/>
  <c r="G560" i="4"/>
  <c r="I560" i="4" s="1"/>
  <c r="J560" i="4" s="1"/>
  <c r="H560" i="4"/>
  <c r="P561" i="3" l="1"/>
  <c r="Q561" i="3" s="1"/>
  <c r="L561" i="4" s="1"/>
  <c r="M560" i="4"/>
  <c r="K560" i="4"/>
  <c r="V561" i="3" l="1"/>
  <c r="W561" i="3" s="1"/>
  <c r="X561" i="3" s="1"/>
  <c r="Y561" i="3" s="1"/>
  <c r="Z561" i="3" s="1"/>
  <c r="AA561" i="3" s="1"/>
  <c r="AB561" i="3" s="1"/>
  <c r="C561" i="4" l="1"/>
  <c r="M562" i="3"/>
  <c r="AC561" i="3"/>
  <c r="AD561" i="3" s="1"/>
  <c r="N562" i="3" l="1"/>
  <c r="AI562" i="3"/>
  <c r="O562" i="3"/>
  <c r="H561" i="4"/>
  <c r="G561" i="4"/>
  <c r="I561" i="4" s="1"/>
  <c r="J561" i="4" s="1"/>
  <c r="P562" i="3" l="1"/>
  <c r="Q562" i="3" s="1"/>
  <c r="L562" i="4" s="1"/>
  <c r="M561" i="4"/>
  <c r="K561" i="4"/>
  <c r="V562" i="3" l="1"/>
  <c r="W562" i="3" s="1"/>
  <c r="X562" i="3" s="1"/>
  <c r="Y562" i="3" s="1"/>
  <c r="Z562" i="3" s="1"/>
  <c r="AA562" i="3" s="1"/>
  <c r="AB562" i="3" s="1"/>
  <c r="M563" i="3" l="1"/>
  <c r="AC562" i="3"/>
  <c r="AD562" i="3" s="1"/>
  <c r="C562" i="4"/>
  <c r="G562" i="4" l="1"/>
  <c r="I562" i="4" s="1"/>
  <c r="J562" i="4" s="1"/>
  <c r="H562" i="4"/>
  <c r="AI563" i="3"/>
  <c r="N563" i="3"/>
  <c r="O563" i="3"/>
  <c r="P563" i="3" l="1"/>
  <c r="Q563" i="3" s="1"/>
  <c r="K562" i="4"/>
  <c r="M562" i="4"/>
  <c r="L563" i="4" l="1"/>
  <c r="V563" i="3"/>
  <c r="W563" i="3" l="1"/>
  <c r="X563" i="3" s="1"/>
  <c r="Y563" i="3" s="1"/>
  <c r="Z563" i="3" s="1"/>
  <c r="AA563" i="3" s="1"/>
  <c r="AB563" i="3" s="1"/>
  <c r="C563" i="4" l="1"/>
  <c r="AC563" i="3"/>
  <c r="AD563" i="3" s="1"/>
  <c r="M564" i="3"/>
  <c r="O564" i="3" l="1"/>
  <c r="AI564" i="3"/>
  <c r="N564" i="3"/>
  <c r="G563" i="4"/>
  <c r="I563" i="4" s="1"/>
  <c r="J563" i="4" s="1"/>
  <c r="H563" i="4"/>
  <c r="P564" i="3" l="1"/>
  <c r="Q564" i="3" s="1"/>
  <c r="L564" i="4" s="1"/>
  <c r="M563" i="4"/>
  <c r="K563" i="4"/>
  <c r="V564" i="3" l="1"/>
  <c r="W564" i="3" s="1"/>
  <c r="X564" i="3" s="1"/>
  <c r="Y564" i="3" s="1"/>
  <c r="Z564" i="3" s="1"/>
  <c r="AA564" i="3" s="1"/>
  <c r="AB564" i="3" s="1"/>
  <c r="C564" i="4" l="1"/>
  <c r="AC564" i="3"/>
  <c r="AD564" i="3" s="1"/>
  <c r="M565" i="3"/>
  <c r="AI565" i="3" l="1"/>
  <c r="O565" i="3"/>
  <c r="N565" i="3"/>
  <c r="H564" i="4"/>
  <c r="G564" i="4"/>
  <c r="I564" i="4" s="1"/>
  <c r="J564" i="4" s="1"/>
  <c r="P565" i="3" l="1"/>
  <c r="Q565" i="3" s="1"/>
  <c r="L565" i="4" s="1"/>
  <c r="M564" i="4"/>
  <c r="K564" i="4"/>
  <c r="V565" i="3" l="1"/>
  <c r="W565" i="3" s="1"/>
  <c r="X565" i="3" s="1"/>
  <c r="Y565" i="3" s="1"/>
  <c r="Z565" i="3" s="1"/>
  <c r="AA565" i="3" s="1"/>
  <c r="AB565" i="3" s="1"/>
  <c r="AC565" i="3" l="1"/>
  <c r="AD565" i="3" s="1"/>
  <c r="C565" i="4"/>
  <c r="M566" i="3"/>
  <c r="H565" i="4" l="1"/>
  <c r="G565" i="4"/>
  <c r="I565" i="4" s="1"/>
  <c r="J565" i="4" s="1"/>
  <c r="O566" i="3"/>
  <c r="AI566" i="3"/>
  <c r="N566" i="3"/>
  <c r="P566" i="3" l="1"/>
  <c r="Q566" i="3" s="1"/>
  <c r="L566" i="4" s="1"/>
  <c r="M565" i="4"/>
  <c r="K565" i="4"/>
  <c r="V566" i="3" l="1"/>
  <c r="W566" i="3" s="1"/>
  <c r="X566" i="3" s="1"/>
  <c r="Y566" i="3" s="1"/>
  <c r="Z566" i="3" s="1"/>
  <c r="AA566" i="3" s="1"/>
  <c r="AB566" i="3" s="1"/>
  <c r="AC566" i="3" l="1"/>
  <c r="AD566" i="3" s="1"/>
  <c r="C566" i="4"/>
  <c r="M567" i="3"/>
  <c r="O567" i="3" l="1"/>
  <c r="AI567" i="3"/>
  <c r="N567" i="3"/>
  <c r="G566" i="4"/>
  <c r="I566" i="4" s="1"/>
  <c r="J566" i="4" s="1"/>
  <c r="H566" i="4"/>
  <c r="P567" i="3" l="1"/>
  <c r="Q567" i="3" s="1"/>
  <c r="L567" i="4" s="1"/>
  <c r="M566" i="4"/>
  <c r="K566" i="4"/>
  <c r="V567" i="3" l="1"/>
  <c r="W567" i="3" s="1"/>
  <c r="X567" i="3" s="1"/>
  <c r="Y567" i="3" s="1"/>
  <c r="Z567" i="3" s="1"/>
  <c r="AA567" i="3" s="1"/>
  <c r="AB567" i="3" s="1"/>
  <c r="M568" i="3" l="1"/>
  <c r="AC567" i="3"/>
  <c r="AD567" i="3" s="1"/>
  <c r="C567" i="4"/>
  <c r="G567" i="4" l="1"/>
  <c r="I567" i="4" s="1"/>
  <c r="J567" i="4" s="1"/>
  <c r="H567" i="4"/>
  <c r="AI568" i="3"/>
  <c r="N568" i="3"/>
  <c r="O568" i="3"/>
  <c r="P568" i="3" l="1"/>
  <c r="Q568" i="3" s="1"/>
  <c r="L568" i="4" s="1"/>
  <c r="M567" i="4"/>
  <c r="K567" i="4"/>
  <c r="V568" i="3" l="1"/>
  <c r="W568" i="3" s="1"/>
  <c r="X568" i="3" s="1"/>
  <c r="Y568" i="3" s="1"/>
  <c r="Z568" i="3" s="1"/>
  <c r="AA568" i="3" s="1"/>
  <c r="AB568" i="3" s="1"/>
  <c r="C568" i="4" l="1"/>
  <c r="M569" i="3"/>
  <c r="AC568" i="3"/>
  <c r="AD568" i="3" s="1"/>
  <c r="N569" i="3" l="1"/>
  <c r="AI569" i="3"/>
  <c r="O569" i="3"/>
  <c r="H568" i="4"/>
  <c r="G568" i="4"/>
  <c r="I568" i="4" s="1"/>
  <c r="J568" i="4" s="1"/>
  <c r="P569" i="3" l="1"/>
  <c r="Q569" i="3" s="1"/>
  <c r="L569" i="4" s="1"/>
  <c r="K568" i="4"/>
  <c r="M568" i="4"/>
  <c r="V569" i="3" l="1"/>
  <c r="W569" i="3" s="1"/>
  <c r="X569" i="3" s="1"/>
  <c r="Y569" i="3" s="1"/>
  <c r="Z569" i="3" s="1"/>
  <c r="AA569" i="3" s="1"/>
  <c r="AB569" i="3" s="1"/>
  <c r="C569" i="4" l="1"/>
  <c r="M570" i="3"/>
  <c r="AC569" i="3"/>
  <c r="AD569" i="3" s="1"/>
  <c r="AI570" i="3" l="1"/>
  <c r="O570" i="3"/>
  <c r="N570" i="3"/>
  <c r="G569" i="4"/>
  <c r="I569" i="4" s="1"/>
  <c r="J569" i="4" s="1"/>
  <c r="H569" i="4"/>
  <c r="P570" i="3" l="1"/>
  <c r="Q570" i="3" s="1"/>
  <c r="L570" i="4" s="1"/>
  <c r="K569" i="4"/>
  <c r="M569" i="4"/>
  <c r="V570" i="3" l="1"/>
  <c r="W570" i="3" s="1"/>
  <c r="X570" i="3" s="1"/>
  <c r="Y570" i="3" s="1"/>
  <c r="Z570" i="3" s="1"/>
  <c r="AA570" i="3" s="1"/>
  <c r="AB570" i="3" s="1"/>
  <c r="AC570" i="3" l="1"/>
  <c r="AD570" i="3" s="1"/>
  <c r="M571" i="3"/>
  <c r="C570" i="4"/>
  <c r="H570" i="4" l="1"/>
  <c r="G570" i="4"/>
  <c r="I570" i="4" s="1"/>
  <c r="J570" i="4" s="1"/>
  <c r="O571" i="3"/>
  <c r="N571" i="3"/>
  <c r="AI571" i="3"/>
  <c r="P571" i="3" l="1"/>
  <c r="Q571" i="3" s="1"/>
  <c r="L571" i="4" s="1"/>
  <c r="M570" i="4"/>
  <c r="K570" i="4"/>
  <c r="V571" i="3" l="1"/>
  <c r="W571" i="3" s="1"/>
  <c r="X571" i="3" s="1"/>
  <c r="Y571" i="3" s="1"/>
  <c r="Z571" i="3" s="1"/>
  <c r="AA571" i="3" s="1"/>
  <c r="AB571" i="3" s="1"/>
  <c r="AC571" i="3" l="1"/>
  <c r="AD571" i="3" s="1"/>
  <c r="M572" i="3"/>
  <c r="C571" i="4"/>
  <c r="H571" i="4" l="1"/>
  <c r="G571" i="4"/>
  <c r="I571" i="4" s="1"/>
  <c r="J571" i="4" s="1"/>
  <c r="AI572" i="3"/>
  <c r="O572" i="3"/>
  <c r="N572" i="3"/>
  <c r="K571" i="4" l="1"/>
  <c r="M571" i="4"/>
  <c r="P572" i="3"/>
  <c r="Q572" i="3" s="1"/>
  <c r="L572" i="4" l="1"/>
  <c r="V572" i="3"/>
  <c r="W572" i="3" l="1"/>
  <c r="X572" i="3" s="1"/>
  <c r="Y572" i="3" s="1"/>
  <c r="Z572" i="3" s="1"/>
  <c r="AA572" i="3" s="1"/>
  <c r="AB572" i="3" s="1"/>
  <c r="M573" i="3" l="1"/>
  <c r="C572" i="4"/>
  <c r="AC572" i="3"/>
  <c r="AD572" i="3" s="1"/>
  <c r="H572" i="4" l="1"/>
  <c r="G572" i="4"/>
  <c r="I572" i="4" s="1"/>
  <c r="J572" i="4" s="1"/>
  <c r="AI573" i="3"/>
  <c r="O573" i="3"/>
  <c r="N573" i="3"/>
  <c r="K572" i="4" l="1"/>
  <c r="M572" i="4"/>
  <c r="P573" i="3"/>
  <c r="Q573" i="3" s="1"/>
  <c r="L573" i="4" l="1"/>
  <c r="V573" i="3"/>
  <c r="W573" i="3" l="1"/>
  <c r="X573" i="3" s="1"/>
  <c r="Y573" i="3" s="1"/>
  <c r="Z573" i="3" s="1"/>
  <c r="AA573" i="3" s="1"/>
  <c r="AB573" i="3" s="1"/>
  <c r="M574" i="3" l="1"/>
  <c r="AC573" i="3"/>
  <c r="AD573" i="3" s="1"/>
  <c r="C573" i="4"/>
  <c r="H573" i="4" l="1"/>
  <c r="G573" i="4"/>
  <c r="I573" i="4" s="1"/>
  <c r="J573" i="4" s="1"/>
  <c r="N574" i="3"/>
  <c r="AI574" i="3"/>
  <c r="O574" i="3"/>
  <c r="M573" i="4" l="1"/>
  <c r="K573" i="4"/>
  <c r="P574" i="3"/>
  <c r="Q574" i="3" s="1"/>
  <c r="L574" i="4" l="1"/>
  <c r="C38" i="5" s="1"/>
  <c r="N38" i="5" s="1"/>
  <c r="V574" i="3"/>
  <c r="W574" i="3" l="1"/>
  <c r="X574" i="3" s="1"/>
  <c r="Y574" i="3" s="1"/>
  <c r="Z574" i="3" s="1"/>
  <c r="AA574" i="3" s="1"/>
  <c r="AB574" i="3" s="1"/>
  <c r="C574" i="4" l="1"/>
  <c r="M575" i="3"/>
  <c r="AC574" i="3"/>
  <c r="AD574" i="3" s="1"/>
  <c r="N575" i="3" l="1"/>
  <c r="O575" i="3"/>
  <c r="AI575" i="3"/>
  <c r="H574" i="4"/>
  <c r="G574" i="4"/>
  <c r="I574" i="4" s="1"/>
  <c r="J574" i="4" s="1"/>
  <c r="D38" i="5" l="1"/>
  <c r="K574" i="4"/>
  <c r="E38" i="5" s="1"/>
  <c r="M574" i="4"/>
  <c r="P575" i="3"/>
  <c r="Q575" i="3" s="1"/>
  <c r="L575" i="4" l="1"/>
  <c r="V575" i="3"/>
  <c r="W575" i="3" l="1"/>
  <c r="X575" i="3" s="1"/>
  <c r="Y575" i="3" s="1"/>
  <c r="Z575" i="3" s="1"/>
  <c r="AA575" i="3" s="1"/>
  <c r="AB575" i="3" s="1"/>
  <c r="M576" i="3" l="1"/>
  <c r="C575" i="4"/>
  <c r="AC575" i="3"/>
  <c r="AD575" i="3" s="1"/>
  <c r="G575" i="4" l="1"/>
  <c r="I575" i="4" s="1"/>
  <c r="J575" i="4" s="1"/>
  <c r="H575" i="4"/>
  <c r="AI576" i="3"/>
  <c r="N576" i="3"/>
  <c r="O576" i="3"/>
  <c r="P576" i="3" l="1"/>
  <c r="Q576" i="3" s="1"/>
  <c r="L576" i="4" s="1"/>
  <c r="M575" i="4"/>
  <c r="K575" i="4"/>
  <c r="V576" i="3" l="1"/>
  <c r="W576" i="3" s="1"/>
  <c r="X576" i="3" s="1"/>
  <c r="Y576" i="3" s="1"/>
  <c r="Z576" i="3" s="1"/>
  <c r="AA576" i="3" s="1"/>
  <c r="AB576" i="3" s="1"/>
  <c r="C576" i="4" l="1"/>
  <c r="M577" i="3"/>
  <c r="AC576" i="3"/>
  <c r="AD576" i="3" s="1"/>
  <c r="O577" i="3" l="1"/>
  <c r="N577" i="3"/>
  <c r="AI577" i="3"/>
  <c r="H576" i="4"/>
  <c r="G576" i="4"/>
  <c r="I576" i="4" s="1"/>
  <c r="J576" i="4" s="1"/>
  <c r="P577" i="3" l="1"/>
  <c r="Q577" i="3" s="1"/>
  <c r="L577" i="4" s="1"/>
  <c r="M576" i="4"/>
  <c r="K576" i="4"/>
  <c r="V577" i="3" l="1"/>
  <c r="W577" i="3" s="1"/>
  <c r="X577" i="3" s="1"/>
  <c r="Y577" i="3" s="1"/>
  <c r="Z577" i="3" s="1"/>
  <c r="AA577" i="3" s="1"/>
  <c r="AB577" i="3" s="1"/>
  <c r="C577" i="4" l="1"/>
  <c r="AC577" i="3"/>
  <c r="AD577" i="3" s="1"/>
  <c r="M578" i="3"/>
  <c r="O578" i="3" l="1"/>
  <c r="N578" i="3"/>
  <c r="AI578" i="3"/>
  <c r="H577" i="4"/>
  <c r="G577" i="4"/>
  <c r="I577" i="4" s="1"/>
  <c r="J577" i="4" s="1"/>
  <c r="P578" i="3" l="1"/>
  <c r="Q578" i="3" s="1"/>
  <c r="L578" i="4" s="1"/>
  <c r="K577" i="4"/>
  <c r="M577" i="4"/>
  <c r="V578" i="3" l="1"/>
  <c r="W578" i="3" s="1"/>
  <c r="X578" i="3" s="1"/>
  <c r="Y578" i="3" s="1"/>
  <c r="Z578" i="3" s="1"/>
  <c r="AA578" i="3" s="1"/>
  <c r="AB578" i="3" s="1"/>
  <c r="AC578" i="3" l="1"/>
  <c r="AD578" i="3" s="1"/>
  <c r="C578" i="4"/>
  <c r="M579" i="3"/>
  <c r="AI579" i="3" l="1"/>
  <c r="O579" i="3"/>
  <c r="N579" i="3"/>
  <c r="G578" i="4"/>
  <c r="I578" i="4" s="1"/>
  <c r="J578" i="4" s="1"/>
  <c r="H578" i="4"/>
  <c r="P579" i="3" l="1"/>
  <c r="Q579" i="3" s="1"/>
  <c r="L579" i="4" s="1"/>
  <c r="K578" i="4"/>
  <c r="M578" i="4"/>
  <c r="V579" i="3" l="1"/>
  <c r="W579" i="3" s="1"/>
  <c r="X579" i="3" s="1"/>
  <c r="Y579" i="3" s="1"/>
  <c r="Z579" i="3" s="1"/>
  <c r="AA579" i="3" s="1"/>
  <c r="AB579" i="3" s="1"/>
  <c r="M580" i="3" l="1"/>
  <c r="AC579" i="3"/>
  <c r="AD579" i="3" s="1"/>
  <c r="C579" i="4"/>
  <c r="H579" i="4" l="1"/>
  <c r="G579" i="4"/>
  <c r="I579" i="4" s="1"/>
  <c r="J579" i="4" s="1"/>
  <c r="O580" i="3"/>
  <c r="N580" i="3"/>
  <c r="AI580" i="3"/>
  <c r="P580" i="3" l="1"/>
  <c r="Q580" i="3" s="1"/>
  <c r="L580" i="4" s="1"/>
  <c r="K579" i="4"/>
  <c r="M579" i="4"/>
  <c r="V580" i="3" l="1"/>
  <c r="W580" i="3" s="1"/>
  <c r="X580" i="3" s="1"/>
  <c r="Y580" i="3" s="1"/>
  <c r="Z580" i="3" s="1"/>
  <c r="AA580" i="3" s="1"/>
  <c r="AB580" i="3" s="1"/>
  <c r="AC580" i="3" l="1"/>
  <c r="AD580" i="3" s="1"/>
  <c r="M581" i="3"/>
  <c r="C580" i="4"/>
  <c r="G580" i="4" l="1"/>
  <c r="I580" i="4" s="1"/>
  <c r="J580" i="4" s="1"/>
  <c r="H580" i="4"/>
  <c r="N581" i="3"/>
  <c r="AI581" i="3"/>
  <c r="O581" i="3"/>
  <c r="P581" i="3" l="1"/>
  <c r="Q581" i="3" s="1"/>
  <c r="M580" i="4"/>
  <c r="K580" i="4"/>
  <c r="L581" i="4" l="1"/>
  <c r="V581" i="3"/>
  <c r="W581" i="3" l="1"/>
  <c r="X581" i="3" s="1"/>
  <c r="Y581" i="3" s="1"/>
  <c r="Z581" i="3" s="1"/>
  <c r="AA581" i="3" s="1"/>
  <c r="AB581" i="3" s="1"/>
  <c r="C581" i="4" l="1"/>
  <c r="AC581" i="3"/>
  <c r="AD581" i="3" s="1"/>
  <c r="M582" i="3"/>
  <c r="AI582" i="3" l="1"/>
  <c r="N582" i="3"/>
  <c r="O582" i="3"/>
  <c r="G581" i="4"/>
  <c r="I581" i="4" s="1"/>
  <c r="J581" i="4" s="1"/>
  <c r="H581" i="4"/>
  <c r="K581" i="4" l="1"/>
  <c r="M581" i="4"/>
  <c r="P582" i="3"/>
  <c r="Q582" i="3" s="1"/>
  <c r="L582" i="4" l="1"/>
  <c r="V582" i="3"/>
  <c r="W582" i="3" l="1"/>
  <c r="X582" i="3" s="1"/>
  <c r="Y582" i="3" s="1"/>
  <c r="Z582" i="3" s="1"/>
  <c r="AA582" i="3" s="1"/>
  <c r="AB582" i="3" s="1"/>
  <c r="M583" i="3" l="1"/>
  <c r="C582" i="4"/>
  <c r="AC582" i="3"/>
  <c r="AD582" i="3" s="1"/>
  <c r="H582" i="4" l="1"/>
  <c r="G582" i="4"/>
  <c r="I582" i="4" s="1"/>
  <c r="J582" i="4" s="1"/>
  <c r="AI583" i="3"/>
  <c r="N583" i="3"/>
  <c r="O583" i="3"/>
  <c r="M582" i="4" l="1"/>
  <c r="K582" i="4"/>
  <c r="P583" i="3"/>
  <c r="Q583" i="3" s="1"/>
  <c r="L583" i="4" l="1"/>
  <c r="V583" i="3"/>
  <c r="W583" i="3" l="1"/>
  <c r="X583" i="3" s="1"/>
  <c r="Y583" i="3" s="1"/>
  <c r="Z583" i="3" s="1"/>
  <c r="AA583" i="3" s="1"/>
  <c r="AB583" i="3" s="1"/>
  <c r="M584" i="3" l="1"/>
  <c r="C583" i="4"/>
  <c r="AC583" i="3"/>
  <c r="AD583" i="3" s="1"/>
  <c r="G583" i="4" l="1"/>
  <c r="I583" i="4" s="1"/>
  <c r="J583" i="4" s="1"/>
  <c r="H583" i="4"/>
  <c r="O584" i="3"/>
  <c r="AI584" i="3"/>
  <c r="N584" i="3"/>
  <c r="P584" i="3" s="1"/>
  <c r="Q584" i="3" s="1"/>
  <c r="L584" i="4" l="1"/>
  <c r="V584" i="3"/>
  <c r="K583" i="4"/>
  <c r="M583" i="4"/>
  <c r="W584" i="3" l="1"/>
  <c r="X584" i="3" s="1"/>
  <c r="Y584" i="3" s="1"/>
  <c r="Z584" i="3" s="1"/>
  <c r="AA584" i="3" s="1"/>
  <c r="AB584" i="3" s="1"/>
  <c r="M585" i="3" l="1"/>
  <c r="C584" i="4"/>
  <c r="AC584" i="3"/>
  <c r="AD584" i="3" s="1"/>
  <c r="G584" i="4" l="1"/>
  <c r="I584" i="4" s="1"/>
  <c r="J584" i="4" s="1"/>
  <c r="H584" i="4"/>
  <c r="N585" i="3"/>
  <c r="O585" i="3"/>
  <c r="AI585" i="3"/>
  <c r="P585" i="3" l="1"/>
  <c r="Q585" i="3" s="1"/>
  <c r="M584" i="4"/>
  <c r="K584" i="4"/>
  <c r="L585" i="4" l="1"/>
  <c r="V585" i="3"/>
  <c r="W585" i="3" l="1"/>
  <c r="X585" i="3" s="1"/>
  <c r="Y585" i="3" s="1"/>
  <c r="Z585" i="3" s="1"/>
  <c r="AA585" i="3" s="1"/>
  <c r="AB585" i="3" s="1"/>
  <c r="M586" i="3" l="1"/>
  <c r="AC585" i="3"/>
  <c r="AD585" i="3" s="1"/>
  <c r="C585" i="4"/>
  <c r="H585" i="4" l="1"/>
  <c r="G585" i="4"/>
  <c r="I585" i="4" s="1"/>
  <c r="J585" i="4" s="1"/>
  <c r="N586" i="3"/>
  <c r="O586" i="3"/>
  <c r="AI586" i="3"/>
  <c r="P586" i="3" l="1"/>
  <c r="Q586" i="3" s="1"/>
  <c r="K585" i="4"/>
  <c r="M585" i="4"/>
  <c r="L586" i="4" l="1"/>
  <c r="V586" i="3"/>
  <c r="W586" i="3" l="1"/>
  <c r="X586" i="3" s="1"/>
  <c r="Y586" i="3" s="1"/>
  <c r="Z586" i="3" s="1"/>
  <c r="AA586" i="3" s="1"/>
  <c r="AB586" i="3" s="1"/>
  <c r="C586" i="4" l="1"/>
  <c r="M587" i="3"/>
  <c r="AC586" i="3"/>
  <c r="AD586" i="3" s="1"/>
  <c r="N587" i="3" l="1"/>
  <c r="O587" i="3"/>
  <c r="AI587" i="3"/>
  <c r="G586" i="4"/>
  <c r="I586" i="4" s="1"/>
  <c r="J586" i="4" s="1"/>
  <c r="H586" i="4"/>
  <c r="P587" i="3" l="1"/>
  <c r="Q587" i="3" s="1"/>
  <c r="L587" i="4" s="1"/>
  <c r="M586" i="4"/>
  <c r="K586" i="4"/>
  <c r="V587" i="3" l="1"/>
  <c r="W587" i="3" s="1"/>
  <c r="X587" i="3" s="1"/>
  <c r="Y587" i="3" s="1"/>
  <c r="Z587" i="3" s="1"/>
  <c r="AA587" i="3" s="1"/>
  <c r="AB587" i="3" s="1"/>
  <c r="C587" i="4" l="1"/>
  <c r="AC587" i="3"/>
  <c r="AD587" i="3" s="1"/>
  <c r="M588" i="3"/>
  <c r="AI588" i="3" l="1"/>
  <c r="O588" i="3"/>
  <c r="N588" i="3"/>
  <c r="H587" i="4"/>
  <c r="G587" i="4"/>
  <c r="I587" i="4" s="1"/>
  <c r="J587" i="4" s="1"/>
  <c r="P588" i="3" l="1"/>
  <c r="Q588" i="3" s="1"/>
  <c r="L588" i="4" s="1"/>
  <c r="K587" i="4"/>
  <c r="M587" i="4"/>
  <c r="V588" i="3" l="1"/>
  <c r="W588" i="3" s="1"/>
  <c r="X588" i="3" s="1"/>
  <c r="Y588" i="3" s="1"/>
  <c r="Z588" i="3" s="1"/>
  <c r="AA588" i="3" s="1"/>
  <c r="AB588" i="3" s="1"/>
  <c r="C588" i="4" l="1"/>
  <c r="AC588" i="3"/>
  <c r="AD588" i="3" s="1"/>
  <c r="M589" i="3"/>
  <c r="AI589" i="3" l="1"/>
  <c r="O589" i="3"/>
  <c r="N589" i="3"/>
  <c r="H588" i="4"/>
  <c r="G588" i="4"/>
  <c r="I588" i="4" s="1"/>
  <c r="J588" i="4" s="1"/>
  <c r="P589" i="3" l="1"/>
  <c r="Q589" i="3" s="1"/>
  <c r="L589" i="4" s="1"/>
  <c r="M588" i="4"/>
  <c r="K588" i="4"/>
  <c r="V589" i="3" l="1"/>
  <c r="W589" i="3" s="1"/>
  <c r="X589" i="3" s="1"/>
  <c r="Y589" i="3" s="1"/>
  <c r="Z589" i="3" s="1"/>
  <c r="AA589" i="3" s="1"/>
  <c r="AB589" i="3" s="1"/>
  <c r="C589" i="4" l="1"/>
  <c r="AC589" i="3"/>
  <c r="AD589" i="3" s="1"/>
  <c r="M590" i="3"/>
  <c r="N590" i="3" l="1"/>
  <c r="O590" i="3"/>
  <c r="AI590" i="3"/>
  <c r="G589" i="4"/>
  <c r="I589" i="4" s="1"/>
  <c r="J589" i="4" s="1"/>
  <c r="H589" i="4"/>
  <c r="K589" i="4" l="1"/>
  <c r="M589" i="4"/>
  <c r="P590" i="3"/>
  <c r="Q590" i="3" s="1"/>
  <c r="L590" i="4" l="1"/>
  <c r="V590" i="3"/>
  <c r="W590" i="3" l="1"/>
  <c r="X590" i="3" s="1"/>
  <c r="Y590" i="3" s="1"/>
  <c r="Z590" i="3" s="1"/>
  <c r="AA590" i="3" s="1"/>
  <c r="AB590" i="3" s="1"/>
  <c r="M591" i="3" l="1"/>
  <c r="AC590" i="3"/>
  <c r="AD590" i="3" s="1"/>
  <c r="C590" i="4"/>
  <c r="G590" i="4" l="1"/>
  <c r="I590" i="4" s="1"/>
  <c r="J590" i="4" s="1"/>
  <c r="H590" i="4"/>
  <c r="O591" i="3"/>
  <c r="AI591" i="3"/>
  <c r="N591" i="3"/>
  <c r="P591" i="3" l="1"/>
  <c r="Q591" i="3" s="1"/>
  <c r="L591" i="4" s="1"/>
  <c r="M590" i="4"/>
  <c r="K590" i="4"/>
  <c r="V591" i="3" l="1"/>
  <c r="W591" i="3" s="1"/>
  <c r="X591" i="3" s="1"/>
  <c r="Y591" i="3" s="1"/>
  <c r="Z591" i="3" s="1"/>
  <c r="AA591" i="3" s="1"/>
  <c r="AB591" i="3" s="1"/>
  <c r="M592" i="3" l="1"/>
  <c r="C591" i="4"/>
  <c r="AC591" i="3"/>
  <c r="AD591" i="3" s="1"/>
  <c r="H591" i="4" l="1"/>
  <c r="G591" i="4"/>
  <c r="I591" i="4" s="1"/>
  <c r="J591" i="4" s="1"/>
  <c r="AI592" i="3"/>
  <c r="N592" i="3"/>
  <c r="O592" i="3"/>
  <c r="P592" i="3" l="1"/>
  <c r="Q592" i="3" s="1"/>
  <c r="L592" i="4" s="1"/>
  <c r="M591" i="4"/>
  <c r="K591" i="4"/>
  <c r="V592" i="3" l="1"/>
  <c r="W592" i="3" s="1"/>
  <c r="X592" i="3" s="1"/>
  <c r="Y592" i="3" s="1"/>
  <c r="Z592" i="3" s="1"/>
  <c r="AA592" i="3" s="1"/>
  <c r="AB592" i="3" s="1"/>
  <c r="C592" i="4" l="1"/>
  <c r="M593" i="3"/>
  <c r="AC592" i="3"/>
  <c r="AD592" i="3" s="1"/>
  <c r="N593" i="3" l="1"/>
  <c r="AI593" i="3"/>
  <c r="O593" i="3"/>
  <c r="H592" i="4"/>
  <c r="G592" i="4"/>
  <c r="I592" i="4" s="1"/>
  <c r="J592" i="4" s="1"/>
  <c r="P593" i="3" l="1"/>
  <c r="Q593" i="3" s="1"/>
  <c r="L593" i="4" s="1"/>
  <c r="K592" i="4"/>
  <c r="M592" i="4"/>
  <c r="V593" i="3" l="1"/>
  <c r="W593" i="3" s="1"/>
  <c r="X593" i="3" s="1"/>
  <c r="Y593" i="3" s="1"/>
  <c r="Z593" i="3" s="1"/>
  <c r="AA593" i="3" s="1"/>
  <c r="AB593" i="3" s="1"/>
  <c r="M594" i="3" l="1"/>
  <c r="AC593" i="3"/>
  <c r="AD593" i="3" s="1"/>
  <c r="C593" i="4"/>
  <c r="H593" i="4" l="1"/>
  <c r="G593" i="4"/>
  <c r="I593" i="4" s="1"/>
  <c r="J593" i="4" s="1"/>
  <c r="O594" i="3"/>
  <c r="AI594" i="3"/>
  <c r="N594" i="3"/>
  <c r="P594" i="3" l="1"/>
  <c r="Q594" i="3" s="1"/>
  <c r="L594" i="4" s="1"/>
  <c r="M593" i="4"/>
  <c r="K593" i="4"/>
  <c r="V594" i="3" l="1"/>
  <c r="W594" i="3" s="1"/>
  <c r="X594" i="3" s="1"/>
  <c r="Y594" i="3" s="1"/>
  <c r="Z594" i="3" s="1"/>
  <c r="AA594" i="3" s="1"/>
  <c r="AB594" i="3" s="1"/>
  <c r="M595" i="3" l="1"/>
  <c r="C594" i="4"/>
  <c r="AC594" i="3"/>
  <c r="AD594" i="3" s="1"/>
  <c r="G594" i="4" l="1"/>
  <c r="I594" i="4" s="1"/>
  <c r="J594" i="4" s="1"/>
  <c r="H594" i="4"/>
  <c r="AI595" i="3"/>
  <c r="N595" i="3"/>
  <c r="O595" i="3"/>
  <c r="P595" i="3" l="1"/>
  <c r="Q595" i="3" s="1"/>
  <c r="L595" i="4" s="1"/>
  <c r="K594" i="4"/>
  <c r="M594" i="4"/>
  <c r="V595" i="3" l="1"/>
  <c r="W595" i="3" s="1"/>
  <c r="X595" i="3" s="1"/>
  <c r="Y595" i="3" s="1"/>
  <c r="Z595" i="3" s="1"/>
  <c r="AA595" i="3" s="1"/>
  <c r="AB595" i="3" s="1"/>
  <c r="M596" i="3" l="1"/>
  <c r="AC595" i="3"/>
  <c r="AD595" i="3" s="1"/>
  <c r="C595" i="4"/>
  <c r="G595" i="4" l="1"/>
  <c r="I595" i="4" s="1"/>
  <c r="J595" i="4" s="1"/>
  <c r="H595" i="4"/>
  <c r="O596" i="3"/>
  <c r="AI596" i="3"/>
  <c r="N596" i="3"/>
  <c r="P596" i="3" l="1"/>
  <c r="Q596" i="3" s="1"/>
  <c r="L596" i="4" s="1"/>
  <c r="M595" i="4"/>
  <c r="K595" i="4"/>
  <c r="V596" i="3" l="1"/>
  <c r="W596" i="3" s="1"/>
  <c r="X596" i="3" s="1"/>
  <c r="Y596" i="3" s="1"/>
  <c r="Z596" i="3" s="1"/>
  <c r="AA596" i="3" s="1"/>
  <c r="AB596" i="3" s="1"/>
  <c r="AC596" i="3" l="1"/>
  <c r="AD596" i="3" s="1"/>
  <c r="M597" i="3"/>
  <c r="C596" i="4"/>
  <c r="H596" i="4" l="1"/>
  <c r="G596" i="4"/>
  <c r="I596" i="4" s="1"/>
  <c r="J596" i="4" s="1"/>
  <c r="N597" i="3"/>
  <c r="AI597" i="3"/>
  <c r="O597" i="3"/>
  <c r="P597" i="3" l="1"/>
  <c r="Q597" i="3" s="1"/>
  <c r="M596" i="4"/>
  <c r="K596" i="4"/>
  <c r="L597" i="4" l="1"/>
  <c r="V597" i="3"/>
  <c r="W597" i="3" l="1"/>
  <c r="X597" i="3" s="1"/>
  <c r="Y597" i="3" s="1"/>
  <c r="Z597" i="3" s="1"/>
  <c r="AA597" i="3" s="1"/>
  <c r="AB597" i="3" s="1"/>
  <c r="C597" i="4" l="1"/>
  <c r="M598" i="3"/>
  <c r="AC597" i="3"/>
  <c r="AD597" i="3" s="1"/>
  <c r="AI598" i="3" l="1"/>
  <c r="N598" i="3"/>
  <c r="O598" i="3"/>
  <c r="H597" i="4"/>
  <c r="G597" i="4"/>
  <c r="I597" i="4" s="1"/>
  <c r="J597" i="4" s="1"/>
  <c r="K597" i="4" l="1"/>
  <c r="M597" i="4"/>
  <c r="P598" i="3"/>
  <c r="Q598" i="3" s="1"/>
  <c r="L598" i="4" l="1"/>
  <c r="V598" i="3"/>
  <c r="W598" i="3" l="1"/>
  <c r="X598" i="3" s="1"/>
  <c r="Y598" i="3" s="1"/>
  <c r="Z598" i="3" s="1"/>
  <c r="AA598" i="3" s="1"/>
  <c r="AB598" i="3" s="1"/>
  <c r="AC598" i="3" l="1"/>
  <c r="AD598" i="3" s="1"/>
  <c r="M599" i="3"/>
  <c r="C598" i="4"/>
  <c r="H598" i="4" l="1"/>
  <c r="G598" i="4"/>
  <c r="I598" i="4" s="1"/>
  <c r="J598" i="4" s="1"/>
  <c r="AI599" i="3"/>
  <c r="N599" i="3"/>
  <c r="O599" i="3"/>
  <c r="P599" i="3" l="1"/>
  <c r="Q599" i="3" s="1"/>
  <c r="L599" i="4" s="1"/>
  <c r="M598" i="4"/>
  <c r="K598" i="4"/>
  <c r="V599" i="3" l="1"/>
  <c r="W599" i="3" s="1"/>
  <c r="X599" i="3" s="1"/>
  <c r="Y599" i="3" s="1"/>
  <c r="Z599" i="3" s="1"/>
  <c r="AA599" i="3" s="1"/>
  <c r="AB599" i="3" s="1"/>
  <c r="C599" i="4" l="1"/>
  <c r="AC599" i="3"/>
  <c r="AD599" i="3" s="1"/>
  <c r="M600" i="3"/>
  <c r="AI600" i="3" l="1"/>
  <c r="O600" i="3"/>
  <c r="N600" i="3"/>
  <c r="G599" i="4"/>
  <c r="I599" i="4" s="1"/>
  <c r="J599" i="4" s="1"/>
  <c r="H599" i="4"/>
  <c r="P600" i="3" l="1"/>
  <c r="Q600" i="3" s="1"/>
  <c r="L600" i="4" s="1"/>
  <c r="M599" i="4"/>
  <c r="K599" i="4"/>
  <c r="V600" i="3" l="1"/>
  <c r="W600" i="3" s="1"/>
  <c r="X600" i="3" s="1"/>
  <c r="Y600" i="3" s="1"/>
  <c r="Z600" i="3" s="1"/>
  <c r="AA600" i="3" s="1"/>
  <c r="AB600" i="3" s="1"/>
  <c r="AC600" i="3" l="1"/>
  <c r="AD600" i="3" s="1"/>
  <c r="M601" i="3"/>
  <c r="C600" i="4"/>
  <c r="H600" i="4" l="1"/>
  <c r="G600" i="4"/>
  <c r="I600" i="4" s="1"/>
  <c r="J600" i="4" s="1"/>
  <c r="AI601" i="3"/>
  <c r="O601" i="3"/>
  <c r="N601" i="3"/>
  <c r="K600" i="4" l="1"/>
  <c r="M600" i="4"/>
  <c r="P601" i="3"/>
  <c r="Q601" i="3" s="1"/>
  <c r="L601" i="4" l="1"/>
  <c r="V601" i="3"/>
  <c r="W601" i="3" l="1"/>
  <c r="X601" i="3" s="1"/>
  <c r="Y601" i="3" s="1"/>
  <c r="Z601" i="3" s="1"/>
  <c r="AA601" i="3" s="1"/>
  <c r="AB601" i="3" s="1"/>
  <c r="AC601" i="3" l="1"/>
  <c r="AD601" i="3" s="1"/>
  <c r="C601" i="4"/>
  <c r="M602" i="3"/>
  <c r="N602" i="3" l="1"/>
  <c r="AI602" i="3"/>
  <c r="O602" i="3"/>
  <c r="H601" i="4"/>
  <c r="G601" i="4"/>
  <c r="I601" i="4" s="1"/>
  <c r="J601" i="4" s="1"/>
  <c r="P602" i="3" l="1"/>
  <c r="Q602" i="3" s="1"/>
  <c r="V602" i="3" s="1"/>
  <c r="M601" i="4"/>
  <c r="K601" i="4"/>
  <c r="L602" i="4" l="1"/>
  <c r="W602" i="3"/>
  <c r="X602" i="3" s="1"/>
  <c r="Y602" i="3" s="1"/>
  <c r="Z602" i="3" s="1"/>
  <c r="AA602" i="3" s="1"/>
  <c r="AB602" i="3" s="1"/>
  <c r="AC602" i="3" l="1"/>
  <c r="AD602" i="3" s="1"/>
  <c r="C602" i="4"/>
  <c r="M603" i="3"/>
  <c r="AI603" i="3" l="1"/>
  <c r="N603" i="3"/>
  <c r="O603" i="3"/>
  <c r="H602" i="4"/>
  <c r="G602" i="4"/>
  <c r="I602" i="4" s="1"/>
  <c r="J602" i="4" s="1"/>
  <c r="M602" i="4" l="1"/>
  <c r="K602" i="4"/>
  <c r="P603" i="3"/>
  <c r="Q603" i="3" s="1"/>
  <c r="L603" i="4" l="1"/>
  <c r="V603" i="3"/>
  <c r="W603" i="3" l="1"/>
  <c r="X603" i="3" s="1"/>
  <c r="Y603" i="3" s="1"/>
  <c r="Z603" i="3" s="1"/>
  <c r="AA603" i="3" s="1"/>
  <c r="AB603" i="3" s="1"/>
  <c r="AC603" i="3" l="1"/>
  <c r="AD603" i="3" s="1"/>
  <c r="C603" i="4"/>
  <c r="M604" i="3"/>
  <c r="N604" i="3" l="1"/>
  <c r="AI604" i="3"/>
  <c r="O604" i="3"/>
  <c r="H603" i="4"/>
  <c r="G603" i="4"/>
  <c r="I603" i="4" s="1"/>
  <c r="J603" i="4" s="1"/>
  <c r="K603" i="4" l="1"/>
  <c r="M603" i="4"/>
  <c r="P604" i="3"/>
  <c r="Q604" i="3" s="1"/>
  <c r="L604" i="4" l="1"/>
  <c r="V604" i="3"/>
  <c r="W604" i="3" l="1"/>
  <c r="X604" i="3" s="1"/>
  <c r="Y604" i="3" s="1"/>
  <c r="Z604" i="3" s="1"/>
  <c r="AA604" i="3" s="1"/>
  <c r="AB604" i="3" s="1"/>
  <c r="AC604" i="3" l="1"/>
  <c r="AD604" i="3" s="1"/>
  <c r="M605" i="3"/>
  <c r="C604" i="4"/>
  <c r="G604" i="4" l="1"/>
  <c r="I604" i="4" s="1"/>
  <c r="J604" i="4" s="1"/>
  <c r="H604" i="4"/>
  <c r="AI605" i="3"/>
  <c r="O605" i="3"/>
  <c r="N605" i="3"/>
  <c r="P605" i="3" l="1"/>
  <c r="Q605" i="3" s="1"/>
  <c r="K604" i="4"/>
  <c r="M604" i="4"/>
  <c r="L605" i="4" l="1"/>
  <c r="V605" i="3"/>
  <c r="W605" i="3" l="1"/>
  <c r="X605" i="3" s="1"/>
  <c r="Y605" i="3" s="1"/>
  <c r="Z605" i="3" s="1"/>
  <c r="AA605" i="3" s="1"/>
  <c r="AB605" i="3" s="1"/>
  <c r="C605" i="4" l="1"/>
  <c r="AC605" i="3"/>
  <c r="AD605" i="3" s="1"/>
  <c r="M606" i="3"/>
  <c r="O606" i="3" l="1"/>
  <c r="AI606" i="3"/>
  <c r="N606" i="3"/>
  <c r="H605" i="4"/>
  <c r="G605" i="4"/>
  <c r="I605" i="4" s="1"/>
  <c r="J605" i="4" s="1"/>
  <c r="P606" i="3" l="1"/>
  <c r="Q606" i="3" s="1"/>
  <c r="L606" i="4" s="1"/>
  <c r="K605" i="4"/>
  <c r="M605" i="4"/>
  <c r="V606" i="3" l="1"/>
  <c r="W606" i="3" s="1"/>
  <c r="X606" i="3" s="1"/>
  <c r="Y606" i="3" s="1"/>
  <c r="Z606" i="3" s="1"/>
  <c r="AA606" i="3" s="1"/>
  <c r="AB606" i="3" s="1"/>
  <c r="M607" i="3" l="1"/>
  <c r="C606" i="4"/>
  <c r="AC606" i="3"/>
  <c r="AD606" i="3" s="1"/>
  <c r="G606" i="4" l="1"/>
  <c r="I606" i="4" s="1"/>
  <c r="J606" i="4" s="1"/>
  <c r="H606" i="4"/>
  <c r="N607" i="3"/>
  <c r="O607" i="3"/>
  <c r="AI607" i="3"/>
  <c r="P607" i="3" l="1"/>
  <c r="Q607" i="3" s="1"/>
  <c r="K606" i="4"/>
  <c r="M606" i="4"/>
  <c r="L607" i="4" l="1"/>
  <c r="V607" i="3"/>
  <c r="W607" i="3" l="1"/>
  <c r="X607" i="3" s="1"/>
  <c r="Y607" i="3" s="1"/>
  <c r="Z607" i="3" s="1"/>
  <c r="AA607" i="3" s="1"/>
  <c r="AB607" i="3" s="1"/>
  <c r="C607" i="4" l="1"/>
  <c r="M608" i="3"/>
  <c r="AC607" i="3"/>
  <c r="AD607" i="3" s="1"/>
  <c r="O608" i="3" l="1"/>
  <c r="AI608" i="3"/>
  <c r="N608" i="3"/>
  <c r="G607" i="4"/>
  <c r="I607" i="4" s="1"/>
  <c r="J607" i="4" s="1"/>
  <c r="H607" i="4"/>
  <c r="P608" i="3" l="1"/>
  <c r="Q608" i="3" s="1"/>
  <c r="L608" i="4" s="1"/>
  <c r="M607" i="4"/>
  <c r="K607" i="4"/>
  <c r="V608" i="3" l="1"/>
  <c r="W608" i="3" s="1"/>
  <c r="X608" i="3" s="1"/>
  <c r="Y608" i="3" s="1"/>
  <c r="Z608" i="3" s="1"/>
  <c r="AA608" i="3" s="1"/>
  <c r="AB608" i="3" s="1"/>
  <c r="M609" i="3" l="1"/>
  <c r="C608" i="4"/>
  <c r="AC608" i="3"/>
  <c r="AD608" i="3" s="1"/>
  <c r="H608" i="4" l="1"/>
  <c r="G608" i="4"/>
  <c r="I608" i="4" s="1"/>
  <c r="J608" i="4" s="1"/>
  <c r="AI609" i="3"/>
  <c r="N609" i="3"/>
  <c r="O609" i="3"/>
  <c r="P609" i="3" l="1"/>
  <c r="Q609" i="3" s="1"/>
  <c r="L609" i="4" s="1"/>
  <c r="K608" i="4"/>
  <c r="M608" i="4"/>
  <c r="V609" i="3" l="1"/>
  <c r="W609" i="3" s="1"/>
  <c r="X609" i="3" s="1"/>
  <c r="Y609" i="3" s="1"/>
  <c r="Z609" i="3" s="1"/>
  <c r="AA609" i="3" s="1"/>
  <c r="AB609" i="3" s="1"/>
  <c r="C609" i="4" l="1"/>
  <c r="AC609" i="3"/>
  <c r="AD609" i="3" s="1"/>
  <c r="M610" i="3"/>
  <c r="AI610" i="3" l="1"/>
  <c r="N610" i="3"/>
  <c r="O610" i="3"/>
  <c r="G609" i="4"/>
  <c r="I609" i="4" s="1"/>
  <c r="J609" i="4" s="1"/>
  <c r="H609" i="4"/>
  <c r="P610" i="3" l="1"/>
  <c r="Q610" i="3" s="1"/>
  <c r="K609" i="4"/>
  <c r="M609" i="4"/>
  <c r="L610" i="4" l="1"/>
  <c r="V610" i="3"/>
  <c r="W610" i="3" l="1"/>
  <c r="X610" i="3" s="1"/>
  <c r="Y610" i="3" s="1"/>
  <c r="Z610" i="3" s="1"/>
  <c r="AA610" i="3" s="1"/>
  <c r="AB610" i="3" s="1"/>
  <c r="AC610" i="3" l="1"/>
  <c r="AD610" i="3" s="1"/>
  <c r="M611" i="3"/>
  <c r="C610" i="4"/>
  <c r="H610" i="4" l="1"/>
  <c r="G610" i="4"/>
  <c r="I610" i="4" s="1"/>
  <c r="J610" i="4" s="1"/>
  <c r="O611" i="3"/>
  <c r="AI611" i="3"/>
  <c r="N611" i="3"/>
  <c r="P611" i="3" l="1"/>
  <c r="Q611" i="3" s="1"/>
  <c r="L611" i="4" s="1"/>
  <c r="K610" i="4"/>
  <c r="M610" i="4"/>
  <c r="V611" i="3" l="1"/>
  <c r="W611" i="3" s="1"/>
  <c r="X611" i="3" s="1"/>
  <c r="Y611" i="3" s="1"/>
  <c r="Z611" i="3" s="1"/>
  <c r="AA611" i="3" s="1"/>
  <c r="AB611" i="3" s="1"/>
  <c r="C611" i="4" l="1"/>
  <c r="AC611" i="3"/>
  <c r="AD611" i="3" s="1"/>
  <c r="M612" i="3"/>
  <c r="N612" i="3" l="1"/>
  <c r="AI612" i="3"/>
  <c r="O612" i="3"/>
  <c r="H611" i="4"/>
  <c r="G611" i="4"/>
  <c r="I611" i="4" s="1"/>
  <c r="J611" i="4" s="1"/>
  <c r="K611" i="4" l="1"/>
  <c r="M611" i="4"/>
  <c r="P612" i="3"/>
  <c r="Q612" i="3" s="1"/>
  <c r="L612" i="4" l="1"/>
  <c r="V612" i="3"/>
  <c r="W612" i="3" l="1"/>
  <c r="X612" i="3" s="1"/>
  <c r="Y612" i="3" s="1"/>
  <c r="Z612" i="3" s="1"/>
  <c r="AA612" i="3" s="1"/>
  <c r="AB612" i="3" s="1"/>
  <c r="C612" i="4" l="1"/>
  <c r="M613" i="3"/>
  <c r="AC612" i="3"/>
  <c r="AD612" i="3" s="1"/>
  <c r="AI613" i="3" l="1"/>
  <c r="N613" i="3"/>
  <c r="O613" i="3"/>
  <c r="H612" i="4"/>
  <c r="G612" i="4"/>
  <c r="I612" i="4" s="1"/>
  <c r="J612" i="4" s="1"/>
  <c r="K612" i="4" l="1"/>
  <c r="M612" i="4"/>
  <c r="P613" i="3"/>
  <c r="Q613" i="3" s="1"/>
  <c r="L613" i="4" l="1"/>
  <c r="V613" i="3"/>
  <c r="W613" i="3" l="1"/>
  <c r="X613" i="3" s="1"/>
  <c r="Y613" i="3" s="1"/>
  <c r="Z613" i="3" s="1"/>
  <c r="AA613" i="3" s="1"/>
  <c r="AB613" i="3" s="1"/>
  <c r="C613" i="4" l="1"/>
  <c r="AC613" i="3"/>
  <c r="AD613" i="3" s="1"/>
  <c r="M614" i="3"/>
  <c r="AI614" i="3" l="1"/>
  <c r="N614" i="3"/>
  <c r="O614" i="3"/>
  <c r="H613" i="4"/>
  <c r="G613" i="4"/>
  <c r="I613" i="4" s="1"/>
  <c r="J613" i="4" s="1"/>
  <c r="P614" i="3" l="1"/>
  <c r="Q614" i="3" s="1"/>
  <c r="K613" i="4"/>
  <c r="M613" i="4"/>
  <c r="L614" i="4" l="1"/>
  <c r="V614" i="3"/>
  <c r="W614" i="3" l="1"/>
  <c r="X614" i="3" s="1"/>
  <c r="Y614" i="3" s="1"/>
  <c r="Z614" i="3" s="1"/>
  <c r="AA614" i="3" s="1"/>
  <c r="AB614" i="3" s="1"/>
  <c r="C614" i="4" l="1"/>
  <c r="M615" i="3"/>
  <c r="AC614" i="3"/>
  <c r="AD614" i="3" s="1"/>
  <c r="N615" i="3" l="1"/>
  <c r="AI615" i="3"/>
  <c r="O615" i="3"/>
  <c r="H614" i="4"/>
  <c r="G614" i="4"/>
  <c r="I614" i="4" s="1"/>
  <c r="J614" i="4" s="1"/>
  <c r="K614" i="4" l="1"/>
  <c r="M614" i="4"/>
  <c r="P615" i="3"/>
  <c r="Q615" i="3" s="1"/>
  <c r="L615" i="4" l="1"/>
  <c r="V615" i="3"/>
  <c r="W615" i="3" l="1"/>
  <c r="X615" i="3" s="1"/>
  <c r="Y615" i="3" s="1"/>
  <c r="Z615" i="3" s="1"/>
  <c r="AA615" i="3" s="1"/>
  <c r="AB615" i="3" s="1"/>
  <c r="M616" i="3" l="1"/>
  <c r="C615" i="4"/>
  <c r="AC615" i="3"/>
  <c r="AD615" i="3" s="1"/>
  <c r="G615" i="4" l="1"/>
  <c r="I615" i="4" s="1"/>
  <c r="J615" i="4" s="1"/>
  <c r="H615" i="4"/>
  <c r="O616" i="3"/>
  <c r="AI616" i="3"/>
  <c r="N616" i="3"/>
  <c r="P616" i="3" l="1"/>
  <c r="Q616" i="3" s="1"/>
  <c r="L616" i="4" s="1"/>
  <c r="C39" i="5" s="1"/>
  <c r="N39" i="5" s="1"/>
  <c r="M615" i="4"/>
  <c r="K615" i="4"/>
  <c r="V616" i="3" l="1"/>
  <c r="W616" i="3" s="1"/>
  <c r="X616" i="3" s="1"/>
  <c r="Y616" i="3" s="1"/>
  <c r="Z616" i="3" s="1"/>
  <c r="AA616" i="3" s="1"/>
  <c r="AB616" i="3" s="1"/>
  <c r="C616" i="4" l="1"/>
  <c r="M617" i="3"/>
  <c r="AC616" i="3"/>
  <c r="AD616" i="3" s="1"/>
  <c r="O617" i="3" l="1"/>
  <c r="N617" i="3"/>
  <c r="AI617" i="3"/>
  <c r="H616" i="4"/>
  <c r="G616" i="4"/>
  <c r="I616" i="4" s="1"/>
  <c r="J616" i="4" s="1"/>
  <c r="P617" i="3" l="1"/>
  <c r="Q617" i="3" s="1"/>
  <c r="K616" i="4"/>
  <c r="E39" i="5" s="1"/>
  <c r="M616" i="4"/>
  <c r="D39" i="5"/>
  <c r="L617" i="4"/>
  <c r="V617" i="3"/>
  <c r="W617" i="3" l="1"/>
  <c r="X617" i="3" s="1"/>
  <c r="Y617" i="3" s="1"/>
  <c r="Z617" i="3" s="1"/>
  <c r="AA617" i="3" s="1"/>
  <c r="AB617" i="3" s="1"/>
  <c r="AC617" i="3" l="1"/>
  <c r="AD617" i="3" s="1"/>
  <c r="M618" i="3"/>
  <c r="C617" i="4"/>
  <c r="G617" i="4" l="1"/>
  <c r="I617" i="4" s="1"/>
  <c r="J617" i="4" s="1"/>
  <c r="H617" i="4"/>
  <c r="N618" i="3"/>
  <c r="O618" i="3"/>
  <c r="AI618" i="3"/>
  <c r="P618" i="3" l="1"/>
  <c r="Q618" i="3" s="1"/>
  <c r="K617" i="4"/>
  <c r="M617" i="4"/>
  <c r="L618" i="4" l="1"/>
  <c r="V618" i="3"/>
  <c r="W618" i="3" l="1"/>
  <c r="X618" i="3" s="1"/>
  <c r="Y618" i="3" s="1"/>
  <c r="Z618" i="3" s="1"/>
  <c r="AA618" i="3" s="1"/>
  <c r="AB618" i="3" s="1"/>
  <c r="C618" i="4" l="1"/>
  <c r="M619" i="3"/>
  <c r="AC618" i="3"/>
  <c r="AD618" i="3" s="1"/>
  <c r="N619" i="3" l="1"/>
  <c r="AI619" i="3"/>
  <c r="O619" i="3"/>
  <c r="H618" i="4"/>
  <c r="G618" i="4"/>
  <c r="I618" i="4" s="1"/>
  <c r="J618" i="4" s="1"/>
  <c r="K618" i="4" l="1"/>
  <c r="M618" i="4"/>
  <c r="P619" i="3"/>
  <c r="Q619" i="3" s="1"/>
  <c r="L619" i="4" l="1"/>
  <c r="V619" i="3"/>
  <c r="W619" i="3" l="1"/>
  <c r="X619" i="3" s="1"/>
  <c r="Y619" i="3" s="1"/>
  <c r="Z619" i="3" s="1"/>
  <c r="AA619" i="3" s="1"/>
  <c r="AB619" i="3" s="1"/>
  <c r="M620" i="3" l="1"/>
  <c r="AC619" i="3"/>
  <c r="AD619" i="3" s="1"/>
  <c r="C619" i="4"/>
  <c r="G619" i="4" l="1"/>
  <c r="I619" i="4" s="1"/>
  <c r="J619" i="4" s="1"/>
  <c r="H619" i="4"/>
  <c r="N620" i="3"/>
  <c r="AI620" i="3"/>
  <c r="O620" i="3"/>
  <c r="P620" i="3" l="1"/>
  <c r="Q620" i="3" s="1"/>
  <c r="K619" i="4"/>
  <c r="M619" i="4"/>
  <c r="L620" i="4" l="1"/>
  <c r="V620" i="3"/>
  <c r="W620" i="3" l="1"/>
  <c r="X620" i="3" s="1"/>
  <c r="Y620" i="3" s="1"/>
  <c r="Z620" i="3" s="1"/>
  <c r="AA620" i="3" s="1"/>
  <c r="AB620" i="3" s="1"/>
  <c r="AC620" i="3" l="1"/>
  <c r="AD620" i="3" s="1"/>
  <c r="M621" i="3"/>
  <c r="C620" i="4"/>
  <c r="H620" i="4" l="1"/>
  <c r="G620" i="4"/>
  <c r="I620" i="4" s="1"/>
  <c r="J620" i="4" s="1"/>
  <c r="AI621" i="3"/>
  <c r="O621" i="3"/>
  <c r="N621" i="3"/>
  <c r="K620" i="4" l="1"/>
  <c r="M620" i="4"/>
  <c r="P621" i="3"/>
  <c r="Q621" i="3" s="1"/>
  <c r="L621" i="4" l="1"/>
  <c r="V621" i="3"/>
  <c r="W621" i="3" l="1"/>
  <c r="X621" i="3" s="1"/>
  <c r="Y621" i="3" s="1"/>
  <c r="Z621" i="3" s="1"/>
  <c r="AA621" i="3" s="1"/>
  <c r="AB621" i="3" s="1"/>
  <c r="C621" i="4" l="1"/>
  <c r="M622" i="3"/>
  <c r="AC621" i="3"/>
  <c r="AD621" i="3" s="1"/>
  <c r="N622" i="3" l="1"/>
  <c r="AI622" i="3"/>
  <c r="O622" i="3"/>
  <c r="H621" i="4"/>
  <c r="G621" i="4"/>
  <c r="I621" i="4" s="1"/>
  <c r="J621" i="4" s="1"/>
  <c r="M621" i="4" l="1"/>
  <c r="K621" i="4"/>
  <c r="P622" i="3"/>
  <c r="Q622" i="3" s="1"/>
  <c r="L622" i="4" l="1"/>
  <c r="V622" i="3"/>
  <c r="W622" i="3" l="1"/>
  <c r="X622" i="3" s="1"/>
  <c r="Y622" i="3" s="1"/>
  <c r="Z622" i="3" s="1"/>
  <c r="AA622" i="3" s="1"/>
  <c r="AB622" i="3" s="1"/>
  <c r="M623" i="3" l="1"/>
  <c r="C622" i="4"/>
  <c r="AC622" i="3"/>
  <c r="AD622" i="3" s="1"/>
  <c r="H622" i="4" l="1"/>
  <c r="G622" i="4"/>
  <c r="I622" i="4" s="1"/>
  <c r="J622" i="4" s="1"/>
  <c r="N623" i="3"/>
  <c r="AI623" i="3"/>
  <c r="O623" i="3"/>
  <c r="M622" i="4" l="1"/>
  <c r="K622" i="4"/>
  <c r="P623" i="3"/>
  <c r="Q623" i="3" s="1"/>
  <c r="L623" i="4" l="1"/>
  <c r="V623" i="3"/>
  <c r="W623" i="3" l="1"/>
  <c r="X623" i="3" s="1"/>
  <c r="Y623" i="3" s="1"/>
  <c r="Z623" i="3" s="1"/>
  <c r="AA623" i="3" s="1"/>
  <c r="AB623" i="3" s="1"/>
  <c r="AC623" i="3" l="1"/>
  <c r="AD623" i="3" s="1"/>
  <c r="C623" i="4"/>
  <c r="M624" i="3"/>
  <c r="O624" i="3" l="1"/>
  <c r="AI624" i="3"/>
  <c r="N624" i="3"/>
  <c r="G623" i="4"/>
  <c r="I623" i="4" s="1"/>
  <c r="J623" i="4" s="1"/>
  <c r="H623" i="4"/>
  <c r="P624" i="3" l="1"/>
  <c r="Q624" i="3" s="1"/>
  <c r="L624" i="4" s="1"/>
  <c r="M623" i="4"/>
  <c r="K623" i="4"/>
  <c r="V624" i="3" l="1"/>
  <c r="W624" i="3" s="1"/>
  <c r="X624" i="3" s="1"/>
  <c r="Y624" i="3" s="1"/>
  <c r="Z624" i="3" s="1"/>
  <c r="AA624" i="3" s="1"/>
  <c r="AB624" i="3" s="1"/>
  <c r="C624" i="4" l="1"/>
  <c r="AC624" i="3"/>
  <c r="AD624" i="3" s="1"/>
  <c r="M625" i="3"/>
  <c r="N625" i="3" l="1"/>
  <c r="O625" i="3"/>
  <c r="AI625" i="3"/>
  <c r="G624" i="4"/>
  <c r="I624" i="4" s="1"/>
  <c r="J624" i="4" s="1"/>
  <c r="H624" i="4"/>
  <c r="P625" i="3" l="1"/>
  <c r="Q625" i="3" s="1"/>
  <c r="L625" i="4" s="1"/>
  <c r="M624" i="4"/>
  <c r="K624" i="4"/>
  <c r="V625" i="3" l="1"/>
  <c r="W625" i="3" s="1"/>
  <c r="X625" i="3" s="1"/>
  <c r="Y625" i="3" s="1"/>
  <c r="Z625" i="3" s="1"/>
  <c r="AA625" i="3" s="1"/>
  <c r="AB625" i="3" s="1"/>
  <c r="C625" i="4" l="1"/>
  <c r="AC625" i="3"/>
  <c r="AD625" i="3" s="1"/>
  <c r="M626" i="3"/>
  <c r="N626" i="3" l="1"/>
  <c r="AI626" i="3"/>
  <c r="O626" i="3"/>
  <c r="G625" i="4"/>
  <c r="I625" i="4" s="1"/>
  <c r="J625" i="4" s="1"/>
  <c r="H625" i="4"/>
  <c r="K625" i="4" l="1"/>
  <c r="M625" i="4"/>
  <c r="P626" i="3"/>
  <c r="Q626" i="3" s="1"/>
  <c r="L626" i="4" l="1"/>
  <c r="V626" i="3"/>
  <c r="W626" i="3" l="1"/>
  <c r="X626" i="3" s="1"/>
  <c r="Y626" i="3" s="1"/>
  <c r="Z626" i="3" s="1"/>
  <c r="AA626" i="3" s="1"/>
  <c r="AB626" i="3" s="1"/>
  <c r="AC626" i="3" l="1"/>
  <c r="AD626" i="3" s="1"/>
  <c r="M627" i="3"/>
  <c r="C626" i="4"/>
  <c r="G626" i="4" l="1"/>
  <c r="I626" i="4" s="1"/>
  <c r="J626" i="4" s="1"/>
  <c r="H626" i="4"/>
  <c r="AI627" i="3"/>
  <c r="N627" i="3"/>
  <c r="O627" i="3"/>
  <c r="P627" i="3" l="1"/>
  <c r="Q627" i="3" s="1"/>
  <c r="L627" i="4" s="1"/>
  <c r="M626" i="4"/>
  <c r="K626" i="4"/>
  <c r="V627" i="3" l="1"/>
  <c r="W627" i="3" s="1"/>
  <c r="X627" i="3" s="1"/>
  <c r="Y627" i="3" s="1"/>
  <c r="Z627" i="3" s="1"/>
  <c r="AA627" i="3" s="1"/>
  <c r="AB627" i="3" s="1"/>
  <c r="AC627" i="3" l="1"/>
  <c r="AD627" i="3" s="1"/>
  <c r="M628" i="3"/>
  <c r="C627" i="4"/>
  <c r="H627" i="4" l="1"/>
  <c r="G627" i="4"/>
  <c r="I627" i="4" s="1"/>
  <c r="J627" i="4" s="1"/>
  <c r="O628" i="3"/>
  <c r="AI628" i="3"/>
  <c r="N628" i="3"/>
  <c r="P628" i="3" l="1"/>
  <c r="Q628" i="3" s="1"/>
  <c r="L628" i="4" s="1"/>
  <c r="M627" i="4"/>
  <c r="K627" i="4"/>
  <c r="V628" i="3" l="1"/>
  <c r="W628" i="3" s="1"/>
  <c r="X628" i="3" s="1"/>
  <c r="Y628" i="3" s="1"/>
  <c r="Z628" i="3" s="1"/>
  <c r="AA628" i="3" s="1"/>
  <c r="AB628" i="3" s="1"/>
  <c r="M629" i="3" l="1"/>
  <c r="C628" i="4"/>
  <c r="AC628" i="3"/>
  <c r="AD628" i="3" s="1"/>
  <c r="H628" i="4" l="1"/>
  <c r="G628" i="4"/>
  <c r="I628" i="4" s="1"/>
  <c r="J628" i="4" s="1"/>
  <c r="N629" i="3"/>
  <c r="AI629" i="3"/>
  <c r="O629" i="3"/>
  <c r="P629" i="3" l="1"/>
  <c r="Q629" i="3" s="1"/>
  <c r="K628" i="4"/>
  <c r="M628" i="4"/>
  <c r="L629" i="4" l="1"/>
  <c r="V629" i="3"/>
  <c r="W629" i="3" l="1"/>
  <c r="X629" i="3" s="1"/>
  <c r="Y629" i="3" s="1"/>
  <c r="Z629" i="3" s="1"/>
  <c r="AA629" i="3" s="1"/>
  <c r="AB629" i="3" s="1"/>
  <c r="AC629" i="3" l="1"/>
  <c r="AD629" i="3" s="1"/>
  <c r="M630" i="3"/>
  <c r="C629" i="4"/>
  <c r="G629" i="4" l="1"/>
  <c r="I629" i="4" s="1"/>
  <c r="J629" i="4" s="1"/>
  <c r="H629" i="4"/>
  <c r="AI630" i="3"/>
  <c r="O630" i="3"/>
  <c r="N630" i="3"/>
  <c r="P630" i="3" l="1"/>
  <c r="Q630" i="3" s="1"/>
  <c r="M629" i="4"/>
  <c r="K629" i="4"/>
  <c r="L630" i="4" l="1"/>
  <c r="V630" i="3"/>
  <c r="W630" i="3" l="1"/>
  <c r="X630" i="3" s="1"/>
  <c r="Y630" i="3" s="1"/>
  <c r="Z630" i="3" s="1"/>
  <c r="AA630" i="3" s="1"/>
  <c r="AB630" i="3" s="1"/>
  <c r="C630" i="4" l="1"/>
  <c r="AC630" i="3"/>
  <c r="AD630" i="3" s="1"/>
  <c r="M631" i="3"/>
  <c r="O631" i="3" l="1"/>
  <c r="N631" i="3"/>
  <c r="AI631" i="3"/>
  <c r="H630" i="4"/>
  <c r="G630" i="4"/>
  <c r="I630" i="4" s="1"/>
  <c r="J630" i="4" s="1"/>
  <c r="P631" i="3" l="1"/>
  <c r="Q631" i="3" s="1"/>
  <c r="L631" i="4" s="1"/>
  <c r="K630" i="4"/>
  <c r="M630" i="4"/>
  <c r="V631" i="3" l="1"/>
  <c r="W631" i="3" s="1"/>
  <c r="X631" i="3" s="1"/>
  <c r="Y631" i="3" s="1"/>
  <c r="Z631" i="3" s="1"/>
  <c r="AA631" i="3" s="1"/>
  <c r="AB631" i="3" s="1"/>
  <c r="M632" i="3" l="1"/>
  <c r="AC631" i="3"/>
  <c r="AD631" i="3" s="1"/>
  <c r="C631" i="4"/>
  <c r="H631" i="4" l="1"/>
  <c r="G631" i="4"/>
  <c r="I631" i="4" s="1"/>
  <c r="J631" i="4" s="1"/>
  <c r="O632" i="3"/>
  <c r="AI632" i="3"/>
  <c r="N632" i="3"/>
  <c r="P632" i="3" l="1"/>
  <c r="Q632" i="3" s="1"/>
  <c r="L632" i="4" s="1"/>
  <c r="M631" i="4"/>
  <c r="K631" i="4"/>
  <c r="V632" i="3" l="1"/>
  <c r="W632" i="3" s="1"/>
  <c r="X632" i="3" s="1"/>
  <c r="Y632" i="3" s="1"/>
  <c r="Z632" i="3" s="1"/>
  <c r="AA632" i="3" s="1"/>
  <c r="AB632" i="3" s="1"/>
  <c r="M633" i="3" l="1"/>
  <c r="C632" i="4"/>
  <c r="AC632" i="3"/>
  <c r="AD632" i="3" s="1"/>
  <c r="G632" i="4" l="1"/>
  <c r="I632" i="4" s="1"/>
  <c r="J632" i="4" s="1"/>
  <c r="H632" i="4"/>
  <c r="O633" i="3"/>
  <c r="N633" i="3"/>
  <c r="AI633" i="3"/>
  <c r="P633" i="3" l="1"/>
  <c r="Q633" i="3" s="1"/>
  <c r="L633" i="4" s="1"/>
  <c r="K632" i="4"/>
  <c r="M632" i="4"/>
  <c r="V633" i="3" l="1"/>
  <c r="W633" i="3" s="1"/>
  <c r="X633" i="3" s="1"/>
  <c r="Y633" i="3" s="1"/>
  <c r="Z633" i="3" s="1"/>
  <c r="AA633" i="3" s="1"/>
  <c r="AB633" i="3" s="1"/>
  <c r="M634" i="3" l="1"/>
  <c r="AC633" i="3"/>
  <c r="AD633" i="3" s="1"/>
  <c r="C633" i="4"/>
  <c r="H633" i="4" l="1"/>
  <c r="G633" i="4"/>
  <c r="I633" i="4" s="1"/>
  <c r="J633" i="4" s="1"/>
  <c r="O634" i="3"/>
  <c r="N634" i="3"/>
  <c r="AI634" i="3"/>
  <c r="P634" i="3" l="1"/>
  <c r="Q634" i="3" s="1"/>
  <c r="L634" i="4" s="1"/>
  <c r="K633" i="4"/>
  <c r="M633" i="4"/>
  <c r="V634" i="3" l="1"/>
  <c r="W634" i="3" s="1"/>
  <c r="X634" i="3" s="1"/>
  <c r="Y634" i="3" s="1"/>
  <c r="Z634" i="3" s="1"/>
  <c r="AA634" i="3" s="1"/>
  <c r="AB634" i="3" s="1"/>
  <c r="M635" i="3" l="1"/>
  <c r="C634" i="4"/>
  <c r="AC634" i="3"/>
  <c r="AD634" i="3" s="1"/>
  <c r="H634" i="4" l="1"/>
  <c r="G634" i="4"/>
  <c r="I634" i="4" s="1"/>
  <c r="J634" i="4" s="1"/>
  <c r="AI635" i="3"/>
  <c r="O635" i="3"/>
  <c r="N635" i="3"/>
  <c r="P635" i="3" l="1"/>
  <c r="Q635" i="3" s="1"/>
  <c r="L635" i="4" s="1"/>
  <c r="K634" i="4"/>
  <c r="M634" i="4"/>
  <c r="V635" i="3" l="1"/>
  <c r="W635" i="3" s="1"/>
  <c r="X635" i="3" s="1"/>
  <c r="Y635" i="3" s="1"/>
  <c r="Z635" i="3" s="1"/>
  <c r="AA635" i="3" s="1"/>
  <c r="AB635" i="3" s="1"/>
  <c r="M636" i="3" l="1"/>
  <c r="C635" i="4"/>
  <c r="AC635" i="3"/>
  <c r="AD635" i="3" s="1"/>
  <c r="H635" i="4" l="1"/>
  <c r="G635" i="4"/>
  <c r="I635" i="4" s="1"/>
  <c r="J635" i="4" s="1"/>
  <c r="O636" i="3"/>
  <c r="N636" i="3"/>
  <c r="AI636" i="3"/>
  <c r="P636" i="3" l="1"/>
  <c r="Q636" i="3" s="1"/>
  <c r="L636" i="4" s="1"/>
  <c r="M635" i="4"/>
  <c r="K635" i="4"/>
  <c r="V636" i="3" l="1"/>
  <c r="W636" i="3" s="1"/>
  <c r="X636" i="3" s="1"/>
  <c r="Y636" i="3" s="1"/>
  <c r="Z636" i="3" s="1"/>
  <c r="AA636" i="3" s="1"/>
  <c r="AB636" i="3" s="1"/>
  <c r="C636" i="4" l="1"/>
  <c r="AC636" i="3"/>
  <c r="AD636" i="3" s="1"/>
  <c r="M637" i="3"/>
  <c r="O637" i="3" l="1"/>
  <c r="N637" i="3"/>
  <c r="AI637" i="3"/>
  <c r="H636" i="4"/>
  <c r="G636" i="4"/>
  <c r="I636" i="4" s="1"/>
  <c r="J636" i="4" s="1"/>
  <c r="P637" i="3" l="1"/>
  <c r="Q637" i="3" s="1"/>
  <c r="L637" i="4" s="1"/>
  <c r="M636" i="4"/>
  <c r="K636" i="4"/>
  <c r="V637" i="3" l="1"/>
  <c r="W637" i="3" s="1"/>
  <c r="X637" i="3" s="1"/>
  <c r="Y637" i="3" s="1"/>
  <c r="Z637" i="3" s="1"/>
  <c r="AA637" i="3" s="1"/>
  <c r="AB637" i="3" s="1"/>
  <c r="AC637" i="3" l="1"/>
  <c r="AD637" i="3" s="1"/>
  <c r="M638" i="3"/>
  <c r="C637" i="4"/>
  <c r="G637" i="4" l="1"/>
  <c r="I637" i="4" s="1"/>
  <c r="J637" i="4" s="1"/>
  <c r="H637" i="4"/>
  <c r="O638" i="3"/>
  <c r="AI638" i="3"/>
  <c r="N638" i="3"/>
  <c r="P638" i="3" l="1"/>
  <c r="Q638" i="3" s="1"/>
  <c r="L638" i="4" s="1"/>
  <c r="M637" i="4"/>
  <c r="K637" i="4"/>
  <c r="V638" i="3" l="1"/>
  <c r="W638" i="3" s="1"/>
  <c r="X638" i="3" s="1"/>
  <c r="Y638" i="3" s="1"/>
  <c r="Z638" i="3" s="1"/>
  <c r="AA638" i="3" s="1"/>
  <c r="AB638" i="3" s="1"/>
  <c r="M639" i="3" l="1"/>
  <c r="C638" i="4"/>
  <c r="AC638" i="3"/>
  <c r="AD638" i="3" s="1"/>
  <c r="G638" i="4" l="1"/>
  <c r="I638" i="4" s="1"/>
  <c r="J638" i="4" s="1"/>
  <c r="H638" i="4"/>
  <c r="O639" i="3"/>
  <c r="N639" i="3"/>
  <c r="AI639" i="3"/>
  <c r="P639" i="3" l="1"/>
  <c r="Q639" i="3" s="1"/>
  <c r="L639" i="4" s="1"/>
  <c r="M638" i="4"/>
  <c r="K638" i="4"/>
  <c r="V639" i="3" l="1"/>
  <c r="W639" i="3" s="1"/>
  <c r="X639" i="3" s="1"/>
  <c r="Y639" i="3" s="1"/>
  <c r="Z639" i="3" s="1"/>
  <c r="AA639" i="3" s="1"/>
  <c r="AB639" i="3" s="1"/>
  <c r="M640" i="3" l="1"/>
  <c r="AC639" i="3"/>
  <c r="AD639" i="3" s="1"/>
  <c r="C639" i="4"/>
  <c r="H639" i="4" l="1"/>
  <c r="G639" i="4"/>
  <c r="I639" i="4" s="1"/>
  <c r="J639" i="4" s="1"/>
  <c r="O640" i="3"/>
  <c r="AI640" i="3"/>
  <c r="N640" i="3"/>
  <c r="P640" i="3" l="1"/>
  <c r="Q640" i="3" s="1"/>
  <c r="L640" i="4" s="1"/>
  <c r="M639" i="4"/>
  <c r="K639" i="4"/>
  <c r="V640" i="3" l="1"/>
  <c r="W640" i="3" s="1"/>
  <c r="X640" i="3" s="1"/>
  <c r="Y640" i="3" s="1"/>
  <c r="Z640" i="3" s="1"/>
  <c r="AA640" i="3" s="1"/>
  <c r="AB640" i="3" s="1"/>
  <c r="C640" i="4" l="1"/>
  <c r="M641" i="3"/>
  <c r="AC640" i="3"/>
  <c r="AD640" i="3" s="1"/>
  <c r="N641" i="3" l="1"/>
  <c r="O641" i="3"/>
  <c r="AI641" i="3"/>
  <c r="G640" i="4"/>
  <c r="I640" i="4" s="1"/>
  <c r="J640" i="4" s="1"/>
  <c r="H640" i="4"/>
  <c r="M640" i="4" l="1"/>
  <c r="K640" i="4"/>
  <c r="P641" i="3"/>
  <c r="Q641" i="3" s="1"/>
  <c r="L641" i="4" l="1"/>
  <c r="V641" i="3"/>
  <c r="W641" i="3" l="1"/>
  <c r="X641" i="3" s="1"/>
  <c r="Y641" i="3" s="1"/>
  <c r="Z641" i="3" s="1"/>
  <c r="AA641" i="3" s="1"/>
  <c r="AB641" i="3" s="1"/>
  <c r="C641" i="4" l="1"/>
  <c r="M642" i="3"/>
  <c r="AC641" i="3"/>
  <c r="AD641" i="3" s="1"/>
  <c r="N642" i="3" l="1"/>
  <c r="O642" i="3"/>
  <c r="AI642" i="3"/>
  <c r="H641" i="4"/>
  <c r="G641" i="4"/>
  <c r="I641" i="4" s="1"/>
  <c r="J641" i="4" s="1"/>
  <c r="P642" i="3" l="1"/>
  <c r="Q642" i="3" s="1"/>
  <c r="L642" i="4" s="1"/>
  <c r="K641" i="4"/>
  <c r="M641" i="4"/>
  <c r="V642" i="3" l="1"/>
  <c r="W642" i="3" s="1"/>
  <c r="X642" i="3" s="1"/>
  <c r="Y642" i="3" s="1"/>
  <c r="Z642" i="3" s="1"/>
  <c r="AA642" i="3" s="1"/>
  <c r="AB642" i="3" s="1"/>
  <c r="C642" i="4" l="1"/>
  <c r="M643" i="3"/>
  <c r="AC642" i="3"/>
  <c r="AD642" i="3" s="1"/>
  <c r="N643" i="3" l="1"/>
  <c r="AI643" i="3"/>
  <c r="O643" i="3"/>
  <c r="H642" i="4"/>
  <c r="G642" i="4"/>
  <c r="I642" i="4" s="1"/>
  <c r="J642" i="4" s="1"/>
  <c r="M642" i="4" l="1"/>
  <c r="K642" i="4"/>
  <c r="P643" i="3"/>
  <c r="Q643" i="3" s="1"/>
  <c r="L643" i="4" l="1"/>
  <c r="V643" i="3"/>
  <c r="W643" i="3" l="1"/>
  <c r="X643" i="3" s="1"/>
  <c r="Y643" i="3" s="1"/>
  <c r="Z643" i="3" s="1"/>
  <c r="AA643" i="3" s="1"/>
  <c r="AB643" i="3" s="1"/>
  <c r="M644" i="3" l="1"/>
  <c r="C643" i="4"/>
  <c r="AC643" i="3"/>
  <c r="AD643" i="3" s="1"/>
  <c r="H643" i="4" l="1"/>
  <c r="G643" i="4"/>
  <c r="I643" i="4" s="1"/>
  <c r="J643" i="4" s="1"/>
  <c r="O644" i="3"/>
  <c r="AI644" i="3"/>
  <c r="N644" i="3"/>
  <c r="P644" i="3" l="1"/>
  <c r="Q644" i="3" s="1"/>
  <c r="L644" i="4" s="1"/>
  <c r="M643" i="4"/>
  <c r="K643" i="4"/>
  <c r="V644" i="3" l="1"/>
  <c r="W644" i="3" s="1"/>
  <c r="X644" i="3" s="1"/>
  <c r="Y644" i="3" s="1"/>
  <c r="Z644" i="3" s="1"/>
  <c r="AA644" i="3" s="1"/>
  <c r="AB644" i="3" s="1"/>
  <c r="AC644" i="3" l="1"/>
  <c r="AD644" i="3" s="1"/>
  <c r="M645" i="3"/>
  <c r="C644" i="4"/>
  <c r="H644" i="4" l="1"/>
  <c r="G644" i="4"/>
  <c r="I644" i="4" s="1"/>
  <c r="J644" i="4" s="1"/>
  <c r="AI645" i="3"/>
  <c r="N645" i="3"/>
  <c r="O645" i="3"/>
  <c r="P645" i="3" l="1"/>
  <c r="Q645" i="3" s="1"/>
  <c r="L645" i="4" s="1"/>
  <c r="K644" i="4"/>
  <c r="M644" i="4"/>
  <c r="V645" i="3" l="1"/>
  <c r="W645" i="3" s="1"/>
  <c r="X645" i="3" s="1"/>
  <c r="Y645" i="3" s="1"/>
  <c r="Z645" i="3" s="1"/>
  <c r="AA645" i="3" s="1"/>
  <c r="AB645" i="3" s="1"/>
  <c r="AC645" i="3" l="1"/>
  <c r="AD645" i="3" s="1"/>
  <c r="C645" i="4"/>
  <c r="M646" i="3"/>
  <c r="AI646" i="3" l="1"/>
  <c r="O646" i="3"/>
  <c r="N646" i="3"/>
  <c r="G645" i="4"/>
  <c r="I645" i="4" s="1"/>
  <c r="J645" i="4" s="1"/>
  <c r="H645" i="4"/>
  <c r="P646" i="3" l="1"/>
  <c r="Q646" i="3" s="1"/>
  <c r="V646" i="3" s="1"/>
  <c r="M645" i="4"/>
  <c r="K645" i="4"/>
  <c r="L646" i="4" l="1"/>
  <c r="W646" i="3"/>
  <c r="X646" i="3" s="1"/>
  <c r="Y646" i="3" s="1"/>
  <c r="Z646" i="3" s="1"/>
  <c r="AA646" i="3" s="1"/>
  <c r="AB646" i="3" s="1"/>
  <c r="AC646" i="3" l="1"/>
  <c r="AD646" i="3" s="1"/>
  <c r="C646" i="4"/>
  <c r="M647" i="3"/>
  <c r="N647" i="3" l="1"/>
  <c r="AI647" i="3"/>
  <c r="O647" i="3"/>
  <c r="H646" i="4"/>
  <c r="G646" i="4"/>
  <c r="I646" i="4" s="1"/>
  <c r="J646" i="4" s="1"/>
  <c r="P647" i="3" l="1"/>
  <c r="Q647" i="3" s="1"/>
  <c r="L647" i="4" s="1"/>
  <c r="M646" i="4"/>
  <c r="K646" i="4"/>
  <c r="V647" i="3" l="1"/>
  <c r="W647" i="3" s="1"/>
  <c r="X647" i="3" s="1"/>
  <c r="Y647" i="3" s="1"/>
  <c r="Z647" i="3" s="1"/>
  <c r="AA647" i="3" s="1"/>
  <c r="AB647" i="3" s="1"/>
  <c r="C647" i="4" l="1"/>
  <c r="M648" i="3"/>
  <c r="AC647" i="3"/>
  <c r="AD647" i="3" s="1"/>
  <c r="G647" i="4" l="1"/>
  <c r="I647" i="4" s="1"/>
  <c r="J647" i="4" s="1"/>
  <c r="H647" i="4"/>
  <c r="O648" i="3"/>
  <c r="N648" i="3"/>
  <c r="AI648" i="3"/>
  <c r="P648" i="3" l="1"/>
  <c r="Q648" i="3" s="1"/>
  <c r="L648" i="4" s="1"/>
  <c r="M647" i="4"/>
  <c r="K647" i="4"/>
  <c r="V648" i="3" l="1"/>
  <c r="W648" i="3" s="1"/>
  <c r="X648" i="3" s="1"/>
  <c r="Y648" i="3" s="1"/>
  <c r="Z648" i="3" s="1"/>
  <c r="AA648" i="3" s="1"/>
  <c r="AB648" i="3" s="1"/>
  <c r="C648" i="4" l="1"/>
  <c r="M649" i="3"/>
  <c r="AC648" i="3"/>
  <c r="AD648" i="3" s="1"/>
  <c r="O649" i="3" l="1"/>
  <c r="N649" i="3"/>
  <c r="AI649" i="3"/>
  <c r="H648" i="4"/>
  <c r="G648" i="4"/>
  <c r="I648" i="4" s="1"/>
  <c r="J648" i="4" s="1"/>
  <c r="P649" i="3" l="1"/>
  <c r="Q649" i="3" s="1"/>
  <c r="L649" i="4" s="1"/>
  <c r="K648" i="4"/>
  <c r="M648" i="4"/>
  <c r="V649" i="3" l="1"/>
  <c r="W649" i="3" s="1"/>
  <c r="X649" i="3" s="1"/>
  <c r="Y649" i="3" s="1"/>
  <c r="Z649" i="3" s="1"/>
  <c r="AA649" i="3" s="1"/>
  <c r="AB649" i="3" s="1"/>
  <c r="C649" i="4" l="1"/>
  <c r="M650" i="3"/>
  <c r="AC649" i="3"/>
  <c r="AD649" i="3" s="1"/>
  <c r="O650" i="3" l="1"/>
  <c r="N650" i="3"/>
  <c r="AI650" i="3"/>
  <c r="G649" i="4"/>
  <c r="I649" i="4" s="1"/>
  <c r="J649" i="4" s="1"/>
  <c r="H649" i="4"/>
  <c r="M649" i="4" l="1"/>
  <c r="K649" i="4"/>
  <c r="P650" i="3"/>
  <c r="Q650" i="3" s="1"/>
  <c r="L650" i="4" l="1"/>
  <c r="V650" i="3"/>
  <c r="W650" i="3" l="1"/>
  <c r="X650" i="3" s="1"/>
  <c r="Y650" i="3" s="1"/>
  <c r="Z650" i="3" s="1"/>
  <c r="AA650" i="3" s="1"/>
  <c r="AB650" i="3" s="1"/>
  <c r="AC650" i="3" l="1"/>
  <c r="AD650" i="3" s="1"/>
  <c r="C650" i="4"/>
  <c r="M651" i="3"/>
  <c r="H650" i="4" l="1"/>
  <c r="G650" i="4"/>
  <c r="I650" i="4" s="1"/>
  <c r="J650" i="4" s="1"/>
  <c r="N651" i="3"/>
  <c r="O651" i="3"/>
  <c r="AI651" i="3"/>
  <c r="P651" i="3" l="1"/>
  <c r="Q651" i="3" s="1"/>
  <c r="M650" i="4"/>
  <c r="K650" i="4"/>
  <c r="L651" i="4" l="1"/>
  <c r="V651" i="3"/>
  <c r="W651" i="3" l="1"/>
  <c r="X651" i="3" s="1"/>
  <c r="Y651" i="3" s="1"/>
  <c r="Z651" i="3" s="1"/>
  <c r="AA651" i="3" s="1"/>
  <c r="AB651" i="3" s="1"/>
  <c r="C651" i="4" l="1"/>
  <c r="AC651" i="3"/>
  <c r="AD651" i="3" s="1"/>
  <c r="M652" i="3"/>
  <c r="AI652" i="3" l="1"/>
  <c r="N652" i="3"/>
  <c r="O652" i="3"/>
  <c r="G651" i="4"/>
  <c r="I651" i="4" s="1"/>
  <c r="J651" i="4" s="1"/>
  <c r="H651" i="4"/>
  <c r="P652" i="3" l="1"/>
  <c r="Q652" i="3" s="1"/>
  <c r="L652" i="4" s="1"/>
  <c r="M651" i="4"/>
  <c r="K651" i="4"/>
  <c r="V652" i="3" l="1"/>
  <c r="W652" i="3" s="1"/>
  <c r="X652" i="3" s="1"/>
  <c r="Y652" i="3" s="1"/>
  <c r="Z652" i="3" s="1"/>
  <c r="AA652" i="3" s="1"/>
  <c r="AB652" i="3" s="1"/>
  <c r="C652" i="4" l="1"/>
  <c r="AC652" i="3"/>
  <c r="AD652" i="3" s="1"/>
  <c r="M653" i="3"/>
  <c r="O653" i="3" l="1"/>
  <c r="AI653" i="3"/>
  <c r="N653" i="3"/>
  <c r="H652" i="4"/>
  <c r="G652" i="4"/>
  <c r="I652" i="4" s="1"/>
  <c r="J652" i="4" s="1"/>
  <c r="P653" i="3" l="1"/>
  <c r="Q653" i="3" s="1"/>
  <c r="L653" i="4" s="1"/>
  <c r="M652" i="4"/>
  <c r="K652" i="4"/>
  <c r="V653" i="3" l="1"/>
  <c r="W653" i="3" s="1"/>
  <c r="X653" i="3" s="1"/>
  <c r="Y653" i="3" s="1"/>
  <c r="Z653" i="3" s="1"/>
  <c r="AA653" i="3" s="1"/>
  <c r="AB653" i="3" s="1"/>
  <c r="M654" i="3" l="1"/>
  <c r="AC653" i="3"/>
  <c r="AD653" i="3" s="1"/>
  <c r="C653" i="4"/>
  <c r="G653" i="4" l="1"/>
  <c r="I653" i="4" s="1"/>
  <c r="J653" i="4" s="1"/>
  <c r="H653" i="4"/>
  <c r="O654" i="3"/>
  <c r="AI654" i="3"/>
  <c r="N654" i="3"/>
  <c r="P654" i="3" l="1"/>
  <c r="Q654" i="3" s="1"/>
  <c r="L654" i="4" s="1"/>
  <c r="M653" i="4"/>
  <c r="K653" i="4"/>
  <c r="V654" i="3" l="1"/>
  <c r="W654" i="3" s="1"/>
  <c r="X654" i="3" s="1"/>
  <c r="Y654" i="3" s="1"/>
  <c r="Z654" i="3" s="1"/>
  <c r="AA654" i="3" s="1"/>
  <c r="AB654" i="3" s="1"/>
  <c r="AC654" i="3" l="1"/>
  <c r="AD654" i="3" s="1"/>
  <c r="M655" i="3"/>
  <c r="C654" i="4"/>
  <c r="AI655" i="3" l="1"/>
  <c r="N655" i="3"/>
  <c r="O655" i="3"/>
  <c r="G654" i="4"/>
  <c r="I654" i="4" s="1"/>
  <c r="J654" i="4" s="1"/>
  <c r="H654" i="4"/>
  <c r="P655" i="3" l="1"/>
  <c r="Q655" i="3" s="1"/>
  <c r="L655" i="4" s="1"/>
  <c r="M654" i="4"/>
  <c r="K654" i="4"/>
  <c r="V655" i="3" l="1"/>
  <c r="W655" i="3" s="1"/>
  <c r="X655" i="3" s="1"/>
  <c r="Y655" i="3" s="1"/>
  <c r="Z655" i="3" s="1"/>
  <c r="AA655" i="3" s="1"/>
  <c r="AB655" i="3" s="1"/>
  <c r="AC655" i="3" l="1"/>
  <c r="AD655" i="3" s="1"/>
  <c r="M656" i="3"/>
  <c r="C655" i="4"/>
  <c r="H655" i="4" l="1"/>
  <c r="G655" i="4"/>
  <c r="I655" i="4" s="1"/>
  <c r="J655" i="4" s="1"/>
  <c r="O656" i="3"/>
  <c r="N656" i="3"/>
  <c r="AI656" i="3"/>
  <c r="P656" i="3" l="1"/>
  <c r="Q656" i="3" s="1"/>
  <c r="L656" i="4" s="1"/>
  <c r="M655" i="4"/>
  <c r="K655" i="4"/>
  <c r="V656" i="3" l="1"/>
  <c r="W656" i="3" s="1"/>
  <c r="X656" i="3" s="1"/>
  <c r="Y656" i="3" s="1"/>
  <c r="Z656" i="3" s="1"/>
  <c r="AA656" i="3" s="1"/>
  <c r="AB656" i="3" s="1"/>
  <c r="M657" i="3" l="1"/>
  <c r="C656" i="4"/>
  <c r="AC656" i="3"/>
  <c r="AD656" i="3" s="1"/>
  <c r="H656" i="4" l="1"/>
  <c r="G656" i="4"/>
  <c r="I656" i="4" s="1"/>
  <c r="J656" i="4" s="1"/>
  <c r="AI657" i="3"/>
  <c r="O657" i="3"/>
  <c r="N657" i="3"/>
  <c r="P657" i="3" l="1"/>
  <c r="Q657" i="3" s="1"/>
  <c r="L657" i="4" s="1"/>
  <c r="M656" i="4"/>
  <c r="K656" i="4"/>
  <c r="V657" i="3" l="1"/>
  <c r="W657" i="3" s="1"/>
  <c r="X657" i="3" s="1"/>
  <c r="Y657" i="3" s="1"/>
  <c r="Z657" i="3" s="1"/>
  <c r="AA657" i="3" s="1"/>
  <c r="AB657" i="3" s="1"/>
  <c r="M658" i="3" l="1"/>
  <c r="C657" i="4"/>
  <c r="AC657" i="3"/>
  <c r="AD657" i="3" s="1"/>
  <c r="H657" i="4" l="1"/>
  <c r="G657" i="4"/>
  <c r="I657" i="4" s="1"/>
  <c r="J657" i="4" s="1"/>
  <c r="N658" i="3"/>
  <c r="O658" i="3"/>
  <c r="AI658" i="3"/>
  <c r="P658" i="3" l="1"/>
  <c r="Q658" i="3" s="1"/>
  <c r="L658" i="4" s="1"/>
  <c r="C40" i="5" s="1"/>
  <c r="N40" i="5" s="1"/>
  <c r="M657" i="4"/>
  <c r="K657" i="4"/>
  <c r="V658" i="3" l="1"/>
  <c r="W658" i="3" s="1"/>
  <c r="X658" i="3" s="1"/>
  <c r="Y658" i="3" s="1"/>
  <c r="Z658" i="3" s="1"/>
  <c r="AA658" i="3" s="1"/>
  <c r="AB658" i="3" s="1"/>
  <c r="M659" i="3" l="1"/>
  <c r="AC658" i="3"/>
  <c r="AD658" i="3" s="1"/>
  <c r="C658" i="4"/>
  <c r="G658" i="4" l="1"/>
  <c r="I658" i="4" s="1"/>
  <c r="J658" i="4" s="1"/>
  <c r="H658" i="4"/>
  <c r="N659" i="3"/>
  <c r="O659" i="3"/>
  <c r="AI659" i="3"/>
  <c r="P659" i="3" l="1"/>
  <c r="Q659" i="3" s="1"/>
  <c r="D40" i="5"/>
  <c r="K658" i="4"/>
  <c r="E40" i="5" s="1"/>
  <c r="M658" i="4"/>
  <c r="L659" i="4" l="1"/>
  <c r="V659" i="3"/>
  <c r="W659" i="3" l="1"/>
  <c r="X659" i="3" s="1"/>
  <c r="Y659" i="3" s="1"/>
  <c r="Z659" i="3" s="1"/>
  <c r="AA659" i="3" s="1"/>
  <c r="AB659" i="3" s="1"/>
  <c r="M660" i="3" l="1"/>
  <c r="AC659" i="3"/>
  <c r="AD659" i="3" s="1"/>
  <c r="C659" i="4"/>
  <c r="O660" i="3" l="1"/>
  <c r="N660" i="3"/>
  <c r="AI660" i="3"/>
  <c r="H659" i="4"/>
  <c r="G659" i="4"/>
  <c r="I659" i="4" s="1"/>
  <c r="J659" i="4" s="1"/>
  <c r="M659" i="4" l="1"/>
  <c r="K659" i="4"/>
  <c r="P660" i="3"/>
  <c r="Q660" i="3" s="1"/>
  <c r="L660" i="4" l="1"/>
  <c r="V660" i="3"/>
  <c r="W660" i="3" l="1"/>
  <c r="X660" i="3" s="1"/>
  <c r="Y660" i="3" s="1"/>
  <c r="Z660" i="3" s="1"/>
  <c r="AA660" i="3" s="1"/>
  <c r="AB660" i="3" s="1"/>
  <c r="M661" i="3" l="1"/>
  <c r="AC660" i="3"/>
  <c r="AD660" i="3" s="1"/>
  <c r="C660" i="4"/>
  <c r="H660" i="4" l="1"/>
  <c r="G660" i="4"/>
  <c r="I660" i="4" s="1"/>
  <c r="J660" i="4" s="1"/>
  <c r="AI661" i="3"/>
  <c r="O661" i="3"/>
  <c r="N661" i="3"/>
  <c r="P661" i="3" l="1"/>
  <c r="Q661" i="3" s="1"/>
  <c r="L661" i="4" s="1"/>
  <c r="M660" i="4"/>
  <c r="K660" i="4"/>
  <c r="V661" i="3" l="1"/>
  <c r="W661" i="3" s="1"/>
  <c r="X661" i="3" s="1"/>
  <c r="Y661" i="3" s="1"/>
  <c r="Z661" i="3" s="1"/>
  <c r="AA661" i="3" s="1"/>
  <c r="AB661" i="3" s="1"/>
  <c r="M662" i="3" l="1"/>
  <c r="AC661" i="3"/>
  <c r="AD661" i="3" s="1"/>
  <c r="C661" i="4"/>
  <c r="H661" i="4" l="1"/>
  <c r="G661" i="4"/>
  <c r="I661" i="4" s="1"/>
  <c r="J661" i="4" s="1"/>
  <c r="N662" i="3"/>
  <c r="AI662" i="3"/>
  <c r="O662" i="3"/>
  <c r="P662" i="3" l="1"/>
  <c r="Q662" i="3" s="1"/>
  <c r="M661" i="4"/>
  <c r="K661" i="4"/>
  <c r="L662" i="4" l="1"/>
  <c r="V662" i="3"/>
  <c r="W662" i="3" l="1"/>
  <c r="X662" i="3" s="1"/>
  <c r="Y662" i="3" s="1"/>
  <c r="Z662" i="3" s="1"/>
  <c r="AA662" i="3" s="1"/>
  <c r="AB662" i="3" s="1"/>
  <c r="C662" i="4" l="1"/>
  <c r="M663" i="3"/>
  <c r="AC662" i="3"/>
  <c r="AD662" i="3" s="1"/>
  <c r="AI663" i="3" l="1"/>
  <c r="N663" i="3"/>
  <c r="O663" i="3"/>
  <c r="H662" i="4"/>
  <c r="G662" i="4"/>
  <c r="I662" i="4" s="1"/>
  <c r="J662" i="4" s="1"/>
  <c r="M662" i="4" l="1"/>
  <c r="K662" i="4"/>
  <c r="P663" i="3"/>
  <c r="Q663" i="3" s="1"/>
  <c r="L663" i="4" l="1"/>
  <c r="V663" i="3"/>
  <c r="W663" i="3" l="1"/>
  <c r="X663" i="3" s="1"/>
  <c r="Y663" i="3" s="1"/>
  <c r="Z663" i="3" s="1"/>
  <c r="AA663" i="3" s="1"/>
  <c r="AB663" i="3" s="1"/>
  <c r="AC663" i="3" l="1"/>
  <c r="AD663" i="3" s="1"/>
  <c r="C663" i="4"/>
  <c r="M664" i="3"/>
  <c r="O664" i="3" l="1"/>
  <c r="AI664" i="3"/>
  <c r="N664" i="3"/>
  <c r="H663" i="4"/>
  <c r="G663" i="4"/>
  <c r="I663" i="4" s="1"/>
  <c r="J663" i="4" s="1"/>
  <c r="P664" i="3" l="1"/>
  <c r="Q664" i="3" s="1"/>
  <c r="L664" i="4" s="1"/>
  <c r="M663" i="4"/>
  <c r="K663" i="4"/>
  <c r="V664" i="3" l="1"/>
  <c r="W664" i="3" s="1"/>
  <c r="X664" i="3" s="1"/>
  <c r="Y664" i="3" s="1"/>
  <c r="Z664" i="3" s="1"/>
  <c r="AA664" i="3" s="1"/>
  <c r="AB664" i="3" s="1"/>
  <c r="M665" i="3" l="1"/>
  <c r="C664" i="4"/>
  <c r="AC664" i="3"/>
  <c r="AD664" i="3" s="1"/>
  <c r="H664" i="4" l="1"/>
  <c r="G664" i="4"/>
  <c r="I664" i="4" s="1"/>
  <c r="J664" i="4" s="1"/>
  <c r="N665" i="3"/>
  <c r="AI665" i="3"/>
  <c r="O665" i="3"/>
  <c r="M664" i="4" l="1"/>
  <c r="K664" i="4"/>
  <c r="P665" i="3"/>
  <c r="Q665" i="3" s="1"/>
  <c r="L665" i="4" l="1"/>
  <c r="V665" i="3"/>
  <c r="W665" i="3" l="1"/>
  <c r="X665" i="3" s="1"/>
  <c r="Y665" i="3" s="1"/>
  <c r="Z665" i="3" s="1"/>
  <c r="AA665" i="3" s="1"/>
  <c r="AB665" i="3" s="1"/>
  <c r="C665" i="4" l="1"/>
  <c r="AC665" i="3"/>
  <c r="AD665" i="3" s="1"/>
  <c r="M666" i="3"/>
  <c r="O666" i="3" l="1"/>
  <c r="N666" i="3"/>
  <c r="AI666" i="3"/>
  <c r="H665" i="4"/>
  <c r="G665" i="4"/>
  <c r="I665" i="4" s="1"/>
  <c r="J665" i="4" s="1"/>
  <c r="P666" i="3" l="1"/>
  <c r="Q666" i="3" s="1"/>
  <c r="K665" i="4"/>
  <c r="M665" i="4"/>
  <c r="L666" i="4" l="1"/>
  <c r="V666" i="3"/>
  <c r="W666" i="3" l="1"/>
  <c r="X666" i="3" s="1"/>
  <c r="Y666" i="3" s="1"/>
  <c r="Z666" i="3" s="1"/>
  <c r="AA666" i="3" s="1"/>
  <c r="AB666" i="3" s="1"/>
  <c r="M667" i="3" l="1"/>
  <c r="C666" i="4"/>
  <c r="AC666" i="3"/>
  <c r="AD666" i="3" s="1"/>
  <c r="H666" i="4" l="1"/>
  <c r="G666" i="4"/>
  <c r="I666" i="4" s="1"/>
  <c r="J666" i="4" s="1"/>
  <c r="AI667" i="3"/>
  <c r="O667" i="3"/>
  <c r="N667" i="3"/>
  <c r="P667" i="3" l="1"/>
  <c r="Q667" i="3" s="1"/>
  <c r="L667" i="4" s="1"/>
  <c r="K666" i="4"/>
  <c r="M666" i="4"/>
  <c r="V667" i="3" l="1"/>
  <c r="W667" i="3" s="1"/>
  <c r="X667" i="3" s="1"/>
  <c r="Y667" i="3" s="1"/>
  <c r="Z667" i="3" s="1"/>
  <c r="AA667" i="3" s="1"/>
  <c r="AB667" i="3" s="1"/>
  <c r="M668" i="3" l="1"/>
  <c r="C667" i="4"/>
  <c r="AC667" i="3"/>
  <c r="AD667" i="3" s="1"/>
  <c r="H667" i="4" l="1"/>
  <c r="G667" i="4"/>
  <c r="I667" i="4" s="1"/>
  <c r="J667" i="4" s="1"/>
  <c r="O668" i="3"/>
  <c r="AI668" i="3"/>
  <c r="N668" i="3"/>
  <c r="P668" i="3" l="1"/>
  <c r="Q668" i="3" s="1"/>
  <c r="L668" i="4" s="1"/>
  <c r="K667" i="4"/>
  <c r="M667" i="4"/>
  <c r="V668" i="3" l="1"/>
  <c r="W668" i="3" s="1"/>
  <c r="X668" i="3" s="1"/>
  <c r="Y668" i="3" s="1"/>
  <c r="Z668" i="3" s="1"/>
  <c r="AA668" i="3" s="1"/>
  <c r="AB668" i="3" s="1"/>
  <c r="C668" i="4" l="1"/>
  <c r="M669" i="3"/>
  <c r="AC668" i="3"/>
  <c r="AD668" i="3" s="1"/>
  <c r="H668" i="4" l="1"/>
  <c r="G668" i="4"/>
  <c r="I668" i="4" s="1"/>
  <c r="J668" i="4" s="1"/>
  <c r="N669" i="3"/>
  <c r="AI669" i="3"/>
  <c r="O669" i="3"/>
  <c r="P669" i="3" l="1"/>
  <c r="Q669" i="3" s="1"/>
  <c r="K668" i="4"/>
  <c r="M668" i="4"/>
  <c r="L669" i="4" l="1"/>
  <c r="V669" i="3"/>
  <c r="W669" i="3" l="1"/>
  <c r="X669" i="3" s="1"/>
  <c r="Y669" i="3" s="1"/>
  <c r="Z669" i="3" s="1"/>
  <c r="AA669" i="3" s="1"/>
  <c r="AB669" i="3" s="1"/>
  <c r="M670" i="3" l="1"/>
  <c r="C669" i="4"/>
  <c r="AC669" i="3"/>
  <c r="AD669" i="3" s="1"/>
  <c r="G669" i="4" l="1"/>
  <c r="I669" i="4" s="1"/>
  <c r="J669" i="4" s="1"/>
  <c r="H669" i="4"/>
  <c r="N670" i="3"/>
  <c r="AI670" i="3"/>
  <c r="O670" i="3"/>
  <c r="P670" i="3" l="1"/>
  <c r="Q670" i="3" s="1"/>
  <c r="K669" i="4"/>
  <c r="M669" i="4"/>
  <c r="L670" i="4" l="1"/>
  <c r="V670" i="3"/>
  <c r="W670" i="3" l="1"/>
  <c r="X670" i="3" s="1"/>
  <c r="Y670" i="3" s="1"/>
  <c r="Z670" i="3" s="1"/>
  <c r="AA670" i="3" s="1"/>
  <c r="AB670" i="3" s="1"/>
  <c r="C670" i="4" l="1"/>
  <c r="M671" i="3"/>
  <c r="AC670" i="3"/>
  <c r="AD670" i="3" s="1"/>
  <c r="G670" i="4" l="1"/>
  <c r="I670" i="4" s="1"/>
  <c r="J670" i="4" s="1"/>
  <c r="H670" i="4"/>
  <c r="N671" i="3"/>
  <c r="AI671" i="3"/>
  <c r="O671" i="3"/>
  <c r="P671" i="3" l="1"/>
  <c r="Q671" i="3" s="1"/>
  <c r="M670" i="4"/>
  <c r="K670" i="4"/>
  <c r="L671" i="4" l="1"/>
  <c r="V671" i="3"/>
  <c r="W671" i="3" l="1"/>
  <c r="X671" i="3" s="1"/>
  <c r="Y671" i="3" s="1"/>
  <c r="Z671" i="3" s="1"/>
  <c r="AA671" i="3" s="1"/>
  <c r="AB671" i="3" s="1"/>
  <c r="M672" i="3" l="1"/>
  <c r="C671" i="4"/>
  <c r="AC671" i="3"/>
  <c r="AD671" i="3" s="1"/>
  <c r="H671" i="4" l="1"/>
  <c r="G671" i="4"/>
  <c r="I671" i="4" s="1"/>
  <c r="J671" i="4" s="1"/>
  <c r="AI672" i="3"/>
  <c r="N672" i="3"/>
  <c r="O672" i="3"/>
  <c r="P672" i="3" l="1"/>
  <c r="Q672" i="3" s="1"/>
  <c r="K671" i="4"/>
  <c r="M671" i="4"/>
  <c r="L672" i="4" l="1"/>
  <c r="V672" i="3"/>
  <c r="W672" i="3" l="1"/>
  <c r="X672" i="3" s="1"/>
  <c r="Y672" i="3" s="1"/>
  <c r="Z672" i="3" s="1"/>
  <c r="AA672" i="3" s="1"/>
  <c r="AB672" i="3" s="1"/>
  <c r="C672" i="4" l="1"/>
  <c r="AC672" i="3"/>
  <c r="AD672" i="3" s="1"/>
  <c r="M673" i="3"/>
  <c r="H672" i="4" l="1"/>
  <c r="G672" i="4"/>
  <c r="I672" i="4" s="1"/>
  <c r="J672" i="4" s="1"/>
  <c r="AI673" i="3"/>
  <c r="O673" i="3"/>
  <c r="N673" i="3"/>
  <c r="P673" i="3" l="1"/>
  <c r="Q673" i="3" s="1"/>
  <c r="L673" i="4" s="1"/>
  <c r="K672" i="4"/>
  <c r="M672" i="4"/>
  <c r="V673" i="3" l="1"/>
  <c r="W673" i="3" s="1"/>
  <c r="X673" i="3" s="1"/>
  <c r="Y673" i="3" s="1"/>
  <c r="Z673" i="3" s="1"/>
  <c r="AA673" i="3" s="1"/>
  <c r="AB673" i="3" s="1"/>
  <c r="M674" i="3" l="1"/>
  <c r="AC673" i="3"/>
  <c r="AD673" i="3" s="1"/>
  <c r="C673" i="4"/>
  <c r="G673" i="4" l="1"/>
  <c r="I673" i="4" s="1"/>
  <c r="J673" i="4" s="1"/>
  <c r="H673" i="4"/>
  <c r="N674" i="3"/>
  <c r="AI674" i="3"/>
  <c r="O674" i="3"/>
  <c r="P674" i="3" l="1"/>
  <c r="Q674" i="3" s="1"/>
  <c r="K673" i="4"/>
  <c r="M673" i="4"/>
  <c r="L674" i="4" l="1"/>
  <c r="V674" i="3"/>
  <c r="W674" i="3" l="1"/>
  <c r="X674" i="3" s="1"/>
  <c r="Y674" i="3" s="1"/>
  <c r="Z674" i="3" s="1"/>
  <c r="AA674" i="3" s="1"/>
  <c r="AB674" i="3" s="1"/>
  <c r="AC674" i="3" l="1"/>
  <c r="AD674" i="3" s="1"/>
  <c r="C674" i="4"/>
  <c r="M675" i="3"/>
  <c r="AI675" i="3" l="1"/>
  <c r="O675" i="3"/>
  <c r="N675" i="3"/>
  <c r="G674" i="4"/>
  <c r="I674" i="4" s="1"/>
  <c r="J674" i="4" s="1"/>
  <c r="H674" i="4"/>
  <c r="P675" i="3" l="1"/>
  <c r="Q675" i="3" s="1"/>
  <c r="L675" i="4" s="1"/>
  <c r="K674" i="4"/>
  <c r="M674" i="4"/>
  <c r="V675" i="3" l="1"/>
  <c r="W675" i="3" s="1"/>
  <c r="X675" i="3" s="1"/>
  <c r="Y675" i="3" s="1"/>
  <c r="Z675" i="3" s="1"/>
  <c r="AA675" i="3" s="1"/>
  <c r="AB675" i="3" s="1"/>
  <c r="M676" i="3" l="1"/>
  <c r="AC675" i="3"/>
  <c r="AD675" i="3" s="1"/>
  <c r="C675" i="4"/>
  <c r="G675" i="4" l="1"/>
  <c r="I675" i="4" s="1"/>
  <c r="J675" i="4" s="1"/>
  <c r="H675" i="4"/>
  <c r="AI676" i="3"/>
  <c r="O676" i="3"/>
  <c r="N676" i="3"/>
  <c r="P676" i="3" l="1"/>
  <c r="Q676" i="3" s="1"/>
  <c r="L676" i="4" s="1"/>
  <c r="M675" i="4"/>
  <c r="K675" i="4"/>
  <c r="V676" i="3" l="1"/>
  <c r="W676" i="3" s="1"/>
  <c r="X676" i="3" s="1"/>
  <c r="Y676" i="3" s="1"/>
  <c r="Z676" i="3" s="1"/>
  <c r="AA676" i="3" s="1"/>
  <c r="AB676" i="3" s="1"/>
  <c r="M677" i="3" l="1"/>
  <c r="AC676" i="3"/>
  <c r="AD676" i="3" s="1"/>
  <c r="C676" i="4"/>
  <c r="G676" i="4" l="1"/>
  <c r="I676" i="4" s="1"/>
  <c r="J676" i="4" s="1"/>
  <c r="H676" i="4"/>
  <c r="O677" i="3"/>
  <c r="N677" i="3"/>
  <c r="AI677" i="3"/>
  <c r="P677" i="3" l="1"/>
  <c r="Q677" i="3" s="1"/>
  <c r="L677" i="4" s="1"/>
  <c r="M676" i="4"/>
  <c r="K676" i="4"/>
  <c r="V677" i="3" l="1"/>
  <c r="W677" i="3" s="1"/>
  <c r="X677" i="3" s="1"/>
  <c r="Y677" i="3" s="1"/>
  <c r="Z677" i="3" s="1"/>
  <c r="AA677" i="3" s="1"/>
  <c r="AB677" i="3" s="1"/>
  <c r="M678" i="3" l="1"/>
  <c r="AC677" i="3"/>
  <c r="AD677" i="3" s="1"/>
  <c r="C677" i="4"/>
  <c r="G677" i="4" l="1"/>
  <c r="I677" i="4" s="1"/>
  <c r="J677" i="4" s="1"/>
  <c r="H677" i="4"/>
  <c r="N678" i="3"/>
  <c r="O678" i="3"/>
  <c r="AI678" i="3"/>
  <c r="P678" i="3" l="1"/>
  <c r="Q678" i="3" s="1"/>
  <c r="M677" i="4"/>
  <c r="K677" i="4"/>
  <c r="L678" i="4" l="1"/>
  <c r="V678" i="3"/>
  <c r="W678" i="3" l="1"/>
  <c r="X678" i="3" s="1"/>
  <c r="Y678" i="3" s="1"/>
  <c r="Z678" i="3" s="1"/>
  <c r="AA678" i="3" s="1"/>
  <c r="AB678" i="3" s="1"/>
  <c r="M679" i="3" l="1"/>
  <c r="AC678" i="3"/>
  <c r="AD678" i="3" s="1"/>
  <c r="C678" i="4"/>
  <c r="H678" i="4" l="1"/>
  <c r="G678" i="4"/>
  <c r="I678" i="4" s="1"/>
  <c r="J678" i="4" s="1"/>
  <c r="AI679" i="3"/>
  <c r="O679" i="3"/>
  <c r="N679" i="3"/>
  <c r="P679" i="3" l="1"/>
  <c r="Q679" i="3" s="1"/>
  <c r="L679" i="4" s="1"/>
  <c r="K678" i="4"/>
  <c r="M678" i="4"/>
  <c r="V679" i="3" l="1"/>
  <c r="W679" i="3" s="1"/>
  <c r="X679" i="3" s="1"/>
  <c r="Y679" i="3" s="1"/>
  <c r="Z679" i="3" s="1"/>
  <c r="AA679" i="3" s="1"/>
  <c r="AB679" i="3" s="1"/>
  <c r="C679" i="4" l="1"/>
  <c r="AC679" i="3"/>
  <c r="AD679" i="3" s="1"/>
  <c r="M680" i="3"/>
  <c r="O680" i="3" l="1"/>
  <c r="AI680" i="3"/>
  <c r="N680" i="3"/>
  <c r="G679" i="4"/>
  <c r="I679" i="4" s="1"/>
  <c r="J679" i="4" s="1"/>
  <c r="H679" i="4"/>
  <c r="P680" i="3" l="1"/>
  <c r="Q680" i="3" s="1"/>
  <c r="L680" i="4" s="1"/>
  <c r="M679" i="4"/>
  <c r="K679" i="4"/>
  <c r="V680" i="3" l="1"/>
  <c r="W680" i="3" s="1"/>
  <c r="X680" i="3" s="1"/>
  <c r="Y680" i="3" s="1"/>
  <c r="Z680" i="3" s="1"/>
  <c r="AA680" i="3" s="1"/>
  <c r="AB680" i="3" s="1"/>
  <c r="AC680" i="3" l="1"/>
  <c r="AD680" i="3" s="1"/>
  <c r="M681" i="3"/>
  <c r="C680" i="4"/>
  <c r="H680" i="4" l="1"/>
  <c r="G680" i="4"/>
  <c r="I680" i="4" s="1"/>
  <c r="J680" i="4" s="1"/>
  <c r="O681" i="3"/>
  <c r="AI681" i="3"/>
  <c r="N681" i="3"/>
  <c r="P681" i="3" l="1"/>
  <c r="Q681" i="3" s="1"/>
  <c r="L681" i="4" s="1"/>
  <c r="K680" i="4"/>
  <c r="M680" i="4"/>
  <c r="V681" i="3" l="1"/>
  <c r="W681" i="3" s="1"/>
  <c r="X681" i="3" s="1"/>
  <c r="Y681" i="3" s="1"/>
  <c r="Z681" i="3" s="1"/>
  <c r="AA681" i="3" s="1"/>
  <c r="AB681" i="3" s="1"/>
  <c r="AC681" i="3" l="1"/>
  <c r="AD681" i="3" s="1"/>
  <c r="C681" i="4"/>
  <c r="M682" i="3"/>
  <c r="O682" i="3" l="1"/>
  <c r="N682" i="3"/>
  <c r="AI682" i="3"/>
  <c r="G681" i="4"/>
  <c r="I681" i="4" s="1"/>
  <c r="J681" i="4" s="1"/>
  <c r="H681" i="4"/>
  <c r="P682" i="3" l="1"/>
  <c r="Q682" i="3" s="1"/>
  <c r="L682" i="4" s="1"/>
  <c r="K681" i="4"/>
  <c r="M681" i="4"/>
  <c r="V682" i="3" l="1"/>
  <c r="W682" i="3" s="1"/>
  <c r="X682" i="3" s="1"/>
  <c r="Y682" i="3" s="1"/>
  <c r="Z682" i="3" s="1"/>
  <c r="AA682" i="3" s="1"/>
  <c r="AB682" i="3" s="1"/>
  <c r="C682" i="4" l="1"/>
  <c r="M683" i="3"/>
  <c r="AC682" i="3"/>
  <c r="AD682" i="3" s="1"/>
  <c r="O683" i="3" l="1"/>
  <c r="N683" i="3"/>
  <c r="AI683" i="3"/>
  <c r="H682" i="4"/>
  <c r="G682" i="4"/>
  <c r="I682" i="4" s="1"/>
  <c r="J682" i="4" s="1"/>
  <c r="P683" i="3" l="1"/>
  <c r="Q683" i="3" s="1"/>
  <c r="L683" i="4" s="1"/>
  <c r="M682" i="4"/>
  <c r="K682" i="4"/>
  <c r="V683" i="3" l="1"/>
  <c r="W683" i="3" s="1"/>
  <c r="X683" i="3" s="1"/>
  <c r="Y683" i="3" s="1"/>
  <c r="Z683" i="3" s="1"/>
  <c r="AA683" i="3" s="1"/>
  <c r="AB683" i="3" s="1"/>
  <c r="M684" i="3" l="1"/>
  <c r="C683" i="4"/>
  <c r="AC683" i="3"/>
  <c r="AD683" i="3" s="1"/>
  <c r="H683" i="4" l="1"/>
  <c r="G683" i="4"/>
  <c r="I683" i="4" s="1"/>
  <c r="J683" i="4" s="1"/>
  <c r="N684" i="3"/>
  <c r="O684" i="3"/>
  <c r="AI684" i="3"/>
  <c r="M683" i="4" l="1"/>
  <c r="K683" i="4"/>
  <c r="P684" i="3"/>
  <c r="Q684" i="3" s="1"/>
  <c r="L684" i="4" l="1"/>
  <c r="V684" i="3"/>
  <c r="W684" i="3" l="1"/>
  <c r="X684" i="3" s="1"/>
  <c r="Y684" i="3" s="1"/>
  <c r="Z684" i="3" s="1"/>
  <c r="AA684" i="3" s="1"/>
  <c r="AB684" i="3" s="1"/>
  <c r="AC684" i="3" l="1"/>
  <c r="AD684" i="3" s="1"/>
  <c r="C684" i="4"/>
  <c r="M685" i="3"/>
  <c r="H684" i="4" l="1"/>
  <c r="G684" i="4"/>
  <c r="I684" i="4" s="1"/>
  <c r="J684" i="4" s="1"/>
  <c r="N685" i="3"/>
  <c r="O685" i="3"/>
  <c r="AI685" i="3"/>
  <c r="K684" i="4" l="1"/>
  <c r="M684" i="4"/>
  <c r="P685" i="3"/>
  <c r="Q685" i="3" s="1"/>
  <c r="L685" i="4" l="1"/>
  <c r="V685" i="3"/>
  <c r="W685" i="3" l="1"/>
  <c r="X685" i="3" s="1"/>
  <c r="Y685" i="3" s="1"/>
  <c r="Z685" i="3" s="1"/>
  <c r="AA685" i="3" s="1"/>
  <c r="AB685" i="3" s="1"/>
  <c r="AC685" i="3" l="1"/>
  <c r="AD685" i="3" s="1"/>
  <c r="M686" i="3"/>
  <c r="C685" i="4"/>
  <c r="G685" i="4" l="1"/>
  <c r="I685" i="4" s="1"/>
  <c r="J685" i="4" s="1"/>
  <c r="H685" i="4"/>
  <c r="O686" i="3"/>
  <c r="AI686" i="3"/>
  <c r="N686" i="3"/>
  <c r="P686" i="3" l="1"/>
  <c r="Q686" i="3" s="1"/>
  <c r="L686" i="4" s="1"/>
  <c r="M685" i="4"/>
  <c r="K685" i="4"/>
  <c r="V686" i="3" l="1"/>
  <c r="W686" i="3" s="1"/>
  <c r="X686" i="3" s="1"/>
  <c r="Y686" i="3" s="1"/>
  <c r="Z686" i="3" s="1"/>
  <c r="AA686" i="3" s="1"/>
  <c r="AB686" i="3" s="1"/>
  <c r="M687" i="3" l="1"/>
  <c r="C686" i="4"/>
  <c r="AC686" i="3"/>
  <c r="AD686" i="3" s="1"/>
  <c r="H686" i="4" l="1"/>
  <c r="G686" i="4"/>
  <c r="I686" i="4" s="1"/>
  <c r="J686" i="4" s="1"/>
  <c r="AI687" i="3"/>
  <c r="N687" i="3"/>
  <c r="O687" i="3"/>
  <c r="P687" i="3" l="1"/>
  <c r="Q687" i="3" s="1"/>
  <c r="L687" i="4" s="1"/>
  <c r="M686" i="4"/>
  <c r="K686" i="4"/>
  <c r="V687" i="3" l="1"/>
  <c r="W687" i="3" s="1"/>
  <c r="X687" i="3" s="1"/>
  <c r="Y687" i="3" s="1"/>
  <c r="Z687" i="3" s="1"/>
  <c r="AA687" i="3" s="1"/>
  <c r="AB687" i="3" s="1"/>
  <c r="C687" i="4" l="1"/>
  <c r="M688" i="3"/>
  <c r="AC687" i="3"/>
  <c r="AD687" i="3" s="1"/>
  <c r="N688" i="3" l="1"/>
  <c r="O688" i="3"/>
  <c r="AI688" i="3"/>
  <c r="G687" i="4"/>
  <c r="I687" i="4" s="1"/>
  <c r="J687" i="4" s="1"/>
  <c r="H687" i="4"/>
  <c r="K687" i="4" l="1"/>
  <c r="M687" i="4"/>
  <c r="P688" i="3"/>
  <c r="Q688" i="3" s="1"/>
  <c r="L688" i="4" l="1"/>
  <c r="V688" i="3"/>
  <c r="W688" i="3" l="1"/>
  <c r="X688" i="3" s="1"/>
  <c r="Y688" i="3" s="1"/>
  <c r="Z688" i="3" s="1"/>
  <c r="AA688" i="3" s="1"/>
  <c r="AB688" i="3" s="1"/>
  <c r="C688" i="4" l="1"/>
  <c r="AC688" i="3"/>
  <c r="AD688" i="3" s="1"/>
  <c r="M689" i="3"/>
  <c r="N689" i="3" l="1"/>
  <c r="AI689" i="3"/>
  <c r="O689" i="3"/>
  <c r="G688" i="4"/>
  <c r="I688" i="4" s="1"/>
  <c r="J688" i="4" s="1"/>
  <c r="H688" i="4"/>
  <c r="K688" i="4" l="1"/>
  <c r="M688" i="4"/>
  <c r="P689" i="3"/>
  <c r="Q689" i="3" s="1"/>
  <c r="L689" i="4" l="1"/>
  <c r="V689" i="3"/>
  <c r="W689" i="3" l="1"/>
  <c r="X689" i="3" s="1"/>
  <c r="Y689" i="3" s="1"/>
  <c r="Z689" i="3" s="1"/>
  <c r="AA689" i="3" s="1"/>
  <c r="AB689" i="3" s="1"/>
  <c r="AC689" i="3" l="1"/>
  <c r="AD689" i="3" s="1"/>
  <c r="C689" i="4"/>
  <c r="M690" i="3"/>
  <c r="O690" i="3" l="1"/>
  <c r="AI690" i="3"/>
  <c r="N690" i="3"/>
  <c r="G689" i="4"/>
  <c r="I689" i="4" s="1"/>
  <c r="J689" i="4" s="1"/>
  <c r="H689" i="4"/>
  <c r="P690" i="3" l="1"/>
  <c r="Q690" i="3" s="1"/>
  <c r="L690" i="4" s="1"/>
  <c r="K689" i="4"/>
  <c r="M689" i="4"/>
  <c r="V690" i="3" l="1"/>
  <c r="W690" i="3" s="1"/>
  <c r="X690" i="3" s="1"/>
  <c r="Y690" i="3" s="1"/>
  <c r="Z690" i="3" s="1"/>
  <c r="AA690" i="3" s="1"/>
  <c r="AB690" i="3" s="1"/>
  <c r="AC690" i="3" l="1"/>
  <c r="AD690" i="3" s="1"/>
  <c r="M691" i="3"/>
  <c r="C690" i="4"/>
  <c r="AI691" i="3" l="1"/>
  <c r="O691" i="3"/>
  <c r="N691" i="3"/>
  <c r="H690" i="4"/>
  <c r="G690" i="4"/>
  <c r="I690" i="4" s="1"/>
  <c r="J690" i="4" s="1"/>
  <c r="P691" i="3" l="1"/>
  <c r="Q691" i="3" s="1"/>
  <c r="L691" i="4" s="1"/>
  <c r="K690" i="4"/>
  <c r="M690" i="4"/>
  <c r="V691" i="3" l="1"/>
  <c r="W691" i="3" s="1"/>
  <c r="X691" i="3" s="1"/>
  <c r="Y691" i="3" s="1"/>
  <c r="Z691" i="3" s="1"/>
  <c r="AA691" i="3" s="1"/>
  <c r="AB691" i="3" s="1"/>
  <c r="M692" i="3" l="1"/>
  <c r="AC691" i="3"/>
  <c r="AD691" i="3" s="1"/>
  <c r="C691" i="4"/>
  <c r="H691" i="4" l="1"/>
  <c r="G691" i="4"/>
  <c r="I691" i="4" s="1"/>
  <c r="J691" i="4" s="1"/>
  <c r="N692" i="3"/>
  <c r="AI692" i="3"/>
  <c r="O692" i="3"/>
  <c r="P692" i="3" l="1"/>
  <c r="Q692" i="3" s="1"/>
  <c r="M691" i="4"/>
  <c r="K691" i="4"/>
  <c r="L692" i="4" l="1"/>
  <c r="V692" i="3"/>
  <c r="W692" i="3" l="1"/>
  <c r="X692" i="3" s="1"/>
  <c r="Y692" i="3" s="1"/>
  <c r="Z692" i="3" s="1"/>
  <c r="AA692" i="3" s="1"/>
  <c r="AB692" i="3" s="1"/>
  <c r="C692" i="4" l="1"/>
  <c r="M693" i="3"/>
  <c r="AC692" i="3"/>
  <c r="AD692" i="3" s="1"/>
  <c r="AI693" i="3" l="1"/>
  <c r="O693" i="3"/>
  <c r="N693" i="3"/>
  <c r="G692" i="4"/>
  <c r="I692" i="4" s="1"/>
  <c r="J692" i="4" s="1"/>
  <c r="H692" i="4"/>
  <c r="P693" i="3" l="1"/>
  <c r="Q693" i="3" s="1"/>
  <c r="L693" i="4" s="1"/>
  <c r="M692" i="4"/>
  <c r="K692" i="4"/>
  <c r="V693" i="3" l="1"/>
  <c r="W693" i="3" s="1"/>
  <c r="X693" i="3" s="1"/>
  <c r="Y693" i="3" s="1"/>
  <c r="Z693" i="3" s="1"/>
  <c r="AA693" i="3" s="1"/>
  <c r="AB693" i="3" s="1"/>
  <c r="M694" i="3" l="1"/>
  <c r="C693" i="4"/>
  <c r="AC693" i="3"/>
  <c r="AD693" i="3" s="1"/>
  <c r="H693" i="4" l="1"/>
  <c r="G693" i="4"/>
  <c r="I693" i="4" s="1"/>
  <c r="J693" i="4" s="1"/>
  <c r="O694" i="3"/>
  <c r="AI694" i="3"/>
  <c r="N694" i="3"/>
  <c r="P694" i="3" l="1"/>
  <c r="Q694" i="3" s="1"/>
  <c r="L694" i="4" s="1"/>
  <c r="K693" i="4"/>
  <c r="M693" i="4"/>
  <c r="V694" i="3" l="1"/>
  <c r="W694" i="3" s="1"/>
  <c r="X694" i="3" s="1"/>
  <c r="Y694" i="3" s="1"/>
  <c r="Z694" i="3" s="1"/>
  <c r="AA694" i="3" s="1"/>
  <c r="AB694" i="3" s="1"/>
  <c r="C694" i="4" l="1"/>
  <c r="AC694" i="3"/>
  <c r="AD694" i="3" s="1"/>
  <c r="M695" i="3"/>
  <c r="O695" i="3" l="1"/>
  <c r="AI695" i="3"/>
  <c r="N695" i="3"/>
  <c r="H694" i="4"/>
  <c r="G694" i="4"/>
  <c r="I694" i="4" s="1"/>
  <c r="J694" i="4" s="1"/>
  <c r="P695" i="3" l="1"/>
  <c r="Q695" i="3" s="1"/>
  <c r="L695" i="4" s="1"/>
  <c r="K694" i="4"/>
  <c r="M694" i="4"/>
  <c r="V695" i="3" l="1"/>
  <c r="W695" i="3" s="1"/>
  <c r="X695" i="3" s="1"/>
  <c r="Y695" i="3" s="1"/>
  <c r="Z695" i="3" s="1"/>
  <c r="AA695" i="3" s="1"/>
  <c r="AB695" i="3" s="1"/>
  <c r="M696" i="3" l="1"/>
  <c r="C695" i="4"/>
  <c r="AC695" i="3"/>
  <c r="AD695" i="3" s="1"/>
  <c r="H695" i="4" l="1"/>
  <c r="G695" i="4"/>
  <c r="I695" i="4" s="1"/>
  <c r="J695" i="4" s="1"/>
  <c r="N696" i="3"/>
  <c r="O696" i="3"/>
  <c r="AI696" i="3"/>
  <c r="P696" i="3" l="1"/>
  <c r="Q696" i="3" s="1"/>
  <c r="L696" i="4" s="1"/>
  <c r="M695" i="4"/>
  <c r="K695" i="4"/>
  <c r="V696" i="3" l="1"/>
  <c r="W696" i="3" s="1"/>
  <c r="X696" i="3" s="1"/>
  <c r="Y696" i="3" s="1"/>
  <c r="Z696" i="3" s="1"/>
  <c r="AA696" i="3" s="1"/>
  <c r="AB696" i="3" s="1"/>
  <c r="C696" i="4" l="1"/>
  <c r="M697" i="3"/>
  <c r="AC696" i="3"/>
  <c r="AD696" i="3" s="1"/>
  <c r="N697" i="3" l="1"/>
  <c r="O697" i="3"/>
  <c r="AI697" i="3"/>
  <c r="H696" i="4"/>
  <c r="G696" i="4"/>
  <c r="I696" i="4" s="1"/>
  <c r="J696" i="4" s="1"/>
  <c r="P697" i="3" l="1"/>
  <c r="Q697" i="3" s="1"/>
  <c r="L697" i="4" s="1"/>
  <c r="M696" i="4"/>
  <c r="K696" i="4"/>
  <c r="V697" i="3" l="1"/>
  <c r="W697" i="3" s="1"/>
  <c r="X697" i="3" s="1"/>
  <c r="Y697" i="3" s="1"/>
  <c r="Z697" i="3" s="1"/>
  <c r="AA697" i="3" s="1"/>
  <c r="AB697" i="3" s="1"/>
  <c r="AC697" i="3" l="1"/>
  <c r="AD697" i="3" s="1"/>
  <c r="C697" i="4"/>
  <c r="M698" i="3"/>
  <c r="O698" i="3" l="1"/>
  <c r="N698" i="3"/>
  <c r="AI698" i="3"/>
  <c r="G697" i="4"/>
  <c r="I697" i="4" s="1"/>
  <c r="J697" i="4" s="1"/>
  <c r="H697" i="4"/>
  <c r="P698" i="3" l="1"/>
  <c r="Q698" i="3" s="1"/>
  <c r="L698" i="4" s="1"/>
  <c r="K697" i="4"/>
  <c r="M697" i="4"/>
  <c r="V698" i="3" l="1"/>
  <c r="W698" i="3" s="1"/>
  <c r="X698" i="3" s="1"/>
  <c r="Y698" i="3" s="1"/>
  <c r="Z698" i="3" s="1"/>
  <c r="AA698" i="3" s="1"/>
  <c r="AB698" i="3" s="1"/>
  <c r="M699" i="3" l="1"/>
  <c r="C698" i="4"/>
  <c r="AC698" i="3"/>
  <c r="AD698" i="3" s="1"/>
  <c r="G698" i="4" l="1"/>
  <c r="I698" i="4" s="1"/>
  <c r="J698" i="4" s="1"/>
  <c r="H698" i="4"/>
  <c r="N699" i="3"/>
  <c r="AI699" i="3"/>
  <c r="O699" i="3"/>
  <c r="P699" i="3" l="1"/>
  <c r="Q699" i="3" s="1"/>
  <c r="K698" i="4"/>
  <c r="M698" i="4"/>
  <c r="L699" i="4" l="1"/>
  <c r="V699" i="3"/>
  <c r="W699" i="3" l="1"/>
  <c r="X699" i="3" s="1"/>
  <c r="Y699" i="3" s="1"/>
  <c r="Z699" i="3" s="1"/>
  <c r="AA699" i="3" s="1"/>
  <c r="AB699" i="3" s="1"/>
  <c r="M700" i="3" l="1"/>
  <c r="C699" i="4"/>
  <c r="AC699" i="3"/>
  <c r="AD699" i="3" s="1"/>
  <c r="H699" i="4" l="1"/>
  <c r="G699" i="4"/>
  <c r="I699" i="4" s="1"/>
  <c r="J699" i="4" s="1"/>
  <c r="N700" i="3"/>
  <c r="O700" i="3"/>
  <c r="AI700" i="3"/>
  <c r="M699" i="4" l="1"/>
  <c r="K699" i="4"/>
  <c r="P700" i="3"/>
  <c r="Q700" i="3" s="1"/>
  <c r="L700" i="4" l="1"/>
  <c r="C41" i="5" s="1"/>
  <c r="N41" i="5" s="1"/>
  <c r="V700" i="3"/>
  <c r="W700" i="3" l="1"/>
  <c r="X700" i="3" s="1"/>
  <c r="Y700" i="3" s="1"/>
  <c r="Z700" i="3" s="1"/>
  <c r="AA700" i="3" s="1"/>
  <c r="AB700" i="3" s="1"/>
  <c r="M701" i="3" l="1"/>
  <c r="C700" i="4"/>
  <c r="AC700" i="3"/>
  <c r="AD700" i="3" s="1"/>
  <c r="H700" i="4" l="1"/>
  <c r="G700" i="4"/>
  <c r="I700" i="4" s="1"/>
  <c r="J700" i="4" s="1"/>
  <c r="N701" i="3"/>
  <c r="AI701" i="3"/>
  <c r="O701" i="3"/>
  <c r="P701" i="3" l="1"/>
  <c r="Q701" i="3" s="1"/>
  <c r="D41" i="5"/>
  <c r="K700" i="4"/>
  <c r="E41" i="5" s="1"/>
  <c r="M700" i="4"/>
  <c r="L701" i="4" l="1"/>
  <c r="V701" i="3"/>
  <c r="W701" i="3" l="1"/>
  <c r="X701" i="3" s="1"/>
  <c r="Y701" i="3" s="1"/>
  <c r="Z701" i="3" s="1"/>
  <c r="AA701" i="3" s="1"/>
  <c r="AB701" i="3" s="1"/>
  <c r="M702" i="3" l="1"/>
  <c r="AC701" i="3"/>
  <c r="AD701" i="3" s="1"/>
  <c r="C701" i="4"/>
  <c r="G701" i="4" l="1"/>
  <c r="I701" i="4" s="1"/>
  <c r="J701" i="4" s="1"/>
  <c r="H701" i="4"/>
  <c r="O702" i="3"/>
  <c r="AI702" i="3"/>
  <c r="N702" i="3"/>
  <c r="P702" i="3" l="1"/>
  <c r="Q702" i="3" s="1"/>
  <c r="L702" i="4" s="1"/>
  <c r="M701" i="4"/>
  <c r="K701" i="4"/>
  <c r="V702" i="3" l="1"/>
  <c r="W702" i="3" s="1"/>
  <c r="X702" i="3" s="1"/>
  <c r="Y702" i="3" s="1"/>
  <c r="Z702" i="3" s="1"/>
  <c r="AA702" i="3" s="1"/>
  <c r="AB702" i="3" s="1"/>
  <c r="M703" i="3" l="1"/>
  <c r="C702" i="4"/>
  <c r="AC702" i="3"/>
  <c r="AD702" i="3" s="1"/>
  <c r="G702" i="4" l="1"/>
  <c r="I702" i="4" s="1"/>
  <c r="J702" i="4" s="1"/>
  <c r="H702" i="4"/>
  <c r="N703" i="3"/>
  <c r="AI703" i="3"/>
  <c r="O703" i="3"/>
  <c r="P703" i="3" l="1"/>
  <c r="Q703" i="3" s="1"/>
  <c r="K702" i="4"/>
  <c r="M702" i="4"/>
  <c r="L703" i="4" l="1"/>
  <c r="V703" i="3"/>
  <c r="W703" i="3" l="1"/>
  <c r="X703" i="3" s="1"/>
  <c r="Y703" i="3" s="1"/>
  <c r="Z703" i="3" s="1"/>
  <c r="AA703" i="3" s="1"/>
  <c r="AB703" i="3" s="1"/>
  <c r="M704" i="3" l="1"/>
  <c r="C703" i="4"/>
  <c r="AC703" i="3"/>
  <c r="AD703" i="3" s="1"/>
  <c r="H703" i="4" l="1"/>
  <c r="G703" i="4"/>
  <c r="I703" i="4" s="1"/>
  <c r="J703" i="4" s="1"/>
  <c r="AI704" i="3"/>
  <c r="N704" i="3"/>
  <c r="O704" i="3"/>
  <c r="P704" i="3" l="1"/>
  <c r="Q704" i="3" s="1"/>
  <c r="L704" i="4" s="1"/>
  <c r="M703" i="4"/>
  <c r="K703" i="4"/>
  <c r="V704" i="3" l="1"/>
  <c r="W704" i="3" s="1"/>
  <c r="X704" i="3" s="1"/>
  <c r="Y704" i="3" s="1"/>
  <c r="Z704" i="3" s="1"/>
  <c r="AA704" i="3" s="1"/>
  <c r="AB704" i="3" s="1"/>
  <c r="AC704" i="3" l="1"/>
  <c r="AD704" i="3" s="1"/>
  <c r="M705" i="3"/>
  <c r="C704" i="4"/>
  <c r="H704" i="4" l="1"/>
  <c r="G704" i="4"/>
  <c r="I704" i="4" s="1"/>
  <c r="J704" i="4" s="1"/>
  <c r="AI705" i="3"/>
  <c r="N705" i="3"/>
  <c r="O705" i="3"/>
  <c r="P705" i="3" l="1"/>
  <c r="Q705" i="3" s="1"/>
  <c r="K704" i="4"/>
  <c r="M704" i="4"/>
  <c r="L705" i="4" l="1"/>
  <c r="V705" i="3"/>
  <c r="W705" i="3" l="1"/>
  <c r="X705" i="3" s="1"/>
  <c r="Y705" i="3" s="1"/>
  <c r="Z705" i="3" s="1"/>
  <c r="AA705" i="3" s="1"/>
  <c r="AB705" i="3" s="1"/>
  <c r="AC705" i="3" l="1"/>
  <c r="AD705" i="3" s="1"/>
  <c r="C705" i="4"/>
  <c r="M706" i="3"/>
  <c r="AI706" i="3" l="1"/>
  <c r="N706" i="3"/>
  <c r="O706" i="3"/>
  <c r="G705" i="4"/>
  <c r="I705" i="4" s="1"/>
  <c r="J705" i="4" s="1"/>
  <c r="H705" i="4"/>
  <c r="P706" i="3" l="1"/>
  <c r="Q706" i="3" s="1"/>
  <c r="L706" i="4" s="1"/>
  <c r="M705" i="4"/>
  <c r="K705" i="4"/>
  <c r="V706" i="3" l="1"/>
  <c r="W706" i="3" s="1"/>
  <c r="X706" i="3" s="1"/>
  <c r="Y706" i="3" s="1"/>
  <c r="Z706" i="3" s="1"/>
  <c r="AA706" i="3" s="1"/>
  <c r="AB706" i="3" s="1"/>
  <c r="C706" i="4" l="1"/>
  <c r="AC706" i="3"/>
  <c r="AD706" i="3" s="1"/>
  <c r="M707" i="3"/>
  <c r="O707" i="3" l="1"/>
  <c r="AI707" i="3"/>
  <c r="N707" i="3"/>
  <c r="H706" i="4"/>
  <c r="G706" i="4"/>
  <c r="I706" i="4" s="1"/>
  <c r="J706" i="4" s="1"/>
  <c r="P707" i="3" l="1"/>
  <c r="Q707" i="3" s="1"/>
  <c r="L707" i="4" s="1"/>
  <c r="K706" i="4"/>
  <c r="M706" i="4"/>
  <c r="V707" i="3" l="1"/>
  <c r="W707" i="3" s="1"/>
  <c r="X707" i="3" s="1"/>
  <c r="Y707" i="3" s="1"/>
  <c r="Z707" i="3" s="1"/>
  <c r="AA707" i="3" s="1"/>
  <c r="AB707" i="3" s="1"/>
  <c r="C707" i="4" l="1"/>
  <c r="AC707" i="3"/>
  <c r="AD707" i="3" s="1"/>
  <c r="M708" i="3"/>
  <c r="N708" i="3" l="1"/>
  <c r="AI708" i="3"/>
  <c r="O708" i="3"/>
  <c r="G707" i="4"/>
  <c r="I707" i="4" s="1"/>
  <c r="J707" i="4" s="1"/>
  <c r="H707" i="4"/>
  <c r="K707" i="4" l="1"/>
  <c r="M707" i="4"/>
  <c r="P708" i="3"/>
  <c r="Q708" i="3" s="1"/>
  <c r="L708" i="4" l="1"/>
  <c r="V708" i="3"/>
  <c r="W708" i="3" l="1"/>
  <c r="X708" i="3" s="1"/>
  <c r="Y708" i="3" s="1"/>
  <c r="Z708" i="3" s="1"/>
  <c r="AA708" i="3" s="1"/>
  <c r="AB708" i="3" s="1"/>
  <c r="C708" i="4" l="1"/>
  <c r="M709" i="3"/>
  <c r="AC708" i="3"/>
  <c r="AD708" i="3" s="1"/>
  <c r="N709" i="3" l="1"/>
  <c r="O709" i="3"/>
  <c r="AI709" i="3"/>
  <c r="G708" i="4"/>
  <c r="I708" i="4" s="1"/>
  <c r="J708" i="4" s="1"/>
  <c r="H708" i="4"/>
  <c r="P709" i="3" l="1"/>
  <c r="Q709" i="3" s="1"/>
  <c r="L709" i="4" s="1"/>
  <c r="K708" i="4"/>
  <c r="M708" i="4"/>
  <c r="V709" i="3" l="1"/>
  <c r="W709" i="3" s="1"/>
  <c r="X709" i="3" s="1"/>
  <c r="Y709" i="3" s="1"/>
  <c r="Z709" i="3" s="1"/>
  <c r="AA709" i="3" s="1"/>
  <c r="AB709" i="3" s="1"/>
  <c r="M710" i="3" l="1"/>
  <c r="AC709" i="3"/>
  <c r="AD709" i="3" s="1"/>
  <c r="C709" i="4"/>
  <c r="H709" i="4" l="1"/>
  <c r="G709" i="4"/>
  <c r="I709" i="4" s="1"/>
  <c r="J709" i="4" s="1"/>
  <c r="N710" i="3"/>
  <c r="AI710" i="3"/>
  <c r="O710" i="3"/>
  <c r="M709" i="4" l="1"/>
  <c r="K709" i="4"/>
  <c r="P710" i="3"/>
  <c r="Q710" i="3" s="1"/>
  <c r="L710" i="4" l="1"/>
  <c r="V710" i="3"/>
  <c r="W710" i="3" l="1"/>
  <c r="X710" i="3" s="1"/>
  <c r="Y710" i="3" s="1"/>
  <c r="Z710" i="3" s="1"/>
  <c r="AA710" i="3" s="1"/>
  <c r="AB710" i="3" s="1"/>
  <c r="AC710" i="3" l="1"/>
  <c r="AD710" i="3" s="1"/>
  <c r="M711" i="3"/>
  <c r="C710" i="4"/>
  <c r="H710" i="4" l="1"/>
  <c r="G710" i="4"/>
  <c r="I710" i="4" s="1"/>
  <c r="J710" i="4" s="1"/>
  <c r="N711" i="3"/>
  <c r="O711" i="3"/>
  <c r="AI711" i="3"/>
  <c r="P711" i="3" l="1"/>
  <c r="Q711" i="3" s="1"/>
  <c r="L711" i="4" s="1"/>
  <c r="M710" i="4"/>
  <c r="K710" i="4"/>
  <c r="V711" i="3" l="1"/>
  <c r="W711" i="3" s="1"/>
  <c r="X711" i="3" s="1"/>
  <c r="Y711" i="3" s="1"/>
  <c r="Z711" i="3" s="1"/>
  <c r="AA711" i="3" s="1"/>
  <c r="AB711" i="3" s="1"/>
  <c r="C711" i="4" l="1"/>
  <c r="M712" i="3"/>
  <c r="AC711" i="3"/>
  <c r="AD711" i="3" s="1"/>
  <c r="O712" i="3" l="1"/>
  <c r="AI712" i="3"/>
  <c r="N712" i="3"/>
  <c r="H711" i="4"/>
  <c r="G711" i="4"/>
  <c r="I711" i="4" s="1"/>
  <c r="J711" i="4" s="1"/>
  <c r="P712" i="3" l="1"/>
  <c r="Q712" i="3" s="1"/>
  <c r="L712" i="4" s="1"/>
  <c r="K711" i="4"/>
  <c r="M711" i="4"/>
  <c r="V712" i="3" l="1"/>
  <c r="W712" i="3" s="1"/>
  <c r="X712" i="3" s="1"/>
  <c r="Y712" i="3" s="1"/>
  <c r="Z712" i="3" s="1"/>
  <c r="AA712" i="3" s="1"/>
  <c r="AB712" i="3" s="1"/>
  <c r="M713" i="3" l="1"/>
  <c r="AC712" i="3"/>
  <c r="AD712" i="3" s="1"/>
  <c r="C712" i="4"/>
  <c r="H712" i="4" l="1"/>
  <c r="G712" i="4"/>
  <c r="I712" i="4" s="1"/>
  <c r="J712" i="4" s="1"/>
  <c r="O713" i="3"/>
  <c r="N713" i="3"/>
  <c r="P713" i="3" s="1"/>
  <c r="Q713" i="3" s="1"/>
  <c r="AI713" i="3"/>
  <c r="K712" i="4" l="1"/>
  <c r="M712" i="4"/>
  <c r="L713" i="4"/>
  <c r="V713" i="3"/>
  <c r="W713" i="3" l="1"/>
  <c r="X713" i="3" s="1"/>
  <c r="Y713" i="3" s="1"/>
  <c r="Z713" i="3" s="1"/>
  <c r="AA713" i="3" s="1"/>
  <c r="AB713" i="3" s="1"/>
  <c r="M714" i="3" l="1"/>
  <c r="C713" i="4"/>
  <c r="AC713" i="3"/>
  <c r="AD713" i="3" s="1"/>
  <c r="G713" i="4" l="1"/>
  <c r="I713" i="4" s="1"/>
  <c r="J713" i="4" s="1"/>
  <c r="H713" i="4"/>
  <c r="AI714" i="3"/>
  <c r="O714" i="3"/>
  <c r="N714" i="3"/>
  <c r="P714" i="3" l="1"/>
  <c r="Q714" i="3" s="1"/>
  <c r="L714" i="4" s="1"/>
  <c r="M713" i="4"/>
  <c r="K713" i="4"/>
  <c r="V714" i="3" l="1"/>
  <c r="W714" i="3" s="1"/>
  <c r="X714" i="3" s="1"/>
  <c r="Y714" i="3" s="1"/>
  <c r="Z714" i="3" s="1"/>
  <c r="AA714" i="3" s="1"/>
  <c r="AB714" i="3" s="1"/>
  <c r="C714" i="4" l="1"/>
  <c r="M715" i="3"/>
  <c r="AC714" i="3"/>
  <c r="AD714" i="3" s="1"/>
  <c r="N715" i="3" l="1"/>
  <c r="AI715" i="3"/>
  <c r="O715" i="3"/>
  <c r="H714" i="4"/>
  <c r="G714" i="4"/>
  <c r="I714" i="4" s="1"/>
  <c r="J714" i="4" s="1"/>
  <c r="M714" i="4" l="1"/>
  <c r="K714" i="4"/>
  <c r="P715" i="3"/>
  <c r="Q715" i="3" s="1"/>
  <c r="L715" i="4" l="1"/>
  <c r="V715" i="3"/>
  <c r="W715" i="3" l="1"/>
  <c r="X715" i="3" s="1"/>
  <c r="Y715" i="3" s="1"/>
  <c r="Z715" i="3" s="1"/>
  <c r="AA715" i="3" s="1"/>
  <c r="AB715" i="3" s="1"/>
  <c r="C715" i="4" l="1"/>
  <c r="AC715" i="3"/>
  <c r="AD715" i="3" s="1"/>
  <c r="M716" i="3"/>
  <c r="O716" i="3" l="1"/>
  <c r="AI716" i="3"/>
  <c r="N716" i="3"/>
  <c r="G715" i="4"/>
  <c r="I715" i="4" s="1"/>
  <c r="J715" i="4" s="1"/>
  <c r="H715" i="4"/>
  <c r="P716" i="3" l="1"/>
  <c r="Q716" i="3" s="1"/>
  <c r="L716" i="4" s="1"/>
  <c r="M715" i="4"/>
  <c r="K715" i="4"/>
  <c r="V716" i="3" l="1"/>
  <c r="W716" i="3" s="1"/>
  <c r="X716" i="3" s="1"/>
  <c r="Y716" i="3" s="1"/>
  <c r="Z716" i="3" s="1"/>
  <c r="AA716" i="3" s="1"/>
  <c r="AB716" i="3" s="1"/>
  <c r="C716" i="4" l="1"/>
  <c r="AC716" i="3"/>
  <c r="AD716" i="3" s="1"/>
  <c r="M717" i="3"/>
  <c r="AI717" i="3" l="1"/>
  <c r="N717" i="3"/>
  <c r="O717" i="3"/>
  <c r="H716" i="4"/>
  <c r="G716" i="4"/>
  <c r="I716" i="4" s="1"/>
  <c r="J716" i="4" s="1"/>
  <c r="P717" i="3" l="1"/>
  <c r="Q717" i="3" s="1"/>
  <c r="M716" i="4"/>
  <c r="K716" i="4"/>
  <c r="L717" i="4" l="1"/>
  <c r="V717" i="3"/>
  <c r="W717" i="3" l="1"/>
  <c r="X717" i="3" s="1"/>
  <c r="Y717" i="3" s="1"/>
  <c r="Z717" i="3" s="1"/>
  <c r="AA717" i="3" s="1"/>
  <c r="AB717" i="3" s="1"/>
  <c r="M718" i="3" l="1"/>
  <c r="C717" i="4"/>
  <c r="AC717" i="3"/>
  <c r="AD717" i="3" s="1"/>
  <c r="H717" i="4" l="1"/>
  <c r="G717" i="4"/>
  <c r="I717" i="4" s="1"/>
  <c r="J717" i="4" s="1"/>
  <c r="O718" i="3"/>
  <c r="AI718" i="3"/>
  <c r="N718" i="3"/>
  <c r="P718" i="3" l="1"/>
  <c r="Q718" i="3" s="1"/>
  <c r="L718" i="4" s="1"/>
  <c r="M717" i="4"/>
  <c r="K717" i="4"/>
  <c r="V718" i="3" l="1"/>
  <c r="W718" i="3" s="1"/>
  <c r="X718" i="3" s="1"/>
  <c r="Y718" i="3" s="1"/>
  <c r="Z718" i="3" s="1"/>
  <c r="AA718" i="3" s="1"/>
  <c r="AB718" i="3" s="1"/>
  <c r="C718" i="4" l="1"/>
  <c r="AC718" i="3"/>
  <c r="AD718" i="3" s="1"/>
  <c r="M719" i="3"/>
  <c r="N719" i="3" l="1"/>
  <c r="O719" i="3"/>
  <c r="AI719" i="3"/>
  <c r="G718" i="4"/>
  <c r="I718" i="4" s="1"/>
  <c r="J718" i="4" s="1"/>
  <c r="H718" i="4"/>
  <c r="K718" i="4" l="1"/>
  <c r="M718" i="4"/>
  <c r="P719" i="3"/>
  <c r="Q719" i="3" s="1"/>
  <c r="L719" i="4" l="1"/>
  <c r="V719" i="3"/>
  <c r="W719" i="3" l="1"/>
  <c r="X719" i="3" s="1"/>
  <c r="Y719" i="3" s="1"/>
  <c r="Z719" i="3" s="1"/>
  <c r="AA719" i="3" s="1"/>
  <c r="AB719" i="3" s="1"/>
  <c r="M720" i="3" l="1"/>
  <c r="C719" i="4"/>
  <c r="AC719" i="3"/>
  <c r="AD719" i="3" s="1"/>
  <c r="H719" i="4" l="1"/>
  <c r="G719" i="4"/>
  <c r="I719" i="4" s="1"/>
  <c r="J719" i="4" s="1"/>
  <c r="AI720" i="3"/>
  <c r="O720" i="3"/>
  <c r="N720" i="3"/>
  <c r="P720" i="3" l="1"/>
  <c r="Q720" i="3" s="1"/>
  <c r="L720" i="4" s="1"/>
  <c r="M719" i="4"/>
  <c r="K719" i="4"/>
  <c r="V720" i="3" l="1"/>
  <c r="W720" i="3" s="1"/>
  <c r="X720" i="3" s="1"/>
  <c r="Y720" i="3" s="1"/>
  <c r="Z720" i="3" s="1"/>
  <c r="AA720" i="3" s="1"/>
  <c r="AB720" i="3" s="1"/>
  <c r="AC720" i="3" l="1"/>
  <c r="AD720" i="3" s="1"/>
  <c r="M721" i="3"/>
  <c r="C720" i="4"/>
  <c r="G720" i="4" l="1"/>
  <c r="I720" i="4" s="1"/>
  <c r="J720" i="4" s="1"/>
  <c r="H720" i="4"/>
  <c r="AI721" i="3"/>
  <c r="N721" i="3"/>
  <c r="O721" i="3"/>
  <c r="P721" i="3" l="1"/>
  <c r="Q721" i="3" s="1"/>
  <c r="M720" i="4"/>
  <c r="K720" i="4"/>
  <c r="L721" i="4" l="1"/>
  <c r="V721" i="3"/>
  <c r="W721" i="3" l="1"/>
  <c r="X721" i="3" s="1"/>
  <c r="Y721" i="3" s="1"/>
  <c r="Z721" i="3" s="1"/>
  <c r="AA721" i="3" s="1"/>
  <c r="AB721" i="3" s="1"/>
  <c r="AC721" i="3" l="1"/>
  <c r="AD721" i="3" s="1"/>
  <c r="M722" i="3"/>
  <c r="C721" i="4"/>
  <c r="H721" i="4" l="1"/>
  <c r="G721" i="4"/>
  <c r="I721" i="4" s="1"/>
  <c r="J721" i="4" s="1"/>
  <c r="N722" i="3"/>
  <c r="AI722" i="3"/>
  <c r="O722" i="3"/>
  <c r="P722" i="3" l="1"/>
  <c r="Q722" i="3" s="1"/>
  <c r="K721" i="4"/>
  <c r="M721" i="4"/>
  <c r="L722" i="4" l="1"/>
  <c r="V722" i="3"/>
  <c r="W722" i="3" l="1"/>
  <c r="X722" i="3" s="1"/>
  <c r="Y722" i="3" s="1"/>
  <c r="Z722" i="3" s="1"/>
  <c r="AA722" i="3" s="1"/>
  <c r="AB722" i="3" s="1"/>
  <c r="M723" i="3" l="1"/>
  <c r="AC722" i="3"/>
  <c r="AD722" i="3" s="1"/>
  <c r="C722" i="4"/>
  <c r="O723" i="3" l="1"/>
  <c r="N723" i="3"/>
  <c r="AI723" i="3"/>
  <c r="H722" i="4"/>
  <c r="G722" i="4"/>
  <c r="I722" i="4" s="1"/>
  <c r="J722" i="4" s="1"/>
  <c r="P723" i="3" l="1"/>
  <c r="Q723" i="3" s="1"/>
  <c r="L723" i="4" s="1"/>
  <c r="M722" i="4"/>
  <c r="K722" i="4"/>
  <c r="V723" i="3" l="1"/>
  <c r="W723" i="3" s="1"/>
  <c r="X723" i="3" s="1"/>
  <c r="Y723" i="3" s="1"/>
  <c r="Z723" i="3" s="1"/>
  <c r="AA723" i="3" s="1"/>
  <c r="AB723" i="3" s="1"/>
  <c r="AC723" i="3" l="1"/>
  <c r="AD723" i="3" s="1"/>
  <c r="M724" i="3"/>
  <c r="C723" i="4"/>
  <c r="G723" i="4" l="1"/>
  <c r="I723" i="4" s="1"/>
  <c r="J723" i="4" s="1"/>
  <c r="H723" i="4"/>
  <c r="O724" i="3"/>
  <c r="N724" i="3"/>
  <c r="AI724" i="3"/>
  <c r="P724" i="3" l="1"/>
  <c r="Q724" i="3" s="1"/>
  <c r="L724" i="4" s="1"/>
  <c r="K723" i="4"/>
  <c r="M723" i="4"/>
  <c r="V724" i="3" l="1"/>
  <c r="W724" i="3" s="1"/>
  <c r="X724" i="3" s="1"/>
  <c r="Y724" i="3" s="1"/>
  <c r="Z724" i="3" s="1"/>
  <c r="AA724" i="3" s="1"/>
  <c r="AB724" i="3" s="1"/>
  <c r="C724" i="4" l="1"/>
  <c r="AC724" i="3"/>
  <c r="AD724" i="3" s="1"/>
  <c r="M725" i="3"/>
  <c r="N725" i="3" l="1"/>
  <c r="AI725" i="3"/>
  <c r="O725" i="3"/>
  <c r="G724" i="4"/>
  <c r="I724" i="4" s="1"/>
  <c r="J724" i="4" s="1"/>
  <c r="H724" i="4"/>
  <c r="K724" i="4" l="1"/>
  <c r="M724" i="4"/>
  <c r="P725" i="3"/>
  <c r="Q725" i="3" s="1"/>
  <c r="L725" i="4" l="1"/>
  <c r="V725" i="3"/>
  <c r="W725" i="3" l="1"/>
  <c r="X725" i="3" s="1"/>
  <c r="Y725" i="3" s="1"/>
  <c r="Z725" i="3" s="1"/>
  <c r="AA725" i="3" s="1"/>
  <c r="AB725" i="3" s="1"/>
  <c r="C725" i="4" l="1"/>
  <c r="AC725" i="3"/>
  <c r="AD725" i="3" s="1"/>
  <c r="M726" i="3"/>
  <c r="H725" i="4" l="1"/>
  <c r="G725" i="4"/>
  <c r="I725" i="4" s="1"/>
  <c r="J725" i="4" s="1"/>
  <c r="O726" i="3"/>
  <c r="AI726" i="3"/>
  <c r="N726" i="3"/>
  <c r="P726" i="3" l="1"/>
  <c r="Q726" i="3" s="1"/>
  <c r="L726" i="4" s="1"/>
  <c r="K725" i="4"/>
  <c r="M725" i="4"/>
  <c r="V726" i="3" l="1"/>
  <c r="W726" i="3" s="1"/>
  <c r="X726" i="3" s="1"/>
  <c r="Y726" i="3" s="1"/>
  <c r="Z726" i="3" s="1"/>
  <c r="AA726" i="3" s="1"/>
  <c r="AB726" i="3" s="1"/>
  <c r="AC726" i="3" l="1"/>
  <c r="AD726" i="3" s="1"/>
  <c r="M727" i="3"/>
  <c r="C726" i="4"/>
  <c r="H726" i="4" l="1"/>
  <c r="G726" i="4"/>
  <c r="I726" i="4" s="1"/>
  <c r="J726" i="4" s="1"/>
  <c r="AI727" i="3"/>
  <c r="N727" i="3"/>
  <c r="O727" i="3"/>
  <c r="P727" i="3" l="1"/>
  <c r="Q727" i="3" s="1"/>
  <c r="L727" i="4" s="1"/>
  <c r="M726" i="4"/>
  <c r="K726" i="4"/>
  <c r="V727" i="3" l="1"/>
  <c r="W727" i="3" s="1"/>
  <c r="X727" i="3" s="1"/>
  <c r="Y727" i="3" s="1"/>
  <c r="Z727" i="3" s="1"/>
  <c r="AA727" i="3" s="1"/>
  <c r="AB727" i="3" s="1"/>
  <c r="AC727" i="3" l="1"/>
  <c r="AD727" i="3" s="1"/>
  <c r="C727" i="4"/>
  <c r="M728" i="3"/>
  <c r="N728" i="3" l="1"/>
  <c r="O728" i="3"/>
  <c r="AI728" i="3"/>
  <c r="H727" i="4"/>
  <c r="G727" i="4"/>
  <c r="I727" i="4" s="1"/>
  <c r="J727" i="4" s="1"/>
  <c r="K727" i="4" l="1"/>
  <c r="M727" i="4"/>
  <c r="P728" i="3"/>
  <c r="Q728" i="3" s="1"/>
  <c r="L728" i="4" l="1"/>
  <c r="V728" i="3"/>
  <c r="W728" i="3" l="1"/>
  <c r="X728" i="3" s="1"/>
  <c r="Y728" i="3" s="1"/>
  <c r="Z728" i="3" s="1"/>
  <c r="AA728" i="3" s="1"/>
  <c r="AB728" i="3" s="1"/>
  <c r="C728" i="4" l="1"/>
  <c r="AC728" i="3"/>
  <c r="AD728" i="3" s="1"/>
  <c r="M729" i="3"/>
  <c r="AI729" i="3" l="1"/>
  <c r="O729" i="3"/>
  <c r="N729" i="3"/>
  <c r="G728" i="4"/>
  <c r="I728" i="4" s="1"/>
  <c r="J728" i="4" s="1"/>
  <c r="H728" i="4"/>
  <c r="P729" i="3" l="1"/>
  <c r="Q729" i="3" s="1"/>
  <c r="L729" i="4" s="1"/>
  <c r="K728" i="4"/>
  <c r="M728" i="4"/>
  <c r="V729" i="3" l="1"/>
  <c r="W729" i="3" s="1"/>
  <c r="X729" i="3" s="1"/>
  <c r="Y729" i="3" s="1"/>
  <c r="Z729" i="3" s="1"/>
  <c r="AA729" i="3" s="1"/>
  <c r="AB729" i="3" s="1"/>
  <c r="C729" i="4" l="1"/>
  <c r="AC729" i="3"/>
  <c r="AD729" i="3" s="1"/>
  <c r="M730" i="3"/>
  <c r="O730" i="3" l="1"/>
  <c r="N730" i="3"/>
  <c r="AI730" i="3"/>
  <c r="G729" i="4"/>
  <c r="I729" i="4" s="1"/>
  <c r="J729" i="4" s="1"/>
  <c r="H729" i="4"/>
  <c r="P730" i="3" l="1"/>
  <c r="Q730" i="3" s="1"/>
  <c r="L730" i="4" s="1"/>
  <c r="M729" i="4"/>
  <c r="K729" i="4"/>
  <c r="V730" i="3" l="1"/>
  <c r="W730" i="3" s="1"/>
  <c r="X730" i="3" s="1"/>
  <c r="Y730" i="3" s="1"/>
  <c r="Z730" i="3" s="1"/>
  <c r="AA730" i="3" s="1"/>
  <c r="AB730" i="3" s="1"/>
  <c r="C730" i="4" l="1"/>
  <c r="AC730" i="3"/>
  <c r="AD730" i="3" s="1"/>
  <c r="M731" i="3"/>
  <c r="N731" i="3" l="1"/>
  <c r="O731" i="3"/>
  <c r="AI731" i="3"/>
  <c r="G730" i="4"/>
  <c r="I730" i="4" s="1"/>
  <c r="J730" i="4" s="1"/>
  <c r="H730" i="4"/>
  <c r="M730" i="4" l="1"/>
  <c r="K730" i="4"/>
  <c r="P731" i="3"/>
  <c r="Q731" i="3" s="1"/>
  <c r="L731" i="4" l="1"/>
  <c r="V731" i="3"/>
  <c r="W731" i="3" l="1"/>
  <c r="X731" i="3" s="1"/>
  <c r="Y731" i="3" s="1"/>
  <c r="Z731" i="3" s="1"/>
  <c r="AA731" i="3" s="1"/>
  <c r="AB731" i="3" s="1"/>
  <c r="M732" i="3" l="1"/>
  <c r="AC731" i="3"/>
  <c r="AD731" i="3" s="1"/>
  <c r="C731" i="4"/>
  <c r="H731" i="4" l="1"/>
  <c r="G731" i="4"/>
  <c r="I731" i="4" s="1"/>
  <c r="J731" i="4" s="1"/>
  <c r="O732" i="3"/>
  <c r="AI732" i="3"/>
  <c r="N732" i="3"/>
  <c r="P732" i="3" l="1"/>
  <c r="Q732" i="3" s="1"/>
  <c r="L732" i="4" s="1"/>
  <c r="M731" i="4"/>
  <c r="K731" i="4"/>
  <c r="V732" i="3" l="1"/>
  <c r="W732" i="3" s="1"/>
  <c r="X732" i="3" s="1"/>
  <c r="Y732" i="3" s="1"/>
  <c r="Z732" i="3" s="1"/>
  <c r="AA732" i="3" s="1"/>
  <c r="AB732" i="3" s="1"/>
  <c r="C732" i="4" l="1"/>
  <c r="M733" i="3"/>
  <c r="AC732" i="3"/>
  <c r="AD732" i="3" s="1"/>
  <c r="O733" i="3" l="1"/>
  <c r="N733" i="3"/>
  <c r="AI733" i="3"/>
  <c r="H732" i="4"/>
  <c r="G732" i="4"/>
  <c r="I732" i="4" s="1"/>
  <c r="J732" i="4" s="1"/>
  <c r="P733" i="3" l="1"/>
  <c r="Q733" i="3" s="1"/>
  <c r="L733" i="4" s="1"/>
  <c r="M732" i="4"/>
  <c r="K732" i="4"/>
  <c r="V733" i="3" l="1"/>
  <c r="W733" i="3" s="1"/>
  <c r="X733" i="3" s="1"/>
  <c r="Y733" i="3" s="1"/>
  <c r="Z733" i="3" s="1"/>
  <c r="AA733" i="3" s="1"/>
  <c r="AB733" i="3" s="1"/>
  <c r="AC733" i="3" l="1"/>
  <c r="AD733" i="3" s="1"/>
  <c r="M734" i="3"/>
  <c r="C733" i="4"/>
  <c r="H733" i="4" l="1"/>
  <c r="G733" i="4"/>
  <c r="I733" i="4" s="1"/>
  <c r="J733" i="4" s="1"/>
  <c r="O734" i="3"/>
  <c r="N734" i="3"/>
  <c r="AI734" i="3"/>
  <c r="P734" i="3" l="1"/>
  <c r="Q734" i="3" s="1"/>
  <c r="L734" i="4" s="1"/>
  <c r="K733" i="4"/>
  <c r="M733" i="4"/>
  <c r="V734" i="3" l="1"/>
  <c r="W734" i="3" s="1"/>
  <c r="X734" i="3" s="1"/>
  <c r="Y734" i="3" s="1"/>
  <c r="Z734" i="3" s="1"/>
  <c r="AA734" i="3" s="1"/>
  <c r="AB734" i="3" s="1"/>
  <c r="M735" i="3" l="1"/>
  <c r="C734" i="4"/>
  <c r="AC734" i="3"/>
  <c r="AD734" i="3" s="1"/>
  <c r="G734" i="4" l="1"/>
  <c r="I734" i="4" s="1"/>
  <c r="J734" i="4" s="1"/>
  <c r="H734" i="4"/>
  <c r="AI735" i="3"/>
  <c r="N735" i="3"/>
  <c r="O735" i="3"/>
  <c r="P735" i="3" l="1"/>
  <c r="Q735" i="3" s="1"/>
  <c r="K734" i="4"/>
  <c r="M734" i="4"/>
  <c r="L735" i="4" l="1"/>
  <c r="V735" i="3"/>
  <c r="W735" i="3" l="1"/>
  <c r="X735" i="3" s="1"/>
  <c r="Y735" i="3" s="1"/>
  <c r="Z735" i="3" s="1"/>
  <c r="AA735" i="3" s="1"/>
  <c r="AB735" i="3" s="1"/>
  <c r="M736" i="3" l="1"/>
  <c r="C735" i="4"/>
  <c r="AC735" i="3"/>
  <c r="AD735" i="3" s="1"/>
  <c r="H735" i="4" l="1"/>
  <c r="G735" i="4"/>
  <c r="I735" i="4" s="1"/>
  <c r="J735" i="4" s="1"/>
  <c r="O736" i="3"/>
  <c r="AI736" i="3"/>
  <c r="N736" i="3"/>
  <c r="P736" i="3" l="1"/>
  <c r="Q736" i="3" s="1"/>
  <c r="L736" i="4" s="1"/>
  <c r="M735" i="4"/>
  <c r="K735" i="4"/>
  <c r="V736" i="3" l="1"/>
  <c r="W736" i="3" s="1"/>
  <c r="X736" i="3" s="1"/>
  <c r="Y736" i="3" s="1"/>
  <c r="Z736" i="3" s="1"/>
  <c r="AA736" i="3" s="1"/>
  <c r="AB736" i="3" s="1"/>
  <c r="C736" i="4" l="1"/>
  <c r="AC736" i="3"/>
  <c r="AD736" i="3" s="1"/>
  <c r="M737" i="3"/>
  <c r="N737" i="3" l="1"/>
  <c r="O737" i="3"/>
  <c r="AI737" i="3"/>
  <c r="G736" i="4"/>
  <c r="I736" i="4" s="1"/>
  <c r="J736" i="4" s="1"/>
  <c r="H736" i="4"/>
  <c r="M736" i="4" l="1"/>
  <c r="K736" i="4"/>
  <c r="P737" i="3"/>
  <c r="Q737" i="3" s="1"/>
  <c r="L737" i="4" l="1"/>
  <c r="V737" i="3"/>
  <c r="W737" i="3" l="1"/>
  <c r="X737" i="3" s="1"/>
  <c r="Y737" i="3" s="1"/>
  <c r="Z737" i="3" s="1"/>
  <c r="AA737" i="3" s="1"/>
  <c r="AB737" i="3" s="1"/>
  <c r="C737" i="4" l="1"/>
  <c r="M738" i="3"/>
  <c r="AC737" i="3"/>
  <c r="AD737" i="3" s="1"/>
  <c r="N738" i="3" l="1"/>
  <c r="O738" i="3"/>
  <c r="AI738" i="3"/>
  <c r="G737" i="4"/>
  <c r="I737" i="4" s="1"/>
  <c r="J737" i="4" s="1"/>
  <c r="H737" i="4"/>
  <c r="K737" i="4" l="1"/>
  <c r="M737" i="4"/>
  <c r="P738" i="3"/>
  <c r="Q738" i="3" s="1"/>
  <c r="L738" i="4" l="1"/>
  <c r="V738" i="3"/>
  <c r="W738" i="3" l="1"/>
  <c r="X738" i="3" s="1"/>
  <c r="Y738" i="3" s="1"/>
  <c r="Z738" i="3" s="1"/>
  <c r="AA738" i="3" s="1"/>
  <c r="AB738" i="3" s="1"/>
  <c r="AC738" i="3" l="1"/>
  <c r="AD738" i="3" s="1"/>
  <c r="C738" i="4"/>
  <c r="M739" i="3"/>
  <c r="AI739" i="3" l="1"/>
  <c r="O739" i="3"/>
  <c r="N739" i="3"/>
  <c r="G738" i="4"/>
  <c r="I738" i="4" s="1"/>
  <c r="J738" i="4" s="1"/>
  <c r="H738" i="4"/>
  <c r="P739" i="3" l="1"/>
  <c r="Q739" i="3" s="1"/>
  <c r="L739" i="4" s="1"/>
  <c r="K738" i="4"/>
  <c r="M738" i="4"/>
  <c r="V739" i="3" l="1"/>
  <c r="W739" i="3" s="1"/>
  <c r="X739" i="3" s="1"/>
  <c r="Y739" i="3" s="1"/>
  <c r="Z739" i="3" s="1"/>
  <c r="AA739" i="3" s="1"/>
  <c r="AB739" i="3" s="1"/>
  <c r="M740" i="3" l="1"/>
  <c r="C739" i="4"/>
  <c r="AC739" i="3"/>
  <c r="AD739" i="3" s="1"/>
  <c r="H739" i="4" l="1"/>
  <c r="G739" i="4"/>
  <c r="I739" i="4" s="1"/>
  <c r="J739" i="4" s="1"/>
  <c r="AI740" i="3"/>
  <c r="N740" i="3"/>
  <c r="O740" i="3"/>
  <c r="P740" i="3" l="1"/>
  <c r="Q740" i="3" s="1"/>
  <c r="L740" i="4" s="1"/>
  <c r="K739" i="4"/>
  <c r="M739" i="4"/>
  <c r="V740" i="3" l="1"/>
  <c r="W740" i="3" s="1"/>
  <c r="X740" i="3" s="1"/>
  <c r="Y740" i="3" s="1"/>
  <c r="Z740" i="3" s="1"/>
  <c r="AA740" i="3" s="1"/>
  <c r="AB740" i="3" s="1"/>
  <c r="M741" i="3" l="1"/>
  <c r="AC740" i="3"/>
  <c r="AD740" i="3" s="1"/>
  <c r="C740" i="4"/>
  <c r="G740" i="4" l="1"/>
  <c r="I740" i="4" s="1"/>
  <c r="J740" i="4" s="1"/>
  <c r="H740" i="4"/>
  <c r="N741" i="3"/>
  <c r="AI741" i="3"/>
  <c r="O741" i="3"/>
  <c r="P741" i="3" l="1"/>
  <c r="Q741" i="3" s="1"/>
  <c r="K740" i="4"/>
  <c r="M740" i="4"/>
  <c r="L741" i="4" l="1"/>
  <c r="V741" i="3"/>
  <c r="W741" i="3" l="1"/>
  <c r="X741" i="3" s="1"/>
  <c r="Y741" i="3" s="1"/>
  <c r="Z741" i="3" s="1"/>
  <c r="AA741" i="3" s="1"/>
  <c r="AB741" i="3" s="1"/>
  <c r="M742" i="3" l="1"/>
  <c r="AC741" i="3"/>
  <c r="AD741" i="3" s="1"/>
  <c r="C741" i="4"/>
  <c r="G741" i="4" l="1"/>
  <c r="I741" i="4" s="1"/>
  <c r="J741" i="4" s="1"/>
  <c r="H741" i="4"/>
  <c r="N742" i="3"/>
  <c r="O742" i="3"/>
  <c r="AI742" i="3"/>
  <c r="P742" i="3" l="1"/>
  <c r="Q742" i="3" s="1"/>
  <c r="K741" i="4"/>
  <c r="M741" i="4"/>
  <c r="L742" i="4" l="1"/>
  <c r="C42" i="5" s="1"/>
  <c r="N42" i="5" s="1"/>
  <c r="V742" i="3"/>
  <c r="W742" i="3" l="1"/>
  <c r="X742" i="3" s="1"/>
  <c r="Y742" i="3" s="1"/>
  <c r="Z742" i="3" s="1"/>
  <c r="AA742" i="3" s="1"/>
  <c r="AB742" i="3" s="1"/>
  <c r="AC742" i="3" l="1"/>
  <c r="AD742" i="3" s="1"/>
  <c r="M743" i="3"/>
  <c r="C742" i="4"/>
  <c r="AI743" i="3" l="1"/>
  <c r="N743" i="3"/>
  <c r="O743" i="3"/>
  <c r="H742" i="4"/>
  <c r="G742" i="4"/>
  <c r="I742" i="4" s="1"/>
  <c r="J742" i="4" s="1"/>
  <c r="P743" i="3" l="1"/>
  <c r="Q743" i="3" s="1"/>
  <c r="L743" i="4" s="1"/>
  <c r="K742" i="4"/>
  <c r="E42" i="5" s="1"/>
  <c r="M742" i="4"/>
  <c r="D42" i="5"/>
  <c r="V743" i="3"/>
  <c r="W743" i="3" l="1"/>
  <c r="X743" i="3" s="1"/>
  <c r="Y743" i="3" s="1"/>
  <c r="Z743" i="3" s="1"/>
  <c r="AA743" i="3" s="1"/>
  <c r="AB743" i="3" s="1"/>
  <c r="M744" i="3" l="1"/>
  <c r="AC743" i="3"/>
  <c r="AD743" i="3" s="1"/>
  <c r="C743" i="4"/>
  <c r="H743" i="4" l="1"/>
  <c r="G743" i="4"/>
  <c r="I743" i="4" s="1"/>
  <c r="J743" i="4" s="1"/>
  <c r="AI744" i="3"/>
  <c r="N744" i="3"/>
  <c r="O744" i="3"/>
  <c r="P744" i="3" l="1"/>
  <c r="Q744" i="3" s="1"/>
  <c r="L744" i="4" s="1"/>
  <c r="M743" i="4"/>
  <c r="K743" i="4"/>
  <c r="V744" i="3" l="1"/>
  <c r="W744" i="3" s="1"/>
  <c r="X744" i="3" s="1"/>
  <c r="Y744" i="3" s="1"/>
  <c r="Z744" i="3" s="1"/>
  <c r="AA744" i="3" s="1"/>
  <c r="AB744" i="3" s="1"/>
  <c r="C744" i="4" l="1"/>
  <c r="AC744" i="3"/>
  <c r="AD744" i="3" s="1"/>
  <c r="M745" i="3"/>
  <c r="AI745" i="3" l="1"/>
  <c r="N745" i="3"/>
  <c r="O745" i="3"/>
  <c r="G744" i="4"/>
  <c r="I744" i="4" s="1"/>
  <c r="J744" i="4" s="1"/>
  <c r="H744" i="4"/>
  <c r="P745" i="3" l="1"/>
  <c r="Q745" i="3" s="1"/>
  <c r="L745" i="4" s="1"/>
  <c r="M744" i="4"/>
  <c r="K744" i="4"/>
  <c r="V745" i="3" l="1"/>
  <c r="W745" i="3" s="1"/>
  <c r="X745" i="3" s="1"/>
  <c r="Y745" i="3" s="1"/>
  <c r="Z745" i="3" s="1"/>
  <c r="AA745" i="3" s="1"/>
  <c r="AB745" i="3" s="1"/>
  <c r="C745" i="4" l="1"/>
  <c r="AC745" i="3"/>
  <c r="AD745" i="3" s="1"/>
  <c r="M746" i="3"/>
  <c r="AI746" i="3" l="1"/>
  <c r="N746" i="3"/>
  <c r="O746" i="3"/>
  <c r="G745" i="4"/>
  <c r="I745" i="4" s="1"/>
  <c r="J745" i="4" s="1"/>
  <c r="H745" i="4"/>
  <c r="P746" i="3" l="1"/>
  <c r="Q746" i="3" s="1"/>
  <c r="M745" i="4"/>
  <c r="K745" i="4"/>
  <c r="L746" i="4" l="1"/>
  <c r="V746" i="3"/>
  <c r="W746" i="3" l="1"/>
  <c r="X746" i="3" s="1"/>
  <c r="Y746" i="3" s="1"/>
  <c r="Z746" i="3" s="1"/>
  <c r="AA746" i="3" s="1"/>
  <c r="AB746" i="3" s="1"/>
  <c r="AC746" i="3" l="1"/>
  <c r="AD746" i="3" s="1"/>
  <c r="C746" i="4"/>
  <c r="M747" i="3"/>
  <c r="AI747" i="3" l="1"/>
  <c r="O747" i="3"/>
  <c r="N747" i="3"/>
  <c r="G746" i="4"/>
  <c r="I746" i="4" s="1"/>
  <c r="J746" i="4" s="1"/>
  <c r="H746" i="4"/>
  <c r="P747" i="3" l="1"/>
  <c r="Q747" i="3" s="1"/>
  <c r="V747" i="3" s="1"/>
  <c r="M746" i="4"/>
  <c r="K746" i="4"/>
  <c r="L747" i="4" l="1"/>
  <c r="W747" i="3"/>
  <c r="X747" i="3" s="1"/>
  <c r="Y747" i="3" s="1"/>
  <c r="Z747" i="3" s="1"/>
  <c r="AA747" i="3" s="1"/>
  <c r="AB747" i="3" s="1"/>
  <c r="C747" i="4" l="1"/>
  <c r="M748" i="3"/>
  <c r="AC747" i="3"/>
  <c r="AD747" i="3" s="1"/>
  <c r="O748" i="3" l="1"/>
  <c r="AI748" i="3"/>
  <c r="N748" i="3"/>
  <c r="H747" i="4"/>
  <c r="G747" i="4"/>
  <c r="I747" i="4" s="1"/>
  <c r="J747" i="4" s="1"/>
  <c r="P748" i="3" l="1"/>
  <c r="Q748" i="3" s="1"/>
  <c r="L748" i="4" s="1"/>
  <c r="K747" i="4"/>
  <c r="M747" i="4"/>
  <c r="V748" i="3" l="1"/>
  <c r="W748" i="3" s="1"/>
  <c r="X748" i="3" s="1"/>
  <c r="Y748" i="3" s="1"/>
  <c r="Z748" i="3" s="1"/>
  <c r="AA748" i="3" s="1"/>
  <c r="AB748" i="3" s="1"/>
  <c r="M749" i="3" l="1"/>
  <c r="C748" i="4"/>
  <c r="AC748" i="3"/>
  <c r="AD748" i="3" s="1"/>
  <c r="H748" i="4" l="1"/>
  <c r="G748" i="4"/>
  <c r="I748" i="4" s="1"/>
  <c r="J748" i="4" s="1"/>
  <c r="O749" i="3"/>
  <c r="AI749" i="3"/>
  <c r="N749" i="3"/>
  <c r="P749" i="3" l="1"/>
  <c r="Q749" i="3" s="1"/>
  <c r="L749" i="4" s="1"/>
  <c r="K748" i="4"/>
  <c r="M748" i="4"/>
  <c r="V749" i="3" l="1"/>
  <c r="W749" i="3" s="1"/>
  <c r="X749" i="3" s="1"/>
  <c r="Y749" i="3" s="1"/>
  <c r="Z749" i="3" s="1"/>
  <c r="AA749" i="3" s="1"/>
  <c r="AB749" i="3" s="1"/>
  <c r="C749" i="4" l="1"/>
  <c r="M750" i="3"/>
  <c r="AC749" i="3"/>
  <c r="AD749" i="3" s="1"/>
  <c r="AI750" i="3" l="1"/>
  <c r="O750" i="3"/>
  <c r="N750" i="3"/>
  <c r="G749" i="4"/>
  <c r="I749" i="4" s="1"/>
  <c r="J749" i="4" s="1"/>
  <c r="H749" i="4"/>
  <c r="P750" i="3" l="1"/>
  <c r="Q750" i="3" s="1"/>
  <c r="L750" i="4" s="1"/>
  <c r="K749" i="4"/>
  <c r="M749" i="4"/>
  <c r="V750" i="3" l="1"/>
  <c r="W750" i="3" s="1"/>
  <c r="X750" i="3" s="1"/>
  <c r="Y750" i="3" s="1"/>
  <c r="Z750" i="3" s="1"/>
  <c r="AA750" i="3" s="1"/>
  <c r="AB750" i="3" s="1"/>
  <c r="AC750" i="3" l="1"/>
  <c r="AD750" i="3" s="1"/>
  <c r="C750" i="4"/>
  <c r="M751" i="3"/>
  <c r="O751" i="3" l="1"/>
  <c r="AI751" i="3"/>
  <c r="N751" i="3"/>
  <c r="G750" i="4"/>
  <c r="I750" i="4" s="1"/>
  <c r="J750" i="4" s="1"/>
  <c r="H750" i="4"/>
  <c r="P751" i="3" l="1"/>
  <c r="Q751" i="3" s="1"/>
  <c r="L751" i="4" s="1"/>
  <c r="K750" i="4"/>
  <c r="M750" i="4"/>
  <c r="V751" i="3" l="1"/>
  <c r="W751" i="3" s="1"/>
  <c r="X751" i="3" s="1"/>
  <c r="Y751" i="3" s="1"/>
  <c r="Z751" i="3" s="1"/>
  <c r="AA751" i="3" s="1"/>
  <c r="AB751" i="3" s="1"/>
  <c r="AC751" i="3" l="1"/>
  <c r="AD751" i="3" s="1"/>
  <c r="M752" i="3"/>
  <c r="C751" i="4"/>
  <c r="G751" i="4" l="1"/>
  <c r="I751" i="4" s="1"/>
  <c r="J751" i="4" s="1"/>
  <c r="H751" i="4"/>
  <c r="O752" i="3"/>
  <c r="N752" i="3"/>
  <c r="AI752" i="3"/>
  <c r="P752" i="3" l="1"/>
  <c r="Q752" i="3" s="1"/>
  <c r="L752" i="4" s="1"/>
  <c r="K751" i="4"/>
  <c r="M751" i="4"/>
  <c r="V752" i="3" l="1"/>
  <c r="W752" i="3" s="1"/>
  <c r="X752" i="3" s="1"/>
  <c r="Y752" i="3" s="1"/>
  <c r="Z752" i="3" s="1"/>
  <c r="AA752" i="3" s="1"/>
  <c r="AB752" i="3" s="1"/>
  <c r="AC752" i="3" l="1"/>
  <c r="AD752" i="3" s="1"/>
  <c r="M753" i="3"/>
  <c r="C752" i="4"/>
  <c r="G752" i="4" l="1"/>
  <c r="I752" i="4" s="1"/>
  <c r="J752" i="4" s="1"/>
  <c r="H752" i="4"/>
  <c r="N753" i="3"/>
  <c r="O753" i="3"/>
  <c r="AI753" i="3"/>
  <c r="P753" i="3" l="1"/>
  <c r="Q753" i="3" s="1"/>
  <c r="L753" i="4" s="1"/>
  <c r="M752" i="4"/>
  <c r="K752" i="4"/>
  <c r="V753" i="3" l="1"/>
  <c r="W753" i="3" s="1"/>
  <c r="X753" i="3" s="1"/>
  <c r="Y753" i="3" s="1"/>
  <c r="Z753" i="3" s="1"/>
  <c r="AA753" i="3" s="1"/>
  <c r="AB753" i="3" s="1"/>
  <c r="AC753" i="3" l="1"/>
  <c r="AD753" i="3" s="1"/>
  <c r="C753" i="4"/>
  <c r="M754" i="3"/>
  <c r="O754" i="3" l="1"/>
  <c r="N754" i="3"/>
  <c r="AI754" i="3"/>
  <c r="H753" i="4"/>
  <c r="G753" i="4"/>
  <c r="I753" i="4" s="1"/>
  <c r="J753" i="4" s="1"/>
  <c r="P754" i="3" l="1"/>
  <c r="Q754" i="3" s="1"/>
  <c r="L754" i="4" s="1"/>
  <c r="K753" i="4"/>
  <c r="M753" i="4"/>
  <c r="V754" i="3" l="1"/>
  <c r="W754" i="3" s="1"/>
  <c r="X754" i="3" s="1"/>
  <c r="Y754" i="3" s="1"/>
  <c r="Z754" i="3" s="1"/>
  <c r="AA754" i="3" s="1"/>
  <c r="AB754" i="3" s="1"/>
  <c r="C754" i="4" l="1"/>
  <c r="AC754" i="3"/>
  <c r="AD754" i="3" s="1"/>
  <c r="M755" i="3"/>
  <c r="AI755" i="3" l="1"/>
  <c r="N755" i="3"/>
  <c r="O755" i="3"/>
  <c r="G754" i="4"/>
  <c r="I754" i="4" s="1"/>
  <c r="J754" i="4" s="1"/>
  <c r="H754" i="4"/>
  <c r="P755" i="3" l="1"/>
  <c r="Q755" i="3" s="1"/>
  <c r="L755" i="4" s="1"/>
  <c r="K754" i="4"/>
  <c r="M754" i="4"/>
  <c r="V755" i="3" l="1"/>
  <c r="W755" i="3" s="1"/>
  <c r="X755" i="3" s="1"/>
  <c r="Y755" i="3" s="1"/>
  <c r="Z755" i="3" s="1"/>
  <c r="AA755" i="3" s="1"/>
  <c r="AB755" i="3" s="1"/>
  <c r="AC755" i="3" l="1"/>
  <c r="AD755" i="3" s="1"/>
  <c r="M756" i="3"/>
  <c r="C755" i="4"/>
  <c r="H755" i="4" l="1"/>
  <c r="G755" i="4"/>
  <c r="I755" i="4" s="1"/>
  <c r="J755" i="4" s="1"/>
  <c r="AI756" i="3"/>
  <c r="O756" i="3"/>
  <c r="N756" i="3"/>
  <c r="P756" i="3" l="1"/>
  <c r="Q756" i="3" s="1"/>
  <c r="L756" i="4" s="1"/>
  <c r="K755" i="4"/>
  <c r="M755" i="4"/>
  <c r="V756" i="3" l="1"/>
  <c r="W756" i="3" s="1"/>
  <c r="X756" i="3" s="1"/>
  <c r="Y756" i="3" s="1"/>
  <c r="Z756" i="3" s="1"/>
  <c r="AA756" i="3" s="1"/>
  <c r="AB756" i="3" s="1"/>
  <c r="C756" i="4" l="1"/>
  <c r="M757" i="3"/>
  <c r="AC756" i="3"/>
  <c r="AD756" i="3" s="1"/>
  <c r="AI757" i="3" l="1"/>
  <c r="N757" i="3"/>
  <c r="O757" i="3"/>
  <c r="G756" i="4"/>
  <c r="I756" i="4" s="1"/>
  <c r="J756" i="4" s="1"/>
  <c r="H756" i="4"/>
  <c r="K756" i="4" l="1"/>
  <c r="M756" i="4"/>
  <c r="P757" i="3"/>
  <c r="Q757" i="3" s="1"/>
  <c r="L757" i="4" l="1"/>
  <c r="V757" i="3"/>
  <c r="W757" i="3" l="1"/>
  <c r="X757" i="3" s="1"/>
  <c r="Y757" i="3" s="1"/>
  <c r="Z757" i="3" s="1"/>
  <c r="AA757" i="3" s="1"/>
  <c r="AB757" i="3" s="1"/>
  <c r="AC757" i="3" l="1"/>
  <c r="AD757" i="3" s="1"/>
  <c r="M758" i="3"/>
  <c r="C757" i="4"/>
  <c r="G757" i="4" l="1"/>
  <c r="I757" i="4" s="1"/>
  <c r="J757" i="4" s="1"/>
  <c r="H757" i="4"/>
  <c r="AI758" i="3"/>
  <c r="O758" i="3"/>
  <c r="N758" i="3"/>
  <c r="P758" i="3" l="1"/>
  <c r="Q758" i="3" s="1"/>
  <c r="L758" i="4" s="1"/>
  <c r="K757" i="4"/>
  <c r="M757" i="4"/>
  <c r="V758" i="3" l="1"/>
  <c r="W758" i="3" s="1"/>
  <c r="X758" i="3" s="1"/>
  <c r="Y758" i="3" s="1"/>
  <c r="Z758" i="3" s="1"/>
  <c r="AA758" i="3" s="1"/>
  <c r="AB758" i="3" s="1"/>
  <c r="M759" i="3" l="1"/>
  <c r="AC758" i="3"/>
  <c r="AD758" i="3" s="1"/>
  <c r="C758" i="4"/>
  <c r="H758" i="4" l="1"/>
  <c r="G758" i="4"/>
  <c r="I758" i="4" s="1"/>
  <c r="J758" i="4" s="1"/>
  <c r="N759" i="3"/>
  <c r="AI759" i="3"/>
  <c r="O759" i="3"/>
  <c r="M758" i="4" l="1"/>
  <c r="K758" i="4"/>
  <c r="P759" i="3"/>
  <c r="Q759" i="3" s="1"/>
  <c r="L759" i="4" l="1"/>
  <c r="V759" i="3"/>
  <c r="W759" i="3" l="1"/>
  <c r="X759" i="3" s="1"/>
  <c r="Y759" i="3" s="1"/>
  <c r="Z759" i="3" s="1"/>
  <c r="AA759" i="3" s="1"/>
  <c r="AB759" i="3" s="1"/>
  <c r="C759" i="4" l="1"/>
  <c r="M760" i="3"/>
  <c r="AC759" i="3"/>
  <c r="AD759" i="3" s="1"/>
  <c r="N760" i="3" l="1"/>
  <c r="AI760" i="3"/>
  <c r="O760" i="3"/>
  <c r="G759" i="4"/>
  <c r="I759" i="4" s="1"/>
  <c r="J759" i="4" s="1"/>
  <c r="H759" i="4"/>
  <c r="K759" i="4" l="1"/>
  <c r="M759" i="4"/>
  <c r="P760" i="3"/>
  <c r="Q760" i="3" s="1"/>
  <c r="L760" i="4" l="1"/>
  <c r="V760" i="3"/>
  <c r="W760" i="3" l="1"/>
  <c r="X760" i="3" s="1"/>
  <c r="Y760" i="3" s="1"/>
  <c r="Z760" i="3" s="1"/>
  <c r="AA760" i="3" s="1"/>
  <c r="AB760" i="3" s="1"/>
  <c r="C760" i="4" l="1"/>
  <c r="AC760" i="3"/>
  <c r="AD760" i="3" s="1"/>
  <c r="M761" i="3"/>
  <c r="N761" i="3" l="1"/>
  <c r="AI761" i="3"/>
  <c r="O761" i="3"/>
  <c r="G760" i="4"/>
  <c r="I760" i="4" s="1"/>
  <c r="J760" i="4" s="1"/>
  <c r="H760" i="4"/>
  <c r="M760" i="4" l="1"/>
  <c r="K760" i="4"/>
  <c r="P761" i="3"/>
  <c r="Q761" i="3" s="1"/>
  <c r="L761" i="4" l="1"/>
  <c r="V761" i="3"/>
  <c r="W761" i="3" l="1"/>
  <c r="X761" i="3" s="1"/>
  <c r="Y761" i="3" s="1"/>
  <c r="Z761" i="3" s="1"/>
  <c r="AA761" i="3" s="1"/>
  <c r="AB761" i="3" s="1"/>
  <c r="AC761" i="3" l="1"/>
  <c r="AD761" i="3" s="1"/>
  <c r="C761" i="4"/>
  <c r="M762" i="3"/>
  <c r="G761" i="4" l="1"/>
  <c r="I761" i="4" s="1"/>
  <c r="J761" i="4" s="1"/>
  <c r="H761" i="4"/>
  <c r="N762" i="3"/>
  <c r="AI762" i="3"/>
  <c r="O762" i="3"/>
  <c r="P762" i="3" l="1"/>
  <c r="Q762" i="3" s="1"/>
  <c r="M761" i="4"/>
  <c r="K761" i="4"/>
  <c r="L762" i="4" l="1"/>
  <c r="V762" i="3"/>
  <c r="W762" i="3" l="1"/>
  <c r="X762" i="3" s="1"/>
  <c r="Y762" i="3" s="1"/>
  <c r="Z762" i="3" s="1"/>
  <c r="AA762" i="3" s="1"/>
  <c r="AB762" i="3" s="1"/>
  <c r="AC762" i="3" l="1"/>
  <c r="AD762" i="3" s="1"/>
  <c r="C762" i="4"/>
  <c r="M763" i="3"/>
  <c r="G762" i="4" l="1"/>
  <c r="I762" i="4" s="1"/>
  <c r="J762" i="4" s="1"/>
  <c r="H762" i="4"/>
  <c r="AI763" i="3"/>
  <c r="O763" i="3"/>
  <c r="N763" i="3"/>
  <c r="P763" i="3" l="1"/>
  <c r="Q763" i="3" s="1"/>
  <c r="L763" i="4" s="1"/>
  <c r="M762" i="4"/>
  <c r="K762" i="4"/>
  <c r="V763" i="3" l="1"/>
  <c r="W763" i="3" s="1"/>
  <c r="X763" i="3" s="1"/>
  <c r="Y763" i="3" s="1"/>
  <c r="Z763" i="3" s="1"/>
  <c r="AA763" i="3" s="1"/>
  <c r="AB763" i="3" s="1"/>
  <c r="AC763" i="3" l="1"/>
  <c r="AD763" i="3" s="1"/>
  <c r="M764" i="3"/>
  <c r="C763" i="4"/>
  <c r="O764" i="3" l="1"/>
  <c r="AI764" i="3"/>
  <c r="N764" i="3"/>
  <c r="H763" i="4"/>
  <c r="G763" i="4"/>
  <c r="I763" i="4" s="1"/>
  <c r="J763" i="4" s="1"/>
  <c r="P764" i="3" l="1"/>
  <c r="Q764" i="3" s="1"/>
  <c r="L764" i="4" s="1"/>
  <c r="M763" i="4"/>
  <c r="K763" i="4"/>
  <c r="V764" i="3" l="1"/>
  <c r="W764" i="3" s="1"/>
  <c r="X764" i="3" l="1"/>
  <c r="Y764" i="3" s="1"/>
  <c r="Z764" i="3" s="1"/>
  <c r="AA764" i="3" s="1"/>
  <c r="AB764" i="3" s="1"/>
  <c r="M765" i="3" s="1"/>
  <c r="C764" i="4" l="1"/>
  <c r="H764" i="4" s="1"/>
  <c r="AC764" i="3"/>
  <c r="AD764" i="3" s="1"/>
  <c r="O765" i="3"/>
  <c r="N765" i="3"/>
  <c r="AI765" i="3"/>
  <c r="G764" i="4" l="1"/>
  <c r="I764" i="4" s="1"/>
  <c r="J764" i="4" s="1"/>
  <c r="M764" i="4" s="1"/>
  <c r="P765" i="3"/>
  <c r="Q765" i="3" s="1"/>
  <c r="L765" i="4" s="1"/>
  <c r="V765" i="3" l="1"/>
  <c r="W765" i="3" s="1"/>
  <c r="X765" i="3" s="1"/>
  <c r="Y765" i="3" s="1"/>
  <c r="Z765" i="3" s="1"/>
  <c r="AA765" i="3" s="1"/>
  <c r="AB765" i="3" s="1"/>
  <c r="K764" i="4"/>
  <c r="C765" i="4" l="1"/>
  <c r="AC765" i="3"/>
  <c r="AD765" i="3" s="1"/>
  <c r="M766" i="3"/>
  <c r="N766" i="3" l="1"/>
  <c r="AI766" i="3"/>
  <c r="O766" i="3"/>
  <c r="H765" i="4"/>
  <c r="G765" i="4"/>
  <c r="I765" i="4" s="1"/>
  <c r="J765" i="4" s="1"/>
  <c r="K765" i="4" l="1"/>
  <c r="M765" i="4"/>
  <c r="P766" i="3"/>
  <c r="Q766" i="3" s="1"/>
  <c r="L766" i="4" l="1"/>
  <c r="V766" i="3"/>
  <c r="W766" i="3" l="1"/>
  <c r="X766" i="3" s="1"/>
  <c r="Y766" i="3" s="1"/>
  <c r="Z766" i="3" s="1"/>
  <c r="AA766" i="3" s="1"/>
  <c r="AB766" i="3" s="1"/>
  <c r="C766" i="4" l="1"/>
  <c r="M767" i="3"/>
  <c r="AC766" i="3"/>
  <c r="AD766" i="3" s="1"/>
  <c r="G766" i="4" l="1"/>
  <c r="I766" i="4" s="1"/>
  <c r="J766" i="4" s="1"/>
  <c r="H766" i="4"/>
  <c r="O767" i="3"/>
  <c r="AI767" i="3"/>
  <c r="N767" i="3"/>
  <c r="P767" i="3" l="1"/>
  <c r="Q767" i="3" s="1"/>
  <c r="L767" i="4" s="1"/>
  <c r="K766" i="4"/>
  <c r="M766" i="4"/>
  <c r="V767" i="3" l="1"/>
  <c r="W767" i="3" s="1"/>
  <c r="X767" i="3" s="1"/>
  <c r="Y767" i="3" s="1"/>
  <c r="Z767" i="3" s="1"/>
  <c r="AA767" i="3" s="1"/>
  <c r="AB767" i="3" s="1"/>
  <c r="AC767" i="3" l="1"/>
  <c r="AD767" i="3" s="1"/>
  <c r="C767" i="4"/>
  <c r="M768" i="3"/>
  <c r="AI768" i="3" l="1"/>
  <c r="N768" i="3"/>
  <c r="O768" i="3"/>
  <c r="G767" i="4"/>
  <c r="I767" i="4" s="1"/>
  <c r="J767" i="4" s="1"/>
  <c r="H767" i="4"/>
  <c r="P768" i="3" l="1"/>
  <c r="Q768" i="3" s="1"/>
  <c r="L768" i="4" s="1"/>
  <c r="M767" i="4"/>
  <c r="K767" i="4"/>
  <c r="V768" i="3" l="1"/>
  <c r="W768" i="3" s="1"/>
  <c r="X768" i="3" s="1"/>
  <c r="Y768" i="3" s="1"/>
  <c r="Z768" i="3" s="1"/>
  <c r="AA768" i="3" s="1"/>
  <c r="AB768" i="3" s="1"/>
  <c r="M769" i="3" l="1"/>
  <c r="C768" i="4"/>
  <c r="AC768" i="3"/>
  <c r="AD768" i="3" s="1"/>
  <c r="G768" i="4" l="1"/>
  <c r="I768" i="4" s="1"/>
  <c r="J768" i="4" s="1"/>
  <c r="H768" i="4"/>
  <c r="N769" i="3"/>
  <c r="AI769" i="3"/>
  <c r="O769" i="3"/>
  <c r="P769" i="3" l="1"/>
  <c r="Q769" i="3" s="1"/>
  <c r="M768" i="4"/>
  <c r="K768" i="4"/>
  <c r="L769" i="4" l="1"/>
  <c r="V769" i="3"/>
  <c r="W769" i="3" l="1"/>
  <c r="X769" i="3" s="1"/>
  <c r="Y769" i="3" s="1"/>
  <c r="Z769" i="3" s="1"/>
  <c r="AA769" i="3" s="1"/>
  <c r="AB769" i="3" s="1"/>
  <c r="C769" i="4" l="1"/>
  <c r="M770" i="3"/>
  <c r="AC769" i="3"/>
  <c r="AD769" i="3" s="1"/>
  <c r="AI770" i="3" l="1"/>
  <c r="O770" i="3"/>
  <c r="N770" i="3"/>
  <c r="H769" i="4"/>
  <c r="G769" i="4"/>
  <c r="I769" i="4" s="1"/>
  <c r="J769" i="4" s="1"/>
  <c r="M769" i="4" l="1"/>
  <c r="K769" i="4"/>
  <c r="P770" i="3"/>
  <c r="Q770" i="3" s="1"/>
  <c r="L770" i="4" l="1"/>
  <c r="V770" i="3"/>
  <c r="W770" i="3" l="1"/>
  <c r="X770" i="3" s="1"/>
  <c r="Y770" i="3" s="1"/>
  <c r="Z770" i="3" s="1"/>
  <c r="AA770" i="3" s="1"/>
  <c r="AB770" i="3" s="1"/>
  <c r="C770" i="4" l="1"/>
  <c r="AC770" i="3"/>
  <c r="AD770" i="3" s="1"/>
  <c r="M771" i="3"/>
  <c r="O771" i="3" l="1"/>
  <c r="AI771" i="3"/>
  <c r="N771" i="3"/>
  <c r="G770" i="4"/>
  <c r="I770" i="4" s="1"/>
  <c r="J770" i="4" s="1"/>
  <c r="H770" i="4"/>
  <c r="P771" i="3" l="1"/>
  <c r="Q771" i="3" s="1"/>
  <c r="L771" i="4" s="1"/>
  <c r="M770" i="4"/>
  <c r="K770" i="4"/>
  <c r="V771" i="3" l="1"/>
  <c r="W771" i="3" s="1"/>
  <c r="X771" i="3" s="1"/>
  <c r="Y771" i="3" s="1"/>
  <c r="Z771" i="3" s="1"/>
  <c r="AA771" i="3" s="1"/>
  <c r="AB771" i="3" s="1"/>
  <c r="M772" i="3" l="1"/>
  <c r="AC771" i="3"/>
  <c r="AD771" i="3" s="1"/>
  <c r="C771" i="4"/>
  <c r="H771" i="4" l="1"/>
  <c r="G771" i="4"/>
  <c r="I771" i="4" s="1"/>
  <c r="J771" i="4" s="1"/>
  <c r="O772" i="3"/>
  <c r="AI772" i="3"/>
  <c r="N772" i="3"/>
  <c r="P772" i="3" l="1"/>
  <c r="Q772" i="3" s="1"/>
  <c r="L772" i="4" s="1"/>
  <c r="K771" i="4"/>
  <c r="M771" i="4"/>
  <c r="V772" i="3" l="1"/>
  <c r="W772" i="3" s="1"/>
  <c r="X772" i="3" s="1"/>
  <c r="Y772" i="3" s="1"/>
  <c r="Z772" i="3" s="1"/>
  <c r="AA772" i="3" s="1"/>
  <c r="AB772" i="3" s="1"/>
  <c r="C772" i="4" l="1"/>
  <c r="M773" i="3"/>
  <c r="AC772" i="3"/>
  <c r="AD772" i="3" s="1"/>
  <c r="N773" i="3" l="1"/>
  <c r="AI773" i="3"/>
  <c r="O773" i="3"/>
  <c r="G772" i="4"/>
  <c r="I772" i="4" s="1"/>
  <c r="J772" i="4" s="1"/>
  <c r="H772" i="4"/>
  <c r="K772" i="4" l="1"/>
  <c r="M772" i="4"/>
  <c r="P773" i="3"/>
  <c r="Q773" i="3" s="1"/>
  <c r="L773" i="4" l="1"/>
  <c r="V773" i="3"/>
  <c r="W773" i="3" l="1"/>
  <c r="X773" i="3" s="1"/>
  <c r="Y773" i="3" s="1"/>
  <c r="Z773" i="3" s="1"/>
  <c r="AA773" i="3" s="1"/>
  <c r="AB773" i="3" s="1"/>
  <c r="C773" i="4" l="1"/>
  <c r="AC773" i="3"/>
  <c r="AD773" i="3" s="1"/>
  <c r="M774" i="3"/>
  <c r="O774" i="3" l="1"/>
  <c r="N774" i="3"/>
  <c r="AI774" i="3"/>
  <c r="G773" i="4"/>
  <c r="I773" i="4" s="1"/>
  <c r="J773" i="4" s="1"/>
  <c r="H773" i="4"/>
  <c r="P774" i="3" l="1"/>
  <c r="Q774" i="3" s="1"/>
  <c r="L774" i="4" s="1"/>
  <c r="M773" i="4"/>
  <c r="K773" i="4"/>
  <c r="V774" i="3" l="1"/>
  <c r="W774" i="3" s="1"/>
  <c r="X774" i="3" s="1"/>
  <c r="Y774" i="3" s="1"/>
  <c r="Z774" i="3" s="1"/>
  <c r="AA774" i="3" s="1"/>
  <c r="AB774" i="3" s="1"/>
  <c r="C774" i="4" l="1"/>
  <c r="M775" i="3"/>
  <c r="AC774" i="3"/>
  <c r="AD774" i="3" s="1"/>
  <c r="O775" i="3" l="1"/>
  <c r="N775" i="3"/>
  <c r="AI775" i="3"/>
  <c r="H774" i="4"/>
  <c r="G774" i="4"/>
  <c r="I774" i="4" s="1"/>
  <c r="J774" i="4" s="1"/>
  <c r="P775" i="3" l="1"/>
  <c r="Q775" i="3" s="1"/>
  <c r="L775" i="4" s="1"/>
  <c r="K774" i="4"/>
  <c r="M774" i="4"/>
  <c r="V775" i="3" l="1"/>
  <c r="W775" i="3" s="1"/>
  <c r="X775" i="3" s="1"/>
  <c r="Y775" i="3" s="1"/>
  <c r="Z775" i="3" s="1"/>
  <c r="AA775" i="3" s="1"/>
  <c r="AB775" i="3" s="1"/>
  <c r="C775" i="4" l="1"/>
  <c r="AC775" i="3"/>
  <c r="AD775" i="3" s="1"/>
  <c r="M776" i="3"/>
  <c r="AI776" i="3" l="1"/>
  <c r="O776" i="3"/>
  <c r="N776" i="3"/>
  <c r="G775" i="4"/>
  <c r="I775" i="4" s="1"/>
  <c r="J775" i="4" s="1"/>
  <c r="H775" i="4"/>
  <c r="P776" i="3" l="1"/>
  <c r="Q776" i="3" s="1"/>
  <c r="L776" i="4" s="1"/>
  <c r="K775" i="4"/>
  <c r="M775" i="4"/>
  <c r="V776" i="3" l="1"/>
  <c r="W776" i="3" s="1"/>
  <c r="X776" i="3" s="1"/>
  <c r="Y776" i="3" s="1"/>
  <c r="Z776" i="3" s="1"/>
  <c r="AA776" i="3" s="1"/>
  <c r="AB776" i="3" s="1"/>
  <c r="M777" i="3" l="1"/>
  <c r="AC776" i="3"/>
  <c r="AD776" i="3" s="1"/>
  <c r="C776" i="4"/>
  <c r="H776" i="4" l="1"/>
  <c r="G776" i="4"/>
  <c r="I776" i="4" s="1"/>
  <c r="J776" i="4" s="1"/>
  <c r="AI777" i="3"/>
  <c r="N777" i="3"/>
  <c r="O777" i="3"/>
  <c r="M776" i="4" l="1"/>
  <c r="K776" i="4"/>
  <c r="P777" i="3"/>
  <c r="Q777" i="3" s="1"/>
  <c r="L777" i="4" l="1"/>
  <c r="V777" i="3"/>
  <c r="W777" i="3" l="1"/>
  <c r="X777" i="3" s="1"/>
  <c r="Y777" i="3" s="1"/>
  <c r="Z777" i="3" s="1"/>
  <c r="AA777" i="3" s="1"/>
  <c r="AB777" i="3" s="1"/>
  <c r="AC777" i="3" l="1"/>
  <c r="AD777" i="3" s="1"/>
  <c r="M778" i="3"/>
  <c r="C777" i="4"/>
  <c r="G777" i="4" l="1"/>
  <c r="I777" i="4" s="1"/>
  <c r="J777" i="4" s="1"/>
  <c r="H777" i="4"/>
  <c r="O778" i="3"/>
  <c r="N778" i="3"/>
  <c r="AI778" i="3"/>
  <c r="P778" i="3" l="1"/>
  <c r="Q778" i="3" s="1"/>
  <c r="V778" i="3" s="1"/>
  <c r="K777" i="4"/>
  <c r="M777" i="4"/>
  <c r="L778" i="4" l="1"/>
  <c r="W778" i="3"/>
  <c r="X778" i="3" s="1"/>
  <c r="Y778" i="3" s="1"/>
  <c r="Z778" i="3" s="1"/>
  <c r="AA778" i="3" s="1"/>
  <c r="AB778" i="3" s="1"/>
  <c r="AC778" i="3" l="1"/>
  <c r="AD778" i="3" s="1"/>
  <c r="C778" i="4"/>
  <c r="M779" i="3"/>
  <c r="N779" i="3" l="1"/>
  <c r="AI779" i="3"/>
  <c r="O779" i="3"/>
  <c r="H778" i="4"/>
  <c r="G778" i="4"/>
  <c r="I778" i="4" s="1"/>
  <c r="J778" i="4" s="1"/>
  <c r="M778" i="4" l="1"/>
  <c r="K778" i="4"/>
  <c r="P779" i="3"/>
  <c r="Q779" i="3" s="1"/>
  <c r="L779" i="4" l="1"/>
  <c r="V779" i="3"/>
  <c r="W779" i="3" l="1"/>
  <c r="X779" i="3" s="1"/>
  <c r="Y779" i="3" s="1"/>
  <c r="Z779" i="3" s="1"/>
  <c r="AA779" i="3" s="1"/>
  <c r="AB779" i="3" s="1"/>
  <c r="C779" i="4" l="1"/>
  <c r="AC779" i="3"/>
  <c r="AD779" i="3" s="1"/>
  <c r="M780" i="3"/>
  <c r="N780" i="3" l="1"/>
  <c r="O780" i="3"/>
  <c r="AI780" i="3"/>
  <c r="G779" i="4"/>
  <c r="I779" i="4" s="1"/>
  <c r="J779" i="4" s="1"/>
  <c r="H779" i="4"/>
  <c r="P780" i="3" l="1"/>
  <c r="Q780" i="3" s="1"/>
  <c r="L780" i="4" s="1"/>
  <c r="K779" i="4"/>
  <c r="M779" i="4"/>
  <c r="V780" i="3" l="1"/>
  <c r="W780" i="3" s="1"/>
  <c r="X780" i="3" s="1"/>
  <c r="Y780" i="3" s="1"/>
  <c r="Z780" i="3" s="1"/>
  <c r="AA780" i="3" s="1"/>
  <c r="AB780" i="3" s="1"/>
  <c r="M781" i="3" l="1"/>
  <c r="AC780" i="3"/>
  <c r="AD780" i="3" s="1"/>
  <c r="C780" i="4"/>
  <c r="H780" i="4" l="1"/>
  <c r="G780" i="4"/>
  <c r="I780" i="4" s="1"/>
  <c r="J780" i="4" s="1"/>
  <c r="O781" i="3"/>
  <c r="AI781" i="3"/>
  <c r="N781" i="3"/>
  <c r="P781" i="3" l="1"/>
  <c r="Q781" i="3" s="1"/>
  <c r="L781" i="4" s="1"/>
  <c r="K780" i="4"/>
  <c r="M780" i="4"/>
  <c r="V781" i="3" l="1"/>
  <c r="W781" i="3" s="1"/>
  <c r="X781" i="3" s="1"/>
  <c r="Y781" i="3" s="1"/>
  <c r="Z781" i="3" s="1"/>
  <c r="AA781" i="3" s="1"/>
  <c r="AB781" i="3" s="1"/>
  <c r="C781" i="4" l="1"/>
  <c r="AC781" i="3"/>
  <c r="AD781" i="3" s="1"/>
  <c r="M782" i="3"/>
  <c r="O782" i="3" l="1"/>
  <c r="N782" i="3"/>
  <c r="AI782" i="3"/>
  <c r="G781" i="4"/>
  <c r="I781" i="4" s="1"/>
  <c r="J781" i="4" s="1"/>
  <c r="H781" i="4"/>
  <c r="K781" i="4" l="1"/>
  <c r="M781" i="4"/>
  <c r="P782" i="3"/>
  <c r="Q782" i="3" s="1"/>
  <c r="L782" i="4" l="1"/>
  <c r="V782" i="3"/>
  <c r="W782" i="3" l="1"/>
  <c r="X782" i="3" s="1"/>
  <c r="Y782" i="3" s="1"/>
  <c r="Z782" i="3" s="1"/>
  <c r="AA782" i="3" s="1"/>
  <c r="AB782" i="3" s="1"/>
  <c r="AC782" i="3" l="1"/>
  <c r="AD782" i="3" s="1"/>
  <c r="C782" i="4"/>
  <c r="M783" i="3"/>
  <c r="O783" i="3" l="1"/>
  <c r="AI783" i="3"/>
  <c r="N783" i="3"/>
  <c r="H782" i="4"/>
  <c r="G782" i="4"/>
  <c r="I782" i="4" s="1"/>
  <c r="J782" i="4" s="1"/>
  <c r="M782" i="4" l="1"/>
  <c r="K782" i="4"/>
  <c r="P783" i="3"/>
  <c r="Q783" i="3" s="1"/>
  <c r="L783" i="4" l="1"/>
  <c r="V783" i="3"/>
  <c r="W783" i="3" l="1"/>
  <c r="X783" i="3" s="1"/>
  <c r="Y783" i="3" s="1"/>
  <c r="Z783" i="3" s="1"/>
  <c r="AA783" i="3" s="1"/>
  <c r="AB783" i="3" s="1"/>
  <c r="AC783" i="3" l="1"/>
  <c r="AD783" i="3" s="1"/>
  <c r="M784" i="3"/>
  <c r="C783" i="4"/>
  <c r="G783" i="4" l="1"/>
  <c r="I783" i="4" s="1"/>
  <c r="J783" i="4" s="1"/>
  <c r="H783" i="4"/>
  <c r="N784" i="3"/>
  <c r="O784" i="3"/>
  <c r="AI784" i="3"/>
  <c r="P784" i="3" l="1"/>
  <c r="Q784" i="3" s="1"/>
  <c r="K783" i="4"/>
  <c r="M783" i="4"/>
  <c r="L784" i="4" l="1"/>
  <c r="C43" i="5" s="1"/>
  <c r="N43" i="5" s="1"/>
  <c r="V784" i="3"/>
  <c r="W784" i="3" l="1"/>
  <c r="X784" i="3" s="1"/>
  <c r="Y784" i="3" s="1"/>
  <c r="Z784" i="3" s="1"/>
  <c r="AA784" i="3" s="1"/>
  <c r="AB784" i="3" s="1"/>
  <c r="AC784" i="3" l="1"/>
  <c r="AD784" i="3" s="1"/>
  <c r="C784" i="4"/>
  <c r="M785" i="3"/>
  <c r="AI785" i="3" l="1"/>
  <c r="N785" i="3"/>
  <c r="O785" i="3"/>
  <c r="G784" i="4"/>
  <c r="I784" i="4" s="1"/>
  <c r="J784" i="4" s="1"/>
  <c r="H784" i="4"/>
  <c r="M784" i="4" l="1"/>
  <c r="K784" i="4"/>
  <c r="E43" i="5" s="1"/>
  <c r="D43" i="5"/>
  <c r="P785" i="3"/>
  <c r="Q785" i="3" s="1"/>
  <c r="L785" i="4" l="1"/>
  <c r="V785" i="3"/>
  <c r="W785" i="3" l="1"/>
  <c r="X785" i="3" s="1"/>
  <c r="Y785" i="3" s="1"/>
  <c r="Z785" i="3" s="1"/>
  <c r="AA785" i="3" s="1"/>
  <c r="AB785" i="3" s="1"/>
  <c r="AC785" i="3" l="1"/>
  <c r="AD785" i="3" s="1"/>
  <c r="C785" i="4"/>
  <c r="M786" i="3"/>
  <c r="AI786" i="3" l="1"/>
  <c r="O786" i="3"/>
  <c r="N786" i="3"/>
  <c r="G785" i="4"/>
  <c r="I785" i="4" s="1"/>
  <c r="J785" i="4" s="1"/>
  <c r="H785" i="4"/>
  <c r="P786" i="3" l="1"/>
  <c r="Q786" i="3" s="1"/>
  <c r="L786" i="4" s="1"/>
  <c r="M785" i="4"/>
  <c r="K785" i="4"/>
  <c r="V786" i="3" l="1"/>
  <c r="W786" i="3" s="1"/>
  <c r="X786" i="3" s="1"/>
  <c r="Y786" i="3" s="1"/>
  <c r="Z786" i="3" s="1"/>
  <c r="AA786" i="3" s="1"/>
  <c r="AB786" i="3" s="1"/>
  <c r="AC786" i="3" l="1"/>
  <c r="AD786" i="3" s="1"/>
  <c r="C786" i="4"/>
  <c r="M787" i="3"/>
  <c r="G786" i="4" l="1"/>
  <c r="I786" i="4" s="1"/>
  <c r="J786" i="4" s="1"/>
  <c r="H786" i="4"/>
  <c r="O787" i="3"/>
  <c r="AI787" i="3"/>
  <c r="N787" i="3"/>
  <c r="P787" i="3" l="1"/>
  <c r="Q787" i="3" s="1"/>
  <c r="L787" i="4" s="1"/>
  <c r="M786" i="4"/>
  <c r="K786" i="4"/>
  <c r="V787" i="3" l="1"/>
  <c r="W787" i="3" s="1"/>
  <c r="X787" i="3" s="1"/>
  <c r="Y787" i="3" s="1"/>
  <c r="Z787" i="3" s="1"/>
  <c r="AA787" i="3" s="1"/>
  <c r="AB787" i="3" s="1"/>
  <c r="C787" i="4" l="1"/>
  <c r="M788" i="3"/>
  <c r="AC787" i="3"/>
  <c r="AD787" i="3" s="1"/>
  <c r="N788" i="3" l="1"/>
  <c r="AI788" i="3"/>
  <c r="O788" i="3"/>
  <c r="H787" i="4"/>
  <c r="G787" i="4"/>
  <c r="I787" i="4" s="1"/>
  <c r="J787" i="4" s="1"/>
  <c r="K787" i="4" l="1"/>
  <c r="M787" i="4"/>
  <c r="P788" i="3"/>
  <c r="Q788" i="3" s="1"/>
  <c r="L788" i="4" l="1"/>
  <c r="V788" i="3"/>
  <c r="W788" i="3" l="1"/>
  <c r="X788" i="3" s="1"/>
  <c r="Y788" i="3" s="1"/>
  <c r="Z788" i="3" s="1"/>
  <c r="AA788" i="3" s="1"/>
  <c r="AB788" i="3" s="1"/>
  <c r="M789" i="3" l="1"/>
  <c r="C788" i="4"/>
  <c r="AC788" i="3"/>
  <c r="AD788" i="3" s="1"/>
  <c r="H788" i="4" l="1"/>
  <c r="G788" i="4"/>
  <c r="I788" i="4" s="1"/>
  <c r="J788" i="4" s="1"/>
  <c r="O789" i="3"/>
  <c r="AI789" i="3"/>
  <c r="N789" i="3"/>
  <c r="P789" i="3" l="1"/>
  <c r="Q789" i="3" s="1"/>
  <c r="L789" i="4" s="1"/>
  <c r="K788" i="4"/>
  <c r="M788" i="4"/>
  <c r="V789" i="3" l="1"/>
  <c r="W789" i="3" s="1"/>
  <c r="X789" i="3" s="1"/>
  <c r="Y789" i="3" s="1"/>
  <c r="Z789" i="3" s="1"/>
  <c r="AA789" i="3" s="1"/>
  <c r="AB789" i="3" s="1"/>
  <c r="C789" i="4" l="1"/>
  <c r="AC789" i="3"/>
  <c r="AD789" i="3" s="1"/>
  <c r="M790" i="3"/>
  <c r="N790" i="3" l="1"/>
  <c r="O790" i="3"/>
  <c r="AI790" i="3"/>
  <c r="G789" i="4"/>
  <c r="I789" i="4" s="1"/>
  <c r="J789" i="4" s="1"/>
  <c r="H789" i="4"/>
  <c r="M789" i="4" l="1"/>
  <c r="K789" i="4"/>
  <c r="P790" i="3"/>
  <c r="Q790" i="3" s="1"/>
  <c r="L790" i="4" l="1"/>
  <c r="V790" i="3"/>
  <c r="W790" i="3" l="1"/>
  <c r="X790" i="3" s="1"/>
  <c r="Y790" i="3" s="1"/>
  <c r="Z790" i="3" s="1"/>
  <c r="AA790" i="3" s="1"/>
  <c r="AB790" i="3" s="1"/>
  <c r="AC790" i="3" l="1"/>
  <c r="AD790" i="3" s="1"/>
  <c r="M791" i="3"/>
  <c r="C790" i="4"/>
  <c r="G790" i="4" l="1"/>
  <c r="I790" i="4" s="1"/>
  <c r="J790" i="4" s="1"/>
  <c r="H790" i="4"/>
  <c r="N791" i="3"/>
  <c r="O791" i="3"/>
  <c r="AI791" i="3"/>
  <c r="P791" i="3" l="1"/>
  <c r="Q791" i="3" s="1"/>
  <c r="M790" i="4"/>
  <c r="K790" i="4"/>
  <c r="L791" i="4" l="1"/>
  <c r="V791" i="3"/>
  <c r="W791" i="3" l="1"/>
  <c r="X791" i="3" s="1"/>
  <c r="Y791" i="3" s="1"/>
  <c r="Z791" i="3" s="1"/>
  <c r="AA791" i="3" s="1"/>
  <c r="AB791" i="3" s="1"/>
  <c r="M792" i="3" l="1"/>
  <c r="C791" i="4"/>
  <c r="AC791" i="3"/>
  <c r="AD791" i="3" s="1"/>
  <c r="G791" i="4" l="1"/>
  <c r="I791" i="4" s="1"/>
  <c r="J791" i="4" s="1"/>
  <c r="H791" i="4"/>
  <c r="AI792" i="3"/>
  <c r="N792" i="3"/>
  <c r="O792" i="3"/>
  <c r="P792" i="3" l="1"/>
  <c r="Q792" i="3" s="1"/>
  <c r="L792" i="4" s="1"/>
  <c r="M791" i="4"/>
  <c r="K791" i="4"/>
  <c r="V792" i="3" l="1"/>
  <c r="W792" i="3" s="1"/>
  <c r="X792" i="3" s="1"/>
  <c r="Y792" i="3" s="1"/>
  <c r="Z792" i="3" s="1"/>
  <c r="AA792" i="3" s="1"/>
  <c r="AB792" i="3" s="1"/>
  <c r="C792" i="4" l="1"/>
  <c r="AC792" i="3"/>
  <c r="AD792" i="3" s="1"/>
  <c r="M793" i="3"/>
  <c r="N793" i="3" l="1"/>
  <c r="AI793" i="3"/>
  <c r="O793" i="3"/>
  <c r="H792" i="4"/>
  <c r="G792" i="4"/>
  <c r="I792" i="4" s="1"/>
  <c r="J792" i="4" s="1"/>
  <c r="K792" i="4" l="1"/>
  <c r="M792" i="4"/>
  <c r="P793" i="3"/>
  <c r="Q793" i="3" s="1"/>
  <c r="L793" i="4" l="1"/>
  <c r="V793" i="3"/>
  <c r="W793" i="3" l="1"/>
  <c r="X793" i="3" s="1"/>
  <c r="Y793" i="3" s="1"/>
  <c r="Z793" i="3" s="1"/>
  <c r="AA793" i="3" s="1"/>
  <c r="AB793" i="3" s="1"/>
  <c r="M794" i="3" l="1"/>
  <c r="AC793" i="3"/>
  <c r="AD793" i="3" s="1"/>
  <c r="C793" i="4"/>
  <c r="H793" i="4" l="1"/>
  <c r="G793" i="4"/>
  <c r="I793" i="4" s="1"/>
  <c r="J793" i="4" s="1"/>
  <c r="AI794" i="3"/>
  <c r="N794" i="3"/>
  <c r="O794" i="3"/>
  <c r="P794" i="3" l="1"/>
  <c r="Q794" i="3" s="1"/>
  <c r="L794" i="4" s="1"/>
  <c r="M793" i="4"/>
  <c r="K793" i="4"/>
  <c r="V794" i="3" l="1"/>
  <c r="W794" i="3" s="1"/>
  <c r="X794" i="3" s="1"/>
  <c r="Y794" i="3" s="1"/>
  <c r="Z794" i="3" s="1"/>
  <c r="AA794" i="3" s="1"/>
  <c r="AB794" i="3" s="1"/>
  <c r="M795" i="3" l="1"/>
  <c r="C794" i="4"/>
  <c r="AC794" i="3"/>
  <c r="AD794" i="3" s="1"/>
  <c r="H794" i="4" l="1"/>
  <c r="G794" i="4"/>
  <c r="I794" i="4" s="1"/>
  <c r="J794" i="4" s="1"/>
  <c r="O795" i="3"/>
  <c r="N795" i="3"/>
  <c r="AI795" i="3"/>
  <c r="P795" i="3" l="1"/>
  <c r="Q795" i="3" s="1"/>
  <c r="L795" i="4" s="1"/>
  <c r="K794" i="4"/>
  <c r="M794" i="4"/>
  <c r="V795" i="3" l="1"/>
  <c r="W795" i="3" s="1"/>
  <c r="X795" i="3" s="1"/>
  <c r="Y795" i="3" s="1"/>
  <c r="Z795" i="3" s="1"/>
  <c r="AA795" i="3" s="1"/>
  <c r="AB795" i="3" s="1"/>
  <c r="M796" i="3" l="1"/>
  <c r="C795" i="4"/>
  <c r="AC795" i="3"/>
  <c r="AD795" i="3" s="1"/>
  <c r="H795" i="4" l="1"/>
  <c r="G795" i="4"/>
  <c r="I795" i="4" s="1"/>
  <c r="J795" i="4" s="1"/>
  <c r="O796" i="3"/>
  <c r="N796" i="3"/>
  <c r="AI796" i="3"/>
  <c r="P796" i="3" l="1"/>
  <c r="Q796" i="3" s="1"/>
  <c r="L796" i="4" s="1"/>
  <c r="K795" i="4"/>
  <c r="M795" i="4"/>
  <c r="V796" i="3" l="1"/>
  <c r="W796" i="3" s="1"/>
  <c r="X796" i="3" s="1"/>
  <c r="Y796" i="3" s="1"/>
  <c r="Z796" i="3" s="1"/>
  <c r="AA796" i="3" s="1"/>
  <c r="AB796" i="3" s="1"/>
  <c r="M797" i="3" l="1"/>
  <c r="AC796" i="3"/>
  <c r="AD796" i="3" s="1"/>
  <c r="C796" i="4"/>
  <c r="H796" i="4" l="1"/>
  <c r="G796" i="4"/>
  <c r="I796" i="4" s="1"/>
  <c r="J796" i="4" s="1"/>
  <c r="AI797" i="3"/>
  <c r="N797" i="3"/>
  <c r="O797" i="3"/>
  <c r="P797" i="3" l="1"/>
  <c r="Q797" i="3" s="1"/>
  <c r="L797" i="4" s="1"/>
  <c r="K796" i="4"/>
  <c r="M796" i="4"/>
  <c r="V797" i="3" l="1"/>
  <c r="W797" i="3" s="1"/>
  <c r="X797" i="3" s="1"/>
  <c r="Y797" i="3" s="1"/>
  <c r="Z797" i="3" s="1"/>
  <c r="AA797" i="3" s="1"/>
  <c r="AB797" i="3" s="1"/>
  <c r="M798" i="3" l="1"/>
  <c r="AC797" i="3"/>
  <c r="AD797" i="3" s="1"/>
  <c r="C797" i="4"/>
  <c r="G797" i="4" l="1"/>
  <c r="I797" i="4" s="1"/>
  <c r="J797" i="4" s="1"/>
  <c r="H797" i="4"/>
  <c r="N798" i="3"/>
  <c r="AI798" i="3"/>
  <c r="O798" i="3"/>
  <c r="P798" i="3" l="1"/>
  <c r="Q798" i="3" s="1"/>
  <c r="K797" i="4"/>
  <c r="M797" i="4"/>
  <c r="L798" i="4" l="1"/>
  <c r="V798" i="3"/>
  <c r="W798" i="3" l="1"/>
  <c r="X798" i="3" s="1"/>
  <c r="Y798" i="3" s="1"/>
  <c r="Z798" i="3" s="1"/>
  <c r="AA798" i="3" s="1"/>
  <c r="AB798" i="3" s="1"/>
  <c r="C798" i="4" l="1"/>
  <c r="AC798" i="3"/>
  <c r="AD798" i="3" s="1"/>
  <c r="M799" i="3"/>
  <c r="N799" i="3" l="1"/>
  <c r="O799" i="3"/>
  <c r="AI799" i="3"/>
  <c r="G798" i="4"/>
  <c r="I798" i="4" s="1"/>
  <c r="J798" i="4" s="1"/>
  <c r="H798" i="4"/>
  <c r="P799" i="3" l="1"/>
  <c r="Q799" i="3" s="1"/>
  <c r="L799" i="4" s="1"/>
  <c r="M798" i="4"/>
  <c r="K798" i="4"/>
  <c r="V799" i="3" l="1"/>
  <c r="W799" i="3" s="1"/>
  <c r="X799" i="3" s="1"/>
  <c r="Y799" i="3" s="1"/>
  <c r="Z799" i="3" s="1"/>
  <c r="AA799" i="3" s="1"/>
  <c r="AB799" i="3" s="1"/>
  <c r="AC799" i="3" l="1"/>
  <c r="AD799" i="3" s="1"/>
  <c r="C799" i="4"/>
  <c r="M800" i="3"/>
  <c r="O800" i="3" l="1"/>
  <c r="N800" i="3"/>
  <c r="AI800" i="3"/>
  <c r="H799" i="4"/>
  <c r="G799" i="4"/>
  <c r="I799" i="4" s="1"/>
  <c r="J799" i="4" s="1"/>
  <c r="P800" i="3" l="1"/>
  <c r="Q800" i="3" s="1"/>
  <c r="L800" i="4" s="1"/>
  <c r="M799" i="4"/>
  <c r="K799" i="4"/>
  <c r="V800" i="3" l="1"/>
  <c r="W800" i="3" s="1"/>
  <c r="X800" i="3" s="1"/>
  <c r="Y800" i="3" s="1"/>
  <c r="Z800" i="3" s="1"/>
  <c r="AA800" i="3" s="1"/>
  <c r="AB800" i="3" s="1"/>
  <c r="M801" i="3" l="1"/>
  <c r="C800" i="4"/>
  <c r="AC800" i="3"/>
  <c r="AD800" i="3" s="1"/>
  <c r="G800" i="4" l="1"/>
  <c r="I800" i="4" s="1"/>
  <c r="J800" i="4" s="1"/>
  <c r="H800" i="4"/>
  <c r="N801" i="3"/>
  <c r="O801" i="3"/>
  <c r="AI801" i="3"/>
  <c r="P801" i="3" l="1"/>
  <c r="Q801" i="3" s="1"/>
  <c r="M800" i="4"/>
  <c r="K800" i="4"/>
  <c r="L801" i="4" l="1"/>
  <c r="V801" i="3"/>
  <c r="W801" i="3" l="1"/>
  <c r="X801" i="3" s="1"/>
  <c r="Y801" i="3" s="1"/>
  <c r="Z801" i="3" s="1"/>
  <c r="AA801" i="3" s="1"/>
  <c r="AB801" i="3" s="1"/>
  <c r="C801" i="4" l="1"/>
  <c r="AC801" i="3"/>
  <c r="AD801" i="3" s="1"/>
  <c r="M802" i="3"/>
  <c r="O802" i="3" l="1"/>
  <c r="AI802" i="3"/>
  <c r="N802" i="3"/>
  <c r="G801" i="4"/>
  <c r="I801" i="4" s="1"/>
  <c r="J801" i="4" s="1"/>
  <c r="H801" i="4"/>
  <c r="P802" i="3" l="1"/>
  <c r="Q802" i="3" s="1"/>
  <c r="L802" i="4" s="1"/>
  <c r="K801" i="4"/>
  <c r="M801" i="4"/>
  <c r="V802" i="3" l="1"/>
  <c r="W802" i="3" s="1"/>
  <c r="X802" i="3" s="1"/>
  <c r="Y802" i="3" s="1"/>
  <c r="Z802" i="3" s="1"/>
  <c r="AA802" i="3" s="1"/>
  <c r="AB802" i="3" s="1"/>
  <c r="C802" i="4" l="1"/>
  <c r="M803" i="3"/>
  <c r="AC802" i="3"/>
  <c r="AD802" i="3" s="1"/>
  <c r="O803" i="3" l="1"/>
  <c r="N803" i="3"/>
  <c r="AI803" i="3"/>
  <c r="H802" i="4"/>
  <c r="G802" i="4"/>
  <c r="I802" i="4" s="1"/>
  <c r="J802" i="4" s="1"/>
  <c r="P803" i="3" l="1"/>
  <c r="Q803" i="3" s="1"/>
  <c r="L803" i="4" s="1"/>
  <c r="M802" i="4"/>
  <c r="K802" i="4"/>
  <c r="V803" i="3" l="1"/>
  <c r="W803" i="3" s="1"/>
  <c r="X803" i="3" s="1"/>
  <c r="Y803" i="3" s="1"/>
  <c r="Z803" i="3" s="1"/>
  <c r="AA803" i="3" s="1"/>
  <c r="AB803" i="3" s="1"/>
  <c r="C803" i="4" l="1"/>
  <c r="M804" i="3"/>
  <c r="AC803" i="3"/>
  <c r="AD803" i="3" s="1"/>
  <c r="N804" i="3" l="1"/>
  <c r="AI804" i="3"/>
  <c r="O804" i="3"/>
  <c r="H803" i="4"/>
  <c r="G803" i="4"/>
  <c r="I803" i="4" s="1"/>
  <c r="J803" i="4" s="1"/>
  <c r="K803" i="4" l="1"/>
  <c r="M803" i="4"/>
  <c r="P804" i="3"/>
  <c r="Q804" i="3" s="1"/>
  <c r="L804" i="4" l="1"/>
  <c r="V804" i="3"/>
  <c r="W804" i="3" l="1"/>
  <c r="X804" i="3" s="1"/>
  <c r="Y804" i="3" s="1"/>
  <c r="Z804" i="3" s="1"/>
  <c r="AA804" i="3" s="1"/>
  <c r="AB804" i="3" s="1"/>
  <c r="C804" i="4" l="1"/>
  <c r="AC804" i="3"/>
  <c r="AD804" i="3" s="1"/>
  <c r="M805" i="3"/>
  <c r="H804" i="4" l="1"/>
  <c r="G804" i="4"/>
  <c r="I804" i="4" s="1"/>
  <c r="J804" i="4" s="1"/>
  <c r="AI805" i="3"/>
  <c r="O805" i="3"/>
  <c r="N805" i="3"/>
  <c r="P805" i="3" l="1"/>
  <c r="Q805" i="3" s="1"/>
  <c r="L805" i="4" s="1"/>
  <c r="K804" i="4"/>
  <c r="M804" i="4"/>
  <c r="V805" i="3" l="1"/>
  <c r="W805" i="3" s="1"/>
  <c r="X805" i="3" s="1"/>
  <c r="Y805" i="3" s="1"/>
  <c r="Z805" i="3" s="1"/>
  <c r="AA805" i="3" s="1"/>
  <c r="AB805" i="3" s="1"/>
  <c r="C805" i="4" l="1"/>
  <c r="M806" i="3"/>
  <c r="AC805" i="3"/>
  <c r="AD805" i="3" s="1"/>
  <c r="N806" i="3" l="1"/>
  <c r="AI806" i="3"/>
  <c r="O806" i="3"/>
  <c r="G805" i="4"/>
  <c r="I805" i="4" s="1"/>
  <c r="J805" i="4" s="1"/>
  <c r="H805" i="4"/>
  <c r="P806" i="3" l="1"/>
  <c r="Q806" i="3" s="1"/>
  <c r="L806" i="4" s="1"/>
  <c r="M805" i="4"/>
  <c r="K805" i="4"/>
  <c r="V806" i="3" l="1"/>
  <c r="W806" i="3" s="1"/>
  <c r="X806" i="3" s="1"/>
  <c r="Y806" i="3" s="1"/>
  <c r="Z806" i="3" s="1"/>
  <c r="AA806" i="3" s="1"/>
  <c r="AB806" i="3" s="1"/>
  <c r="AC806" i="3" l="1"/>
  <c r="AD806" i="3" s="1"/>
  <c r="C806" i="4"/>
  <c r="M807" i="3"/>
  <c r="N807" i="3" l="1"/>
  <c r="O807" i="3"/>
  <c r="AI807" i="3"/>
  <c r="H806" i="4"/>
  <c r="G806" i="4"/>
  <c r="I806" i="4" s="1"/>
  <c r="J806" i="4" s="1"/>
  <c r="K806" i="4" l="1"/>
  <c r="M806" i="4"/>
  <c r="P807" i="3"/>
  <c r="Q807" i="3" s="1"/>
  <c r="L807" i="4" l="1"/>
  <c r="V807" i="3"/>
  <c r="W807" i="3" l="1"/>
  <c r="X807" i="3" s="1"/>
  <c r="Y807" i="3" s="1"/>
  <c r="Z807" i="3" s="1"/>
  <c r="AA807" i="3" s="1"/>
  <c r="AB807" i="3" s="1"/>
  <c r="AC807" i="3" l="1"/>
  <c r="AD807" i="3" s="1"/>
  <c r="M808" i="3"/>
  <c r="C807" i="4"/>
  <c r="H807" i="4" l="1"/>
  <c r="G807" i="4"/>
  <c r="I807" i="4" s="1"/>
  <c r="J807" i="4" s="1"/>
  <c r="O808" i="3"/>
  <c r="AI808" i="3"/>
  <c r="N808" i="3"/>
  <c r="P808" i="3" l="1"/>
  <c r="Q808" i="3" s="1"/>
  <c r="L808" i="4" s="1"/>
  <c r="M807" i="4"/>
  <c r="K807" i="4"/>
  <c r="V808" i="3" l="1"/>
  <c r="W808" i="3" s="1"/>
  <c r="X808" i="3" s="1"/>
  <c r="Y808" i="3" s="1"/>
  <c r="Z808" i="3" s="1"/>
  <c r="AA808" i="3" s="1"/>
  <c r="AB808" i="3" s="1"/>
  <c r="M809" i="3" l="1"/>
  <c r="AC808" i="3"/>
  <c r="AD808" i="3" s="1"/>
  <c r="C808" i="4"/>
  <c r="H808" i="4" l="1"/>
  <c r="G808" i="4"/>
  <c r="I808" i="4" s="1"/>
  <c r="J808" i="4" s="1"/>
  <c r="AI809" i="3"/>
  <c r="N809" i="3"/>
  <c r="O809" i="3"/>
  <c r="P809" i="3" l="1"/>
  <c r="Q809" i="3" s="1"/>
  <c r="L809" i="4" s="1"/>
  <c r="M808" i="4"/>
  <c r="K808" i="4"/>
  <c r="V809" i="3" l="1"/>
  <c r="W809" i="3" s="1"/>
  <c r="X809" i="3" s="1"/>
  <c r="Y809" i="3" s="1"/>
  <c r="Z809" i="3" s="1"/>
  <c r="AA809" i="3" s="1"/>
  <c r="AB809" i="3" s="1"/>
  <c r="AC809" i="3" l="1"/>
  <c r="AD809" i="3" s="1"/>
  <c r="M810" i="3"/>
  <c r="C809" i="4"/>
  <c r="H809" i="4" l="1"/>
  <c r="G809" i="4"/>
  <c r="I809" i="4" s="1"/>
  <c r="J809" i="4" s="1"/>
  <c r="N810" i="3"/>
  <c r="O810" i="3"/>
  <c r="AI810" i="3"/>
  <c r="P810" i="3" l="1"/>
  <c r="Q810" i="3" s="1"/>
  <c r="L810" i="4" s="1"/>
  <c r="K809" i="4"/>
  <c r="M809" i="4"/>
  <c r="V810" i="3" l="1"/>
  <c r="W810" i="3" s="1"/>
  <c r="X810" i="3" s="1"/>
  <c r="Y810" i="3" s="1"/>
  <c r="Z810" i="3" s="1"/>
  <c r="AA810" i="3" s="1"/>
  <c r="AB810" i="3" s="1"/>
  <c r="M811" i="3" l="1"/>
  <c r="AC810" i="3"/>
  <c r="AD810" i="3" s="1"/>
  <c r="C810" i="4"/>
  <c r="G810" i="4" l="1"/>
  <c r="I810" i="4" s="1"/>
  <c r="J810" i="4" s="1"/>
  <c r="H810" i="4"/>
  <c r="AI811" i="3"/>
  <c r="N811" i="3"/>
  <c r="O811" i="3"/>
  <c r="P811" i="3" l="1"/>
  <c r="Q811" i="3" s="1"/>
  <c r="M810" i="4"/>
  <c r="K810" i="4"/>
  <c r="L811" i="4" l="1"/>
  <c r="V811" i="3"/>
  <c r="W811" i="3" l="1"/>
  <c r="X811" i="3" s="1"/>
  <c r="Y811" i="3" s="1"/>
  <c r="Z811" i="3" s="1"/>
  <c r="AA811" i="3" s="1"/>
  <c r="AB811" i="3" s="1"/>
  <c r="M812" i="3" l="1"/>
  <c r="C811" i="4"/>
  <c r="AC811" i="3"/>
  <c r="AD811" i="3" s="1"/>
  <c r="G811" i="4" l="1"/>
  <c r="I811" i="4" s="1"/>
  <c r="J811" i="4" s="1"/>
  <c r="H811" i="4"/>
  <c r="O812" i="3"/>
  <c r="N812" i="3"/>
  <c r="AI812" i="3"/>
  <c r="P812" i="3" l="1"/>
  <c r="Q812" i="3" s="1"/>
  <c r="L812" i="4" s="1"/>
  <c r="K811" i="4"/>
  <c r="M811" i="4"/>
  <c r="V812" i="3" l="1"/>
  <c r="W812" i="3" s="1"/>
  <c r="X812" i="3" s="1"/>
  <c r="Y812" i="3" s="1"/>
  <c r="Z812" i="3" s="1"/>
  <c r="AA812" i="3" s="1"/>
  <c r="AB812" i="3" s="1"/>
  <c r="AC812" i="3" l="1"/>
  <c r="AD812" i="3" s="1"/>
  <c r="M813" i="3"/>
  <c r="C812" i="4"/>
  <c r="G812" i="4" l="1"/>
  <c r="I812" i="4" s="1"/>
  <c r="J812" i="4" s="1"/>
  <c r="H812" i="4"/>
  <c r="AI813" i="3"/>
  <c r="O813" i="3"/>
  <c r="N813" i="3"/>
  <c r="P813" i="3" l="1"/>
  <c r="Q813" i="3" s="1"/>
  <c r="L813" i="4" s="1"/>
  <c r="K812" i="4"/>
  <c r="M812" i="4"/>
  <c r="V813" i="3" l="1"/>
  <c r="W813" i="3" s="1"/>
  <c r="X813" i="3" s="1"/>
  <c r="Y813" i="3" s="1"/>
  <c r="Z813" i="3" s="1"/>
  <c r="AA813" i="3" s="1"/>
  <c r="AB813" i="3" s="1"/>
  <c r="M814" i="3" l="1"/>
  <c r="AC813" i="3"/>
  <c r="AD813" i="3" s="1"/>
  <c r="C813" i="4"/>
  <c r="G813" i="4" l="1"/>
  <c r="I813" i="4" s="1"/>
  <c r="J813" i="4" s="1"/>
  <c r="H813" i="4"/>
  <c r="N814" i="3"/>
  <c r="O814" i="3"/>
  <c r="AI814" i="3"/>
  <c r="P814" i="3" l="1"/>
  <c r="Q814" i="3" s="1"/>
  <c r="K813" i="4"/>
  <c r="M813" i="4"/>
  <c r="L814" i="4" l="1"/>
  <c r="V814" i="3"/>
  <c r="W814" i="3" l="1"/>
  <c r="X814" i="3" s="1"/>
  <c r="Y814" i="3" s="1"/>
  <c r="Z814" i="3" s="1"/>
  <c r="AA814" i="3" s="1"/>
  <c r="AB814" i="3" s="1"/>
  <c r="M815" i="3" l="1"/>
  <c r="AC814" i="3"/>
  <c r="AD814" i="3" s="1"/>
  <c r="C814" i="4"/>
  <c r="G814" i="4" l="1"/>
  <c r="I814" i="4" s="1"/>
  <c r="J814" i="4" s="1"/>
  <c r="H814" i="4"/>
  <c r="AI815" i="3"/>
  <c r="N815" i="3"/>
  <c r="O815" i="3"/>
  <c r="P815" i="3" l="1"/>
  <c r="Q815" i="3" s="1"/>
  <c r="L815" i="4" s="1"/>
  <c r="K814" i="4"/>
  <c r="M814" i="4"/>
  <c r="V815" i="3" l="1"/>
  <c r="W815" i="3" s="1"/>
  <c r="X815" i="3" s="1"/>
  <c r="Y815" i="3" s="1"/>
  <c r="Z815" i="3" s="1"/>
  <c r="AA815" i="3" s="1"/>
  <c r="AB815" i="3" s="1"/>
  <c r="M816" i="3" l="1"/>
  <c r="AC815" i="3"/>
  <c r="AD815" i="3" s="1"/>
  <c r="C815" i="4"/>
  <c r="H815" i="4" l="1"/>
  <c r="G815" i="4"/>
  <c r="I815" i="4" s="1"/>
  <c r="J815" i="4" s="1"/>
  <c r="N816" i="3"/>
  <c r="AI816" i="3"/>
  <c r="O816" i="3"/>
  <c r="K815" i="4" l="1"/>
  <c r="M815" i="4"/>
  <c r="P816" i="3"/>
  <c r="Q816" i="3" s="1"/>
  <c r="L816" i="4" l="1"/>
  <c r="V816" i="3"/>
  <c r="W816" i="3" l="1"/>
  <c r="X816" i="3" s="1"/>
  <c r="Y816" i="3" s="1"/>
  <c r="Z816" i="3" s="1"/>
  <c r="AA816" i="3" s="1"/>
  <c r="AB816" i="3" s="1"/>
  <c r="M817" i="3" l="1"/>
  <c r="C816" i="4"/>
  <c r="AC816" i="3"/>
  <c r="AD816" i="3" s="1"/>
  <c r="H816" i="4" l="1"/>
  <c r="G816" i="4"/>
  <c r="I816" i="4" s="1"/>
  <c r="J816" i="4" s="1"/>
  <c r="O817" i="3"/>
  <c r="N817" i="3"/>
  <c r="AI817" i="3"/>
  <c r="P817" i="3" l="1"/>
  <c r="Q817" i="3" s="1"/>
  <c r="L817" i="4" s="1"/>
  <c r="M816" i="4"/>
  <c r="K816" i="4"/>
  <c r="V817" i="3" l="1"/>
  <c r="W817" i="3" s="1"/>
  <c r="X817" i="3" s="1"/>
  <c r="Y817" i="3" s="1"/>
  <c r="Z817" i="3" s="1"/>
  <c r="AA817" i="3" s="1"/>
  <c r="AB817" i="3" s="1"/>
  <c r="C817" i="4" l="1"/>
  <c r="M818" i="3"/>
  <c r="AC817" i="3"/>
  <c r="AD817" i="3" s="1"/>
  <c r="O818" i="3" l="1"/>
  <c r="N818" i="3"/>
  <c r="AI818" i="3"/>
  <c r="H817" i="4"/>
  <c r="G817" i="4"/>
  <c r="I817" i="4" s="1"/>
  <c r="J817" i="4" s="1"/>
  <c r="P818" i="3" l="1"/>
  <c r="Q818" i="3" s="1"/>
  <c r="L818" i="4" s="1"/>
  <c r="M817" i="4"/>
  <c r="K817" i="4"/>
  <c r="V818" i="3" l="1"/>
  <c r="W818" i="3" s="1"/>
  <c r="X818" i="3" s="1"/>
  <c r="Y818" i="3" s="1"/>
  <c r="Z818" i="3" s="1"/>
  <c r="AA818" i="3" s="1"/>
  <c r="AB818" i="3" s="1"/>
  <c r="AC818" i="3" l="1"/>
  <c r="AD818" i="3" s="1"/>
  <c r="C818" i="4"/>
  <c r="M819" i="3"/>
  <c r="O819" i="3" l="1"/>
  <c r="AI819" i="3"/>
  <c r="N819" i="3"/>
  <c r="G818" i="4"/>
  <c r="I818" i="4" s="1"/>
  <c r="J818" i="4" s="1"/>
  <c r="H818" i="4"/>
  <c r="P819" i="3" l="1"/>
  <c r="Q819" i="3" s="1"/>
  <c r="L819" i="4" s="1"/>
  <c r="K818" i="4"/>
  <c r="M818" i="4"/>
  <c r="V819" i="3" l="1"/>
  <c r="W819" i="3" s="1"/>
  <c r="X819" i="3" s="1"/>
  <c r="Y819" i="3" s="1"/>
  <c r="Z819" i="3" s="1"/>
  <c r="AA819" i="3" s="1"/>
  <c r="AB819" i="3" s="1"/>
  <c r="M820" i="3" l="1"/>
  <c r="AC819" i="3"/>
  <c r="AD819" i="3" s="1"/>
  <c r="C819" i="4"/>
  <c r="H819" i="4" l="1"/>
  <c r="G819" i="4"/>
  <c r="I819" i="4" s="1"/>
  <c r="J819" i="4" s="1"/>
  <c r="O820" i="3"/>
  <c r="N820" i="3"/>
  <c r="AI820" i="3"/>
  <c r="P820" i="3" l="1"/>
  <c r="Q820" i="3" s="1"/>
  <c r="L820" i="4" s="1"/>
  <c r="K819" i="4"/>
  <c r="M819" i="4"/>
  <c r="V820" i="3" l="1"/>
  <c r="W820" i="3" s="1"/>
  <c r="X820" i="3" s="1"/>
  <c r="Y820" i="3" s="1"/>
  <c r="Z820" i="3" s="1"/>
  <c r="AA820" i="3" s="1"/>
  <c r="AB820" i="3" s="1"/>
  <c r="C820" i="4" l="1"/>
  <c r="AC820" i="3"/>
  <c r="AD820" i="3" s="1"/>
  <c r="M821" i="3"/>
  <c r="N821" i="3" l="1"/>
  <c r="AI821" i="3"/>
  <c r="O821" i="3"/>
  <c r="H820" i="4"/>
  <c r="G820" i="4"/>
  <c r="I820" i="4" s="1"/>
  <c r="J820" i="4" s="1"/>
  <c r="M820" i="4" l="1"/>
  <c r="K820" i="4"/>
  <c r="P821" i="3"/>
  <c r="Q821" i="3" s="1"/>
  <c r="L821" i="4" l="1"/>
  <c r="V821" i="3"/>
  <c r="W821" i="3" l="1"/>
  <c r="X821" i="3" s="1"/>
  <c r="Y821" i="3" s="1"/>
  <c r="Z821" i="3" s="1"/>
  <c r="AA821" i="3" s="1"/>
  <c r="AB821" i="3" s="1"/>
  <c r="C821" i="4" l="1"/>
  <c r="M822" i="3"/>
  <c r="AC821" i="3"/>
  <c r="AD821" i="3" s="1"/>
  <c r="N822" i="3" l="1"/>
  <c r="O822" i="3"/>
  <c r="AI822" i="3"/>
  <c r="G821" i="4"/>
  <c r="I821" i="4" s="1"/>
  <c r="J821" i="4" s="1"/>
  <c r="H821" i="4"/>
  <c r="P822" i="3" l="1"/>
  <c r="Q822" i="3" s="1"/>
  <c r="L822" i="4" s="1"/>
  <c r="K821" i="4"/>
  <c r="M821" i="4"/>
  <c r="V822" i="3" l="1"/>
  <c r="W822" i="3" s="1"/>
  <c r="X822" i="3" s="1"/>
  <c r="Y822" i="3" s="1"/>
  <c r="Z822" i="3" s="1"/>
  <c r="AA822" i="3" s="1"/>
  <c r="AB822" i="3" s="1"/>
  <c r="AC822" i="3" l="1"/>
  <c r="AD822" i="3" s="1"/>
  <c r="M823" i="3"/>
  <c r="C822" i="4"/>
  <c r="H822" i="4" l="1"/>
  <c r="G822" i="4"/>
  <c r="I822" i="4" s="1"/>
  <c r="J822" i="4" s="1"/>
  <c r="N823" i="3"/>
  <c r="AI823" i="3"/>
  <c r="O823" i="3"/>
  <c r="P823" i="3" l="1"/>
  <c r="Q823" i="3" s="1"/>
  <c r="M822" i="4"/>
  <c r="K822" i="4"/>
  <c r="L823" i="4" l="1"/>
  <c r="V823" i="3"/>
  <c r="W823" i="3" l="1"/>
  <c r="X823" i="3" s="1"/>
  <c r="Y823" i="3" s="1"/>
  <c r="Z823" i="3" s="1"/>
  <c r="AA823" i="3" s="1"/>
  <c r="AB823" i="3" s="1"/>
  <c r="C823" i="4" l="1"/>
  <c r="AC823" i="3"/>
  <c r="AD823" i="3" s="1"/>
  <c r="M824" i="3"/>
  <c r="O824" i="3" l="1"/>
  <c r="N824" i="3"/>
  <c r="AI824" i="3"/>
  <c r="H823" i="4"/>
  <c r="G823" i="4"/>
  <c r="I823" i="4" s="1"/>
  <c r="J823" i="4" s="1"/>
  <c r="P824" i="3" l="1"/>
  <c r="Q824" i="3" s="1"/>
  <c r="L824" i="4" s="1"/>
  <c r="M823" i="4"/>
  <c r="K823" i="4"/>
  <c r="V824" i="3" l="1"/>
  <c r="W824" i="3" s="1"/>
  <c r="X824" i="3" s="1"/>
  <c r="Y824" i="3" s="1"/>
  <c r="Z824" i="3" s="1"/>
  <c r="AA824" i="3" s="1"/>
  <c r="AB824" i="3" s="1"/>
  <c r="C824" i="4" l="1"/>
  <c r="AC824" i="3"/>
  <c r="AD824" i="3" s="1"/>
  <c r="M825" i="3"/>
  <c r="N825" i="3" l="1"/>
  <c r="AI825" i="3"/>
  <c r="O825" i="3"/>
  <c r="G824" i="4"/>
  <c r="I824" i="4" s="1"/>
  <c r="J824" i="4" s="1"/>
  <c r="H824" i="4"/>
  <c r="M824" i="4" l="1"/>
  <c r="K824" i="4"/>
  <c r="P825" i="3"/>
  <c r="Q825" i="3" s="1"/>
  <c r="L825" i="4" l="1"/>
  <c r="V825" i="3"/>
  <c r="W825" i="3" l="1"/>
  <c r="X825" i="3" s="1"/>
  <c r="Y825" i="3" s="1"/>
  <c r="Z825" i="3" s="1"/>
  <c r="AA825" i="3" s="1"/>
  <c r="AB825" i="3" s="1"/>
  <c r="M826" i="3" l="1"/>
  <c r="AC825" i="3"/>
  <c r="AD825" i="3" s="1"/>
  <c r="C825" i="4"/>
  <c r="H825" i="4" l="1"/>
  <c r="G825" i="4"/>
  <c r="I825" i="4" s="1"/>
  <c r="J825" i="4" s="1"/>
  <c r="N826" i="3"/>
  <c r="O826" i="3"/>
  <c r="AI826" i="3"/>
  <c r="P826" i="3" l="1"/>
  <c r="Q826" i="3" s="1"/>
  <c r="K825" i="4"/>
  <c r="M825" i="4"/>
  <c r="L826" i="4" l="1"/>
  <c r="C44" i="5" s="1"/>
  <c r="N44" i="5" s="1"/>
  <c r="V826" i="3"/>
  <c r="W826" i="3" l="1"/>
  <c r="X826" i="3" s="1"/>
  <c r="Y826" i="3" s="1"/>
  <c r="Z826" i="3" s="1"/>
  <c r="AA826" i="3" s="1"/>
  <c r="AB826" i="3" s="1"/>
  <c r="M827" i="3" l="1"/>
  <c r="AC826" i="3"/>
  <c r="AD826" i="3" s="1"/>
  <c r="C826" i="4"/>
  <c r="G826" i="4" l="1"/>
  <c r="I826" i="4" s="1"/>
  <c r="J826" i="4" s="1"/>
  <c r="H826" i="4"/>
  <c r="AI827" i="3"/>
  <c r="O827" i="3"/>
  <c r="N827" i="3"/>
  <c r="P827" i="3" l="1"/>
  <c r="Q827" i="3" s="1"/>
  <c r="L827" i="4" s="1"/>
  <c r="M826" i="4"/>
  <c r="K826" i="4"/>
  <c r="E44" i="5" s="1"/>
  <c r="D44" i="5"/>
  <c r="V827" i="3" l="1"/>
  <c r="W827" i="3" s="1"/>
  <c r="X827" i="3" s="1"/>
  <c r="Y827" i="3" s="1"/>
  <c r="Z827" i="3" s="1"/>
  <c r="AA827" i="3" s="1"/>
  <c r="AB827" i="3" s="1"/>
  <c r="C827" i="4" l="1"/>
  <c r="AC827" i="3"/>
  <c r="AD827" i="3" s="1"/>
  <c r="M828" i="3"/>
  <c r="O828" i="3" l="1"/>
  <c r="AI828" i="3"/>
  <c r="N828" i="3"/>
  <c r="G827" i="4"/>
  <c r="I827" i="4" s="1"/>
  <c r="J827" i="4" s="1"/>
  <c r="H827" i="4"/>
  <c r="P828" i="3" l="1"/>
  <c r="Q828" i="3" s="1"/>
  <c r="L828" i="4" s="1"/>
  <c r="K827" i="4"/>
  <c r="M827" i="4"/>
  <c r="V828" i="3" l="1"/>
  <c r="W828" i="3" s="1"/>
  <c r="X828" i="3" s="1"/>
  <c r="Y828" i="3" s="1"/>
  <c r="Z828" i="3" s="1"/>
  <c r="AA828" i="3" s="1"/>
  <c r="AB828" i="3" s="1"/>
  <c r="C828" i="4" l="1"/>
  <c r="AC828" i="3"/>
  <c r="AD828" i="3" s="1"/>
  <c r="M829" i="3"/>
  <c r="AI829" i="3" l="1"/>
  <c r="N829" i="3"/>
  <c r="O829" i="3"/>
  <c r="H828" i="4"/>
  <c r="G828" i="4"/>
  <c r="I828" i="4" s="1"/>
  <c r="J828" i="4" s="1"/>
  <c r="K828" i="4" l="1"/>
  <c r="M828" i="4"/>
  <c r="P829" i="3"/>
  <c r="Q829" i="3" s="1"/>
  <c r="L829" i="4" l="1"/>
  <c r="V829" i="3"/>
  <c r="W829" i="3" l="1"/>
  <c r="X829" i="3" s="1"/>
  <c r="Y829" i="3" s="1"/>
  <c r="Z829" i="3" s="1"/>
  <c r="AA829" i="3" s="1"/>
  <c r="AB829" i="3" s="1"/>
  <c r="M830" i="3" l="1"/>
  <c r="AC829" i="3"/>
  <c r="AD829" i="3" s="1"/>
  <c r="C829" i="4"/>
  <c r="H829" i="4" l="1"/>
  <c r="G829" i="4"/>
  <c r="I829" i="4" s="1"/>
  <c r="J829" i="4" s="1"/>
  <c r="N830" i="3"/>
  <c r="AI830" i="3"/>
  <c r="O830" i="3"/>
  <c r="M829" i="4" l="1"/>
  <c r="K829" i="4"/>
  <c r="P830" i="3"/>
  <c r="Q830" i="3" s="1"/>
  <c r="L830" i="4" l="1"/>
  <c r="V830" i="3"/>
  <c r="W830" i="3" l="1"/>
  <c r="X830" i="3" s="1"/>
  <c r="Y830" i="3" s="1"/>
  <c r="Z830" i="3" s="1"/>
  <c r="AA830" i="3" s="1"/>
  <c r="AB830" i="3" s="1"/>
  <c r="C830" i="4" l="1"/>
  <c r="AC830" i="3"/>
  <c r="AD830" i="3" s="1"/>
  <c r="M831" i="3"/>
  <c r="AI831" i="3" l="1"/>
  <c r="O831" i="3"/>
  <c r="N831" i="3"/>
  <c r="G830" i="4"/>
  <c r="I830" i="4" s="1"/>
  <c r="J830" i="4" s="1"/>
  <c r="H830" i="4"/>
  <c r="P831" i="3" l="1"/>
  <c r="Q831" i="3" s="1"/>
  <c r="L831" i="4" s="1"/>
  <c r="M830" i="4"/>
  <c r="K830" i="4"/>
  <c r="V831" i="3" l="1"/>
  <c r="W831" i="3" s="1"/>
  <c r="X831" i="3" s="1"/>
  <c r="Y831" i="3" s="1"/>
  <c r="Z831" i="3" s="1"/>
  <c r="AA831" i="3" s="1"/>
  <c r="AB831" i="3" s="1"/>
  <c r="C831" i="4" l="1"/>
  <c r="AC831" i="3"/>
  <c r="AD831" i="3" s="1"/>
  <c r="M832" i="3"/>
  <c r="N832" i="3" l="1"/>
  <c r="AI832" i="3"/>
  <c r="O832" i="3"/>
  <c r="H831" i="4"/>
  <c r="G831" i="4"/>
  <c r="I831" i="4" s="1"/>
  <c r="J831" i="4" s="1"/>
  <c r="M831" i="4" l="1"/>
  <c r="K831" i="4"/>
  <c r="P832" i="3"/>
  <c r="Q832" i="3" s="1"/>
  <c r="L832" i="4" l="1"/>
  <c r="V832" i="3"/>
  <c r="W832" i="3" l="1"/>
  <c r="X832" i="3" s="1"/>
  <c r="Y832" i="3" s="1"/>
  <c r="Z832" i="3" s="1"/>
  <c r="AA832" i="3" s="1"/>
  <c r="AB832" i="3" s="1"/>
  <c r="AC832" i="3" l="1"/>
  <c r="AD832" i="3" s="1"/>
  <c r="C832" i="4"/>
  <c r="M833" i="3"/>
  <c r="N833" i="3" l="1"/>
  <c r="AI833" i="3"/>
  <c r="O833" i="3"/>
  <c r="G832" i="4"/>
  <c r="I832" i="4" s="1"/>
  <c r="J832" i="4" s="1"/>
  <c r="H832" i="4"/>
  <c r="K832" i="4" l="1"/>
  <c r="M832" i="4"/>
  <c r="P833" i="3"/>
  <c r="Q833" i="3" s="1"/>
  <c r="L833" i="4" l="1"/>
  <c r="V833" i="3"/>
  <c r="W833" i="3" l="1"/>
  <c r="X833" i="3" s="1"/>
  <c r="Y833" i="3" s="1"/>
  <c r="Z833" i="3" s="1"/>
  <c r="AA833" i="3" s="1"/>
  <c r="AB833" i="3" s="1"/>
  <c r="AC833" i="3" l="1"/>
  <c r="AD833" i="3" s="1"/>
  <c r="C833" i="4"/>
  <c r="M834" i="3"/>
  <c r="N834" i="3" l="1"/>
  <c r="AI834" i="3"/>
  <c r="O834" i="3"/>
  <c r="G833" i="4"/>
  <c r="I833" i="4" s="1"/>
  <c r="J833" i="4" s="1"/>
  <c r="H833" i="4"/>
  <c r="K833" i="4" l="1"/>
  <c r="M833" i="4"/>
  <c r="P834" i="3"/>
  <c r="Q834" i="3" s="1"/>
  <c r="L834" i="4" l="1"/>
  <c r="V834" i="3"/>
  <c r="W834" i="3" l="1"/>
  <c r="X834" i="3" s="1"/>
  <c r="Y834" i="3" s="1"/>
  <c r="Z834" i="3" s="1"/>
  <c r="AA834" i="3" s="1"/>
  <c r="AB834" i="3" s="1"/>
  <c r="C834" i="4" l="1"/>
  <c r="AC834" i="3"/>
  <c r="AD834" i="3" s="1"/>
  <c r="M835" i="3"/>
  <c r="N835" i="3" l="1"/>
  <c r="AI835" i="3"/>
  <c r="O835" i="3"/>
  <c r="G834" i="4"/>
  <c r="I834" i="4" s="1"/>
  <c r="J834" i="4" s="1"/>
  <c r="H834" i="4"/>
  <c r="K834" i="4" l="1"/>
  <c r="M834" i="4"/>
  <c r="P835" i="3"/>
  <c r="Q835" i="3" s="1"/>
  <c r="L835" i="4" l="1"/>
  <c r="V835" i="3"/>
  <c r="W835" i="3" l="1"/>
  <c r="X835" i="3" s="1"/>
  <c r="Y835" i="3" s="1"/>
  <c r="Z835" i="3" s="1"/>
  <c r="AA835" i="3" s="1"/>
  <c r="AB835" i="3" s="1"/>
  <c r="AC835" i="3" l="1"/>
  <c r="AD835" i="3" s="1"/>
  <c r="M836" i="3"/>
  <c r="C835" i="4"/>
  <c r="H835" i="4" l="1"/>
  <c r="G835" i="4"/>
  <c r="I835" i="4" s="1"/>
  <c r="J835" i="4" s="1"/>
  <c r="O836" i="3"/>
  <c r="AI836" i="3"/>
  <c r="N836" i="3"/>
  <c r="P836" i="3" l="1"/>
  <c r="Q836" i="3" s="1"/>
  <c r="L836" i="4" s="1"/>
  <c r="M835" i="4"/>
  <c r="K835" i="4"/>
  <c r="V836" i="3" l="1"/>
  <c r="W836" i="3" s="1"/>
  <c r="X836" i="3" s="1"/>
  <c r="Y836" i="3" s="1"/>
  <c r="Z836" i="3" s="1"/>
  <c r="AA836" i="3" s="1"/>
  <c r="AB836" i="3" s="1"/>
  <c r="C836" i="4" l="1"/>
  <c r="M837" i="3"/>
  <c r="AC836" i="3"/>
  <c r="AD836" i="3" s="1"/>
  <c r="AI837" i="3" l="1"/>
  <c r="N837" i="3"/>
  <c r="O837" i="3"/>
  <c r="G836" i="4"/>
  <c r="I836" i="4" s="1"/>
  <c r="J836" i="4" s="1"/>
  <c r="H836" i="4"/>
  <c r="P837" i="3" l="1"/>
  <c r="Q837" i="3" s="1"/>
  <c r="L837" i="4" s="1"/>
  <c r="M836" i="4"/>
  <c r="K836" i="4"/>
  <c r="V837" i="3" l="1"/>
  <c r="W837" i="3" s="1"/>
  <c r="X837" i="3" s="1"/>
  <c r="Y837" i="3" s="1"/>
  <c r="Z837" i="3" s="1"/>
  <c r="AA837" i="3" s="1"/>
  <c r="AB837" i="3" s="1"/>
  <c r="C837" i="4" l="1"/>
  <c r="M838" i="3"/>
  <c r="AC837" i="3"/>
  <c r="AD837" i="3" s="1"/>
  <c r="AI838" i="3" l="1"/>
  <c r="N838" i="3"/>
  <c r="O838" i="3"/>
  <c r="H837" i="4"/>
  <c r="G837" i="4"/>
  <c r="I837" i="4" s="1"/>
  <c r="J837" i="4" s="1"/>
  <c r="M837" i="4" l="1"/>
  <c r="K837" i="4"/>
  <c r="P838" i="3"/>
  <c r="Q838" i="3" s="1"/>
  <c r="L838" i="4" l="1"/>
  <c r="V838" i="3"/>
  <c r="W838" i="3" l="1"/>
  <c r="X838" i="3" s="1"/>
  <c r="Y838" i="3" s="1"/>
  <c r="Z838" i="3" s="1"/>
  <c r="AA838" i="3" s="1"/>
  <c r="AB838" i="3" s="1"/>
  <c r="M839" i="3" l="1"/>
  <c r="C838" i="4"/>
  <c r="AC838" i="3"/>
  <c r="AD838" i="3" s="1"/>
  <c r="G838" i="4" l="1"/>
  <c r="I838" i="4" s="1"/>
  <c r="J838" i="4" s="1"/>
  <c r="H838" i="4"/>
  <c r="N839" i="3"/>
  <c r="O839" i="3"/>
  <c r="AI839" i="3"/>
  <c r="P839" i="3" l="1"/>
  <c r="Q839" i="3" s="1"/>
  <c r="M838" i="4"/>
  <c r="K838" i="4"/>
  <c r="L839" i="4" l="1"/>
  <c r="V839" i="3"/>
  <c r="W839" i="3" l="1"/>
  <c r="X839" i="3" s="1"/>
  <c r="Y839" i="3" s="1"/>
  <c r="Z839" i="3" s="1"/>
  <c r="AA839" i="3" s="1"/>
  <c r="AB839" i="3" s="1"/>
  <c r="M840" i="3" l="1"/>
  <c r="AC839" i="3"/>
  <c r="AD839" i="3" s="1"/>
  <c r="C839" i="4"/>
  <c r="H839" i="4" l="1"/>
  <c r="G839" i="4"/>
  <c r="I839" i="4" s="1"/>
  <c r="J839" i="4" s="1"/>
  <c r="AI840" i="3"/>
  <c r="O840" i="3"/>
  <c r="N840" i="3"/>
  <c r="P840" i="3" l="1"/>
  <c r="Q840" i="3" s="1"/>
  <c r="L840" i="4" s="1"/>
  <c r="M839" i="4"/>
  <c r="K839" i="4"/>
  <c r="V840" i="3" l="1"/>
  <c r="W840" i="3" s="1"/>
  <c r="X840" i="3" s="1"/>
  <c r="Y840" i="3" s="1"/>
  <c r="Z840" i="3" s="1"/>
  <c r="AA840" i="3" s="1"/>
  <c r="AB840" i="3" s="1"/>
  <c r="M841" i="3" l="1"/>
  <c r="C840" i="4"/>
  <c r="AC840" i="3"/>
  <c r="AD840" i="3" s="1"/>
  <c r="H840" i="4" l="1"/>
  <c r="G840" i="4"/>
  <c r="I840" i="4" s="1"/>
  <c r="J840" i="4" s="1"/>
  <c r="N841" i="3"/>
  <c r="AI841" i="3"/>
  <c r="O841" i="3"/>
  <c r="P841" i="3" l="1"/>
  <c r="Q841" i="3" s="1"/>
  <c r="K840" i="4"/>
  <c r="M840" i="4"/>
  <c r="L841" i="4" l="1"/>
  <c r="V841" i="3"/>
  <c r="W841" i="3" l="1"/>
  <c r="X841" i="3" s="1"/>
  <c r="Y841" i="3" s="1"/>
  <c r="Z841" i="3" s="1"/>
  <c r="AA841" i="3" s="1"/>
  <c r="AB841" i="3" s="1"/>
  <c r="M842" i="3" l="1"/>
  <c r="AC841" i="3"/>
  <c r="AD841" i="3" s="1"/>
  <c r="C841" i="4"/>
  <c r="H841" i="4" l="1"/>
  <c r="G841" i="4"/>
  <c r="I841" i="4" s="1"/>
  <c r="J841" i="4" s="1"/>
  <c r="N842" i="3"/>
  <c r="O842" i="3"/>
  <c r="AI842" i="3"/>
  <c r="P842" i="3" l="1"/>
  <c r="Q842" i="3" s="1"/>
  <c r="M841" i="4"/>
  <c r="K841" i="4"/>
  <c r="L842" i="4" l="1"/>
  <c r="V842" i="3"/>
  <c r="W842" i="3" l="1"/>
  <c r="X842" i="3" s="1"/>
  <c r="Y842" i="3" s="1"/>
  <c r="Z842" i="3" s="1"/>
  <c r="AA842" i="3" s="1"/>
  <c r="AB842" i="3" s="1"/>
  <c r="AC842" i="3" l="1"/>
  <c r="AD842" i="3" s="1"/>
  <c r="M843" i="3"/>
  <c r="C842" i="4"/>
  <c r="H842" i="4" l="1"/>
  <c r="G842" i="4"/>
  <c r="I842" i="4" s="1"/>
  <c r="J842" i="4" s="1"/>
  <c r="N843" i="3"/>
  <c r="O843" i="3"/>
  <c r="AI843" i="3"/>
  <c r="P843" i="3" l="1"/>
  <c r="Q843" i="3" s="1"/>
  <c r="L843" i="4" s="1"/>
  <c r="M842" i="4"/>
  <c r="K842" i="4"/>
  <c r="V843" i="3" l="1"/>
  <c r="W843" i="3" s="1"/>
  <c r="X843" i="3" s="1"/>
  <c r="Y843" i="3" s="1"/>
  <c r="Z843" i="3" s="1"/>
  <c r="AA843" i="3" s="1"/>
  <c r="AB843" i="3" s="1"/>
  <c r="C843" i="4" l="1"/>
  <c r="AC843" i="3"/>
  <c r="AD843" i="3" s="1"/>
  <c r="M844" i="3"/>
  <c r="AI844" i="3" l="1"/>
  <c r="O844" i="3"/>
  <c r="N844" i="3"/>
  <c r="H843" i="4"/>
  <c r="G843" i="4"/>
  <c r="I843" i="4" s="1"/>
  <c r="J843" i="4" s="1"/>
  <c r="P844" i="3" l="1"/>
  <c r="Q844" i="3" s="1"/>
  <c r="L844" i="4" s="1"/>
  <c r="K843" i="4"/>
  <c r="M843" i="4"/>
  <c r="V844" i="3" l="1"/>
  <c r="W844" i="3" s="1"/>
  <c r="X844" i="3" s="1"/>
  <c r="Y844" i="3" s="1"/>
  <c r="Z844" i="3" s="1"/>
  <c r="AA844" i="3" s="1"/>
  <c r="AB844" i="3" s="1"/>
  <c r="AC844" i="3" l="1"/>
  <c r="AD844" i="3" s="1"/>
  <c r="C844" i="4"/>
  <c r="M845" i="3"/>
  <c r="AI845" i="3" l="1"/>
  <c r="O845" i="3"/>
  <c r="N845" i="3"/>
  <c r="G844" i="4"/>
  <c r="I844" i="4" s="1"/>
  <c r="J844" i="4" s="1"/>
  <c r="H844" i="4"/>
  <c r="P845" i="3" l="1"/>
  <c r="Q845" i="3" s="1"/>
  <c r="L845" i="4" s="1"/>
  <c r="K844" i="4"/>
  <c r="M844" i="4"/>
  <c r="V845" i="3" l="1"/>
  <c r="W845" i="3" s="1"/>
  <c r="X845" i="3" s="1"/>
  <c r="Y845" i="3" s="1"/>
  <c r="Z845" i="3" s="1"/>
  <c r="AA845" i="3" s="1"/>
  <c r="AB845" i="3" s="1"/>
  <c r="AC845" i="3" l="1"/>
  <c r="AD845" i="3" s="1"/>
  <c r="M846" i="3"/>
  <c r="C845" i="4"/>
  <c r="H845" i="4" l="1"/>
  <c r="G845" i="4"/>
  <c r="I845" i="4" s="1"/>
  <c r="J845" i="4" s="1"/>
  <c r="N846" i="3"/>
  <c r="AI846" i="3"/>
  <c r="O846" i="3"/>
  <c r="P846" i="3" l="1"/>
  <c r="Q846" i="3" s="1"/>
  <c r="K845" i="4"/>
  <c r="M845" i="4"/>
  <c r="L846" i="4" l="1"/>
  <c r="V846" i="3"/>
  <c r="W846" i="3" l="1"/>
  <c r="X846" i="3" s="1"/>
  <c r="Y846" i="3" s="1"/>
  <c r="Z846" i="3" s="1"/>
  <c r="AA846" i="3" s="1"/>
  <c r="AB846" i="3" s="1"/>
  <c r="M847" i="3" l="1"/>
  <c r="AC846" i="3"/>
  <c r="AD846" i="3" s="1"/>
  <c r="C846" i="4"/>
  <c r="H846" i="4" l="1"/>
  <c r="G846" i="4"/>
  <c r="I846" i="4" s="1"/>
  <c r="J846" i="4" s="1"/>
  <c r="N847" i="3"/>
  <c r="O847" i="3"/>
  <c r="AI847" i="3"/>
  <c r="P847" i="3" l="1"/>
  <c r="Q847" i="3" s="1"/>
  <c r="L847" i="4" s="1"/>
  <c r="K846" i="4"/>
  <c r="M846" i="4"/>
  <c r="V847" i="3" l="1"/>
  <c r="W847" i="3" s="1"/>
  <c r="X847" i="3" s="1"/>
  <c r="Y847" i="3" s="1"/>
  <c r="Z847" i="3" s="1"/>
  <c r="AA847" i="3" s="1"/>
  <c r="AB847" i="3" s="1"/>
  <c r="M848" i="3" l="1"/>
  <c r="AC847" i="3"/>
  <c r="AD847" i="3" s="1"/>
  <c r="C847" i="4"/>
  <c r="H847" i="4" l="1"/>
  <c r="G847" i="4"/>
  <c r="I847" i="4" s="1"/>
  <c r="J847" i="4" s="1"/>
  <c r="O848" i="3"/>
  <c r="AI848" i="3"/>
  <c r="N848" i="3"/>
  <c r="P848" i="3" l="1"/>
  <c r="Q848" i="3" s="1"/>
  <c r="L848" i="4" s="1"/>
  <c r="M847" i="4"/>
  <c r="K847" i="4"/>
  <c r="V848" i="3" l="1"/>
  <c r="W848" i="3" s="1"/>
  <c r="X848" i="3" s="1"/>
  <c r="Y848" i="3" s="1"/>
  <c r="Z848" i="3" s="1"/>
  <c r="AA848" i="3" s="1"/>
  <c r="AB848" i="3" s="1"/>
  <c r="C848" i="4" l="1"/>
  <c r="M849" i="3"/>
  <c r="AC848" i="3"/>
  <c r="AD848" i="3" s="1"/>
  <c r="N849" i="3" l="1"/>
  <c r="O849" i="3"/>
  <c r="AI849" i="3"/>
  <c r="G848" i="4"/>
  <c r="I848" i="4" s="1"/>
  <c r="J848" i="4" s="1"/>
  <c r="H848" i="4"/>
  <c r="M848" i="4" l="1"/>
  <c r="K848" i="4"/>
  <c r="P849" i="3"/>
  <c r="Q849" i="3" s="1"/>
  <c r="L849" i="4" l="1"/>
  <c r="V849" i="3"/>
  <c r="W849" i="3" l="1"/>
  <c r="X849" i="3" s="1"/>
  <c r="Y849" i="3" s="1"/>
  <c r="Z849" i="3" s="1"/>
  <c r="AA849" i="3" s="1"/>
  <c r="AB849" i="3" s="1"/>
  <c r="M850" i="3" l="1"/>
  <c r="C849" i="4"/>
  <c r="AC849" i="3"/>
  <c r="AD849" i="3" s="1"/>
  <c r="G849" i="4" l="1"/>
  <c r="I849" i="4" s="1"/>
  <c r="J849" i="4" s="1"/>
  <c r="H849" i="4"/>
  <c r="AI850" i="3"/>
  <c r="N850" i="3"/>
  <c r="O850" i="3"/>
  <c r="P850" i="3" l="1"/>
  <c r="Q850" i="3" s="1"/>
  <c r="M849" i="4"/>
  <c r="K849" i="4"/>
  <c r="L850" i="4" l="1"/>
  <c r="V850" i="3"/>
  <c r="W850" i="3" l="1"/>
  <c r="X850" i="3" s="1"/>
  <c r="Y850" i="3" s="1"/>
  <c r="Z850" i="3" s="1"/>
  <c r="AA850" i="3" s="1"/>
  <c r="AB850" i="3" s="1"/>
  <c r="AC850" i="3" l="1"/>
  <c r="AD850" i="3" s="1"/>
  <c r="M851" i="3"/>
  <c r="C850" i="4"/>
  <c r="H850" i="4" l="1"/>
  <c r="G850" i="4"/>
  <c r="I850" i="4" s="1"/>
  <c r="J850" i="4" s="1"/>
  <c r="O851" i="3"/>
  <c r="AI851" i="3"/>
  <c r="N851" i="3"/>
  <c r="P851" i="3" l="1"/>
  <c r="Q851" i="3" s="1"/>
  <c r="V851" i="3" s="1"/>
  <c r="M850" i="4"/>
  <c r="K850" i="4"/>
  <c r="L851" i="4" l="1"/>
  <c r="W851" i="3"/>
  <c r="X851" i="3" s="1"/>
  <c r="Y851" i="3" s="1"/>
  <c r="Z851" i="3" s="1"/>
  <c r="AA851" i="3" s="1"/>
  <c r="AB851" i="3" s="1"/>
  <c r="AC851" i="3" l="1"/>
  <c r="AD851" i="3" s="1"/>
  <c r="C851" i="4"/>
  <c r="M852" i="3"/>
  <c r="AI852" i="3" l="1"/>
  <c r="N852" i="3"/>
  <c r="O852" i="3"/>
  <c r="G851" i="4"/>
  <c r="I851" i="4" s="1"/>
  <c r="J851" i="4" s="1"/>
  <c r="H851" i="4"/>
  <c r="P852" i="3" l="1"/>
  <c r="Q852" i="3" s="1"/>
  <c r="L852" i="4" s="1"/>
  <c r="M851" i="4"/>
  <c r="K851" i="4"/>
  <c r="V852" i="3" l="1"/>
  <c r="W852" i="3" s="1"/>
  <c r="X852" i="3" s="1"/>
  <c r="Y852" i="3" s="1"/>
  <c r="Z852" i="3" s="1"/>
  <c r="AA852" i="3" s="1"/>
  <c r="AB852" i="3" s="1"/>
  <c r="C852" i="4" l="1"/>
  <c r="AC852" i="3"/>
  <c r="AD852" i="3" s="1"/>
  <c r="M853" i="3"/>
  <c r="O853" i="3" l="1"/>
  <c r="N853" i="3"/>
  <c r="AI853" i="3"/>
  <c r="G852" i="4"/>
  <c r="I852" i="4" s="1"/>
  <c r="J852" i="4" s="1"/>
  <c r="H852" i="4"/>
  <c r="K852" i="4" l="1"/>
  <c r="M852" i="4"/>
  <c r="P853" i="3"/>
  <c r="Q853" i="3" s="1"/>
  <c r="L853" i="4" l="1"/>
  <c r="V853" i="3"/>
  <c r="W853" i="3" l="1"/>
  <c r="X853" i="3" s="1"/>
  <c r="Y853" i="3" s="1"/>
  <c r="Z853" i="3" s="1"/>
  <c r="AA853" i="3" s="1"/>
  <c r="AB853" i="3" s="1"/>
  <c r="AC853" i="3" l="1"/>
  <c r="AD853" i="3" s="1"/>
  <c r="M854" i="3"/>
  <c r="C853" i="4"/>
  <c r="H853" i="4" l="1"/>
  <c r="G853" i="4"/>
  <c r="I853" i="4" s="1"/>
  <c r="J853" i="4" s="1"/>
  <c r="N854" i="3"/>
  <c r="AI854" i="3"/>
  <c r="O854" i="3"/>
  <c r="P854" i="3" l="1"/>
  <c r="Q854" i="3" s="1"/>
  <c r="K853" i="4"/>
  <c r="M853" i="4"/>
  <c r="L854" i="4" l="1"/>
  <c r="V854" i="3"/>
  <c r="W854" i="3" l="1"/>
  <c r="X854" i="3" s="1"/>
  <c r="Y854" i="3" s="1"/>
  <c r="Z854" i="3" s="1"/>
  <c r="AA854" i="3" s="1"/>
  <c r="AB854" i="3" s="1"/>
  <c r="M855" i="3" l="1"/>
  <c r="AC854" i="3"/>
  <c r="AD854" i="3" s="1"/>
  <c r="C854" i="4"/>
  <c r="G854" i="4" l="1"/>
  <c r="I854" i="4" s="1"/>
  <c r="J854" i="4" s="1"/>
  <c r="H854" i="4"/>
  <c r="AI855" i="3"/>
  <c r="O855" i="3"/>
  <c r="N855" i="3"/>
  <c r="P855" i="3" l="1"/>
  <c r="Q855" i="3" s="1"/>
  <c r="K854" i="4"/>
  <c r="M854" i="4"/>
  <c r="L855" i="4" l="1"/>
  <c r="V855" i="3"/>
  <c r="W855" i="3" l="1"/>
  <c r="X855" i="3" s="1"/>
  <c r="Y855" i="3" s="1"/>
  <c r="Z855" i="3" s="1"/>
  <c r="AA855" i="3" s="1"/>
  <c r="AB855" i="3" s="1"/>
  <c r="AC855" i="3" l="1"/>
  <c r="AD855" i="3" s="1"/>
  <c r="C855" i="4"/>
  <c r="M856" i="3"/>
  <c r="N856" i="3" l="1"/>
  <c r="AI856" i="3"/>
  <c r="O856" i="3"/>
  <c r="H855" i="4"/>
  <c r="G855" i="4"/>
  <c r="I855" i="4" s="1"/>
  <c r="J855" i="4" s="1"/>
  <c r="K855" i="4" l="1"/>
  <c r="M855" i="4"/>
  <c r="P856" i="3"/>
  <c r="Q856" i="3" s="1"/>
  <c r="L856" i="4" l="1"/>
  <c r="V856" i="3"/>
  <c r="W856" i="3" l="1"/>
  <c r="X856" i="3" s="1"/>
  <c r="Y856" i="3" s="1"/>
  <c r="Z856" i="3" s="1"/>
  <c r="AA856" i="3" s="1"/>
  <c r="AB856" i="3" s="1"/>
  <c r="M857" i="3" l="1"/>
  <c r="C856" i="4"/>
  <c r="AC856" i="3"/>
  <c r="AD856" i="3" s="1"/>
  <c r="N857" i="3" l="1"/>
  <c r="AI857" i="3"/>
  <c r="O857" i="3"/>
  <c r="H856" i="4"/>
  <c r="G856" i="4"/>
  <c r="I856" i="4" s="1"/>
  <c r="J856" i="4" s="1"/>
  <c r="M856" i="4" l="1"/>
  <c r="K856" i="4"/>
  <c r="P857" i="3"/>
  <c r="Q857" i="3" s="1"/>
  <c r="L857" i="4" l="1"/>
  <c r="V857" i="3"/>
  <c r="W857" i="3" l="1"/>
  <c r="X857" i="3" s="1"/>
  <c r="Y857" i="3" s="1"/>
  <c r="Z857" i="3" s="1"/>
  <c r="AA857" i="3" s="1"/>
  <c r="AB857" i="3" s="1"/>
  <c r="M858" i="3" l="1"/>
  <c r="C857" i="4"/>
  <c r="AC857" i="3"/>
  <c r="AD857" i="3" s="1"/>
  <c r="G857" i="4" l="1"/>
  <c r="I857" i="4" s="1"/>
  <c r="J857" i="4" s="1"/>
  <c r="H857" i="4"/>
  <c r="AI858" i="3"/>
  <c r="N858" i="3"/>
  <c r="O858" i="3"/>
  <c r="P858" i="3" l="1"/>
  <c r="Q858" i="3" s="1"/>
  <c r="L858" i="4" s="1"/>
  <c r="M857" i="4"/>
  <c r="K857" i="4"/>
  <c r="V858" i="3" l="1"/>
  <c r="W858" i="3" s="1"/>
  <c r="X858" i="3" s="1"/>
  <c r="Y858" i="3" s="1"/>
  <c r="Z858" i="3" s="1"/>
  <c r="AA858" i="3" s="1"/>
  <c r="AB858" i="3" s="1"/>
  <c r="AC858" i="3" l="1"/>
  <c r="AD858" i="3" s="1"/>
  <c r="C858" i="4"/>
  <c r="M859" i="3"/>
  <c r="H858" i="4" l="1"/>
  <c r="G858" i="4"/>
  <c r="I858" i="4" s="1"/>
  <c r="J858" i="4" s="1"/>
  <c r="O859" i="3"/>
  <c r="N859" i="3"/>
  <c r="AI859" i="3"/>
  <c r="P859" i="3" l="1"/>
  <c r="Q859" i="3" s="1"/>
  <c r="L859" i="4" s="1"/>
  <c r="M858" i="4"/>
  <c r="K858" i="4"/>
  <c r="V859" i="3" l="1"/>
  <c r="W859" i="3" s="1"/>
  <c r="X859" i="3" l="1"/>
  <c r="Y859" i="3" s="1"/>
  <c r="Z859" i="3" s="1"/>
  <c r="AA859" i="3" s="1"/>
  <c r="AB859" i="3" s="1"/>
  <c r="AC859" i="3" s="1"/>
  <c r="AD859" i="3" s="1"/>
  <c r="M860" i="3" l="1"/>
  <c r="C859" i="4"/>
  <c r="H859" i="4" s="1"/>
  <c r="O860" i="3"/>
  <c r="AI860" i="3"/>
  <c r="N860" i="3"/>
  <c r="G859" i="4"/>
  <c r="I859" i="4" s="1"/>
  <c r="J859" i="4" s="1"/>
  <c r="P860" i="3" l="1"/>
  <c r="Q860" i="3" s="1"/>
  <c r="L860" i="4" s="1"/>
  <c r="K859" i="4"/>
  <c r="M859" i="4"/>
  <c r="V860" i="3" l="1"/>
  <c r="W860" i="3" s="1"/>
  <c r="X860" i="3" s="1"/>
  <c r="Y860" i="3" s="1"/>
  <c r="Z860" i="3" s="1"/>
  <c r="AA860" i="3" s="1"/>
  <c r="AB860" i="3" s="1"/>
  <c r="AC860" i="3" l="1"/>
  <c r="AD860" i="3" s="1"/>
  <c r="M861" i="3"/>
  <c r="C860" i="4"/>
  <c r="H860" i="4" l="1"/>
  <c r="G860" i="4"/>
  <c r="I860" i="4" s="1"/>
  <c r="J860" i="4" s="1"/>
  <c r="AI861" i="3"/>
  <c r="N861" i="3"/>
  <c r="O861" i="3"/>
  <c r="P861" i="3" l="1"/>
  <c r="Q861" i="3" s="1"/>
  <c r="K860" i="4"/>
  <c r="M860" i="4"/>
  <c r="L861" i="4" l="1"/>
  <c r="V861" i="3"/>
  <c r="W861" i="3" l="1"/>
  <c r="X861" i="3" s="1"/>
  <c r="Y861" i="3" s="1"/>
  <c r="Z861" i="3" s="1"/>
  <c r="AA861" i="3" s="1"/>
  <c r="AB861" i="3" s="1"/>
  <c r="AC861" i="3" l="1"/>
  <c r="AD861" i="3" s="1"/>
  <c r="C861" i="4"/>
  <c r="M862" i="3"/>
  <c r="O862" i="3" l="1"/>
  <c r="AI862" i="3"/>
  <c r="N862" i="3"/>
  <c r="G861" i="4"/>
  <c r="I861" i="4" s="1"/>
  <c r="J861" i="4" s="1"/>
  <c r="H861" i="4"/>
  <c r="P862" i="3" l="1"/>
  <c r="Q862" i="3" s="1"/>
  <c r="P863" i="3"/>
  <c r="M861" i="4"/>
  <c r="K861" i="4"/>
  <c r="C14" i="4" l="1"/>
  <c r="K19" i="3"/>
  <c r="L862" i="4"/>
  <c r="P19" i="3"/>
  <c r="Q863" i="3"/>
  <c r="V862" i="3"/>
  <c r="W862" i="3" l="1"/>
  <c r="X862" i="3" s="1"/>
  <c r="Y862" i="3" s="1"/>
  <c r="Z862" i="3" s="1"/>
  <c r="AA862" i="3" s="1"/>
  <c r="AB862" i="3" s="1"/>
  <c r="Q864" i="3"/>
  <c r="L863" i="4"/>
  <c r="AB864" i="3" l="1"/>
  <c r="AC862" i="3"/>
  <c r="AD862" i="3" s="1"/>
  <c r="AB863" i="3"/>
  <c r="C862" i="4"/>
  <c r="Q865" i="3"/>
  <c r="AB865" i="3" s="1"/>
  <c r="L864" i="4"/>
  <c r="G862" i="4" l="1"/>
  <c r="I862" i="4" s="1"/>
  <c r="J862" i="4" s="1"/>
  <c r="H862" i="4"/>
  <c r="AC863" i="3"/>
  <c r="AD863" i="3" s="1"/>
  <c r="C863" i="4"/>
  <c r="C864" i="4"/>
  <c r="AC864" i="3"/>
  <c r="AD864" i="3" s="1"/>
  <c r="AC865" i="3"/>
  <c r="AD865" i="3" s="1"/>
  <c r="C865" i="4"/>
  <c r="Q866" i="3"/>
  <c r="L865" i="4"/>
  <c r="H864" i="4" l="1"/>
  <c r="G864" i="4"/>
  <c r="I864" i="4" s="1"/>
  <c r="J864" i="4" s="1"/>
  <c r="Q867" i="3"/>
  <c r="L866" i="4"/>
  <c r="AB866" i="3"/>
  <c r="H863" i="4"/>
  <c r="G863" i="4"/>
  <c r="I863" i="4" s="1"/>
  <c r="J863" i="4" s="1"/>
  <c r="G865" i="4"/>
  <c r="I865" i="4" s="1"/>
  <c r="J865" i="4" s="1"/>
  <c r="H865" i="4"/>
  <c r="M862" i="4"/>
  <c r="K862" i="4"/>
  <c r="M865" i="4" l="1"/>
  <c r="K865" i="4"/>
  <c r="Q868" i="3"/>
  <c r="L867" i="4"/>
  <c r="AB867" i="3"/>
  <c r="K864" i="4"/>
  <c r="M864" i="4"/>
  <c r="K863" i="4"/>
  <c r="M863" i="4"/>
  <c r="AC866" i="3"/>
  <c r="AD866" i="3" s="1"/>
  <c r="C866" i="4"/>
  <c r="H866" i="4" l="1"/>
  <c r="G866" i="4"/>
  <c r="I866" i="4" s="1"/>
  <c r="J866" i="4" s="1"/>
  <c r="C867" i="4"/>
  <c r="AC867" i="3"/>
  <c r="AD867" i="3" s="1"/>
  <c r="Q869" i="3"/>
  <c r="L868" i="4"/>
  <c r="C45" i="5" s="1"/>
  <c r="N45" i="5" s="1"/>
  <c r="N47" i="5" s="1"/>
  <c r="C20" i="5" s="1"/>
  <c r="I36" i="12" s="1"/>
  <c r="AB868" i="3"/>
  <c r="G867" i="4" l="1"/>
  <c r="I867" i="4" s="1"/>
  <c r="J867" i="4" s="1"/>
  <c r="H867" i="4"/>
  <c r="K866" i="4"/>
  <c r="M866" i="4"/>
  <c r="C868" i="4"/>
  <c r="AC868" i="3"/>
  <c r="AD868" i="3" s="1"/>
  <c r="L869" i="4"/>
  <c r="Q870" i="3"/>
  <c r="AB869" i="3"/>
  <c r="Q871" i="3" l="1"/>
  <c r="L870" i="4"/>
  <c r="AB870" i="3"/>
  <c r="H868" i="4"/>
  <c r="G868" i="4"/>
  <c r="I868" i="4" s="1"/>
  <c r="J868" i="4" s="1"/>
  <c r="C869" i="4"/>
  <c r="AC869" i="3"/>
  <c r="AD869" i="3" s="1"/>
  <c r="M867" i="4"/>
  <c r="K867" i="4"/>
  <c r="H869" i="4" l="1"/>
  <c r="G869" i="4"/>
  <c r="I869" i="4" s="1"/>
  <c r="J869" i="4" s="1"/>
  <c r="M868" i="4"/>
  <c r="D45" i="5"/>
  <c r="K868" i="4"/>
  <c r="E45" i="5" s="1"/>
  <c r="AC870" i="3"/>
  <c r="AD870" i="3" s="1"/>
  <c r="C870" i="4"/>
  <c r="Q872" i="3"/>
  <c r="L871" i="4"/>
  <c r="AB871" i="3"/>
  <c r="AC871" i="3" l="1"/>
  <c r="AD871" i="3" s="1"/>
  <c r="C871" i="4"/>
  <c r="H870" i="4"/>
  <c r="G870" i="4"/>
  <c r="I870" i="4" s="1"/>
  <c r="J870" i="4" s="1"/>
  <c r="K869" i="4"/>
  <c r="M869" i="4"/>
  <c r="L872" i="4"/>
  <c r="Q873" i="3"/>
  <c r="AB872" i="3"/>
  <c r="L873" i="4" l="1"/>
  <c r="Q874" i="3"/>
  <c r="AB873" i="3"/>
  <c r="M870" i="4"/>
  <c r="K870" i="4"/>
  <c r="C872" i="4"/>
  <c r="AC872" i="3"/>
  <c r="AD872" i="3" s="1"/>
  <c r="G871" i="4"/>
  <c r="I871" i="4" s="1"/>
  <c r="J871" i="4" s="1"/>
  <c r="H871" i="4"/>
  <c r="K871" i="4" l="1"/>
  <c r="M871" i="4"/>
  <c r="C873" i="4"/>
  <c r="AC873" i="3"/>
  <c r="AD873" i="3" s="1"/>
  <c r="L874" i="4"/>
  <c r="Q875" i="3"/>
  <c r="AB874" i="3"/>
  <c r="H872" i="4"/>
  <c r="G872" i="4"/>
  <c r="I872" i="4" s="1"/>
  <c r="J872" i="4" s="1"/>
  <c r="C874" i="4" l="1"/>
  <c r="AC874" i="3"/>
  <c r="AD874" i="3" s="1"/>
  <c r="L875" i="4"/>
  <c r="Q876" i="3"/>
  <c r="AB875" i="3"/>
  <c r="G873" i="4"/>
  <c r="I873" i="4" s="1"/>
  <c r="J873" i="4" s="1"/>
  <c r="H873" i="4"/>
  <c r="K872" i="4"/>
  <c r="M872" i="4"/>
  <c r="M873" i="4" l="1"/>
  <c r="K873" i="4"/>
  <c r="C875" i="4"/>
  <c r="AC875" i="3"/>
  <c r="AD875" i="3" s="1"/>
  <c r="Q877" i="3"/>
  <c r="L876" i="4"/>
  <c r="AB876" i="3"/>
  <c r="G874" i="4"/>
  <c r="I874" i="4" s="1"/>
  <c r="J874" i="4" s="1"/>
  <c r="H874" i="4"/>
  <c r="K874" i="4" l="1"/>
  <c r="M874" i="4"/>
  <c r="L877" i="4"/>
  <c r="Q878" i="3"/>
  <c r="AB877" i="3"/>
  <c r="C876" i="4"/>
  <c r="AC876" i="3"/>
  <c r="AD876" i="3" s="1"/>
  <c r="G875" i="4"/>
  <c r="I875" i="4" s="1"/>
  <c r="J875" i="4" s="1"/>
  <c r="H875" i="4"/>
  <c r="AC877" i="3" l="1"/>
  <c r="AD877" i="3" s="1"/>
  <c r="C877" i="4"/>
  <c r="M875" i="4"/>
  <c r="K875" i="4"/>
  <c r="G876" i="4"/>
  <c r="I876" i="4" s="1"/>
  <c r="J876" i="4" s="1"/>
  <c r="H876" i="4"/>
  <c r="L878" i="4"/>
  <c r="Q879" i="3"/>
  <c r="AB878" i="3"/>
  <c r="AC878" i="3" l="1"/>
  <c r="AD878" i="3" s="1"/>
  <c r="C878" i="4"/>
  <c r="L879" i="4"/>
  <c r="Q880" i="3"/>
  <c r="AB879" i="3"/>
  <c r="K876" i="4"/>
  <c r="M876" i="4"/>
  <c r="H877" i="4"/>
  <c r="G877" i="4"/>
  <c r="I877" i="4" s="1"/>
  <c r="J877" i="4" s="1"/>
  <c r="K877" i="4" l="1"/>
  <c r="M877" i="4"/>
  <c r="C879" i="4"/>
  <c r="AC879" i="3"/>
  <c r="AD879" i="3" s="1"/>
  <c r="L880" i="4"/>
  <c r="Q881" i="3"/>
  <c r="AB880" i="3"/>
  <c r="G878" i="4"/>
  <c r="I878" i="4" s="1"/>
  <c r="J878" i="4" s="1"/>
  <c r="H878" i="4"/>
  <c r="M878" i="4" l="1"/>
  <c r="K878" i="4"/>
  <c r="L881" i="4"/>
  <c r="Q882" i="3"/>
  <c r="AB881" i="3"/>
  <c r="C880" i="4"/>
  <c r="AC880" i="3"/>
  <c r="AD880" i="3" s="1"/>
  <c r="G879" i="4"/>
  <c r="I879" i="4" s="1"/>
  <c r="J879" i="4" s="1"/>
  <c r="H879" i="4"/>
  <c r="AC881" i="3" l="1"/>
  <c r="AD881" i="3" s="1"/>
  <c r="C881" i="4"/>
  <c r="K879" i="4"/>
  <c r="M879" i="4"/>
  <c r="G880" i="4"/>
  <c r="I880" i="4" s="1"/>
  <c r="J880" i="4" s="1"/>
  <c r="H880" i="4"/>
  <c r="L882" i="4"/>
  <c r="Q883" i="3"/>
  <c r="AB882" i="3"/>
  <c r="L883" i="4" l="1"/>
  <c r="Q884" i="3"/>
  <c r="AB883" i="3"/>
  <c r="K880" i="4"/>
  <c r="M880" i="4"/>
  <c r="C882" i="4"/>
  <c r="AC882" i="3"/>
  <c r="AD882" i="3" s="1"/>
  <c r="G881" i="4"/>
  <c r="I881" i="4" s="1"/>
  <c r="J881" i="4" s="1"/>
  <c r="H881" i="4"/>
  <c r="K881" i="4" l="1"/>
  <c r="M881" i="4"/>
  <c r="H882" i="4"/>
  <c r="G882" i="4"/>
  <c r="I882" i="4" s="1"/>
  <c r="J882" i="4" s="1"/>
  <c r="AC883" i="3"/>
  <c r="AD883" i="3" s="1"/>
  <c r="C883" i="4"/>
  <c r="L884" i="4"/>
  <c r="Q885" i="3"/>
  <c r="AB884" i="3"/>
  <c r="C884" i="4" l="1"/>
  <c r="AC884" i="3"/>
  <c r="AD884" i="3" s="1"/>
  <c r="M882" i="4"/>
  <c r="K882" i="4"/>
  <c r="Q886" i="3"/>
  <c r="L885" i="4"/>
  <c r="AB885" i="3"/>
  <c r="H883" i="4"/>
  <c r="G883" i="4"/>
  <c r="I883" i="4" s="1"/>
  <c r="J883" i="4" s="1"/>
  <c r="M883" i="4" l="1"/>
  <c r="K883" i="4"/>
  <c r="C885" i="4"/>
  <c r="AC885" i="3"/>
  <c r="AD885" i="3" s="1"/>
  <c r="L886" i="4"/>
  <c r="Q887" i="3"/>
  <c r="AB886" i="3"/>
  <c r="G884" i="4"/>
  <c r="I884" i="4" s="1"/>
  <c r="J884" i="4" s="1"/>
  <c r="H884" i="4"/>
  <c r="C886" i="4" l="1"/>
  <c r="AC886" i="3"/>
  <c r="AD886" i="3" s="1"/>
  <c r="K884" i="4"/>
  <c r="M884" i="4"/>
  <c r="Q888" i="3"/>
  <c r="L887" i="4"/>
  <c r="AB887" i="3"/>
  <c r="G885" i="4"/>
  <c r="I885" i="4" s="1"/>
  <c r="J885" i="4" s="1"/>
  <c r="H885" i="4"/>
  <c r="M885" i="4" l="1"/>
  <c r="K885" i="4"/>
  <c r="C887" i="4"/>
  <c r="AC887" i="3"/>
  <c r="AD887" i="3" s="1"/>
  <c r="Q889" i="3"/>
  <c r="L888" i="4"/>
  <c r="AB888" i="3"/>
  <c r="H886" i="4"/>
  <c r="G886" i="4"/>
  <c r="I886" i="4" s="1"/>
  <c r="J886" i="4" s="1"/>
  <c r="M886" i="4" l="1"/>
  <c r="K886" i="4"/>
  <c r="Q890" i="3"/>
  <c r="L889" i="4"/>
  <c r="AB889" i="3"/>
  <c r="C888" i="4"/>
  <c r="AC888" i="3"/>
  <c r="AD888" i="3" s="1"/>
  <c r="H887" i="4"/>
  <c r="G887" i="4"/>
  <c r="I887" i="4" s="1"/>
  <c r="J887" i="4" s="1"/>
  <c r="K887" i="4" l="1"/>
  <c r="M887" i="4"/>
  <c r="H888" i="4"/>
  <c r="G888" i="4"/>
  <c r="I888" i="4" s="1"/>
  <c r="J888" i="4" s="1"/>
  <c r="C889" i="4"/>
  <c r="AC889" i="3"/>
  <c r="AD889" i="3" s="1"/>
  <c r="Q891" i="3"/>
  <c r="L890" i="4"/>
  <c r="AB890" i="3"/>
  <c r="AC890" i="3" l="1"/>
  <c r="AD890" i="3" s="1"/>
  <c r="C890" i="4"/>
  <c r="K888" i="4"/>
  <c r="M888" i="4"/>
  <c r="L891" i="4"/>
  <c r="Q892" i="3"/>
  <c r="AB891" i="3"/>
  <c r="G889" i="4"/>
  <c r="I889" i="4" s="1"/>
  <c r="J889" i="4" s="1"/>
  <c r="H889" i="4"/>
  <c r="M889" i="4" l="1"/>
  <c r="K889" i="4"/>
  <c r="AC891" i="3"/>
  <c r="AD891" i="3" s="1"/>
  <c r="C891" i="4"/>
  <c r="Q893" i="3"/>
  <c r="L892" i="4"/>
  <c r="AB892" i="3"/>
  <c r="H890" i="4"/>
  <c r="G890" i="4"/>
  <c r="I890" i="4" s="1"/>
  <c r="J890" i="4" s="1"/>
  <c r="Q894" i="3" l="1"/>
  <c r="L893" i="4"/>
  <c r="AB893" i="3"/>
  <c r="K890" i="4"/>
  <c r="M890" i="4"/>
  <c r="AC892" i="3"/>
  <c r="AD892" i="3" s="1"/>
  <c r="C892" i="4"/>
  <c r="H891" i="4"/>
  <c r="G891" i="4"/>
  <c r="I891" i="4" s="1"/>
  <c r="J891" i="4" s="1"/>
  <c r="K891" i="4" l="1"/>
  <c r="M891" i="4"/>
  <c r="H892" i="4"/>
  <c r="G892" i="4"/>
  <c r="I892" i="4" s="1"/>
  <c r="J892" i="4" s="1"/>
  <c r="C893" i="4"/>
  <c r="AC893" i="3"/>
  <c r="AD893" i="3" s="1"/>
  <c r="L894" i="4"/>
  <c r="Q895" i="3"/>
  <c r="AB894" i="3"/>
  <c r="L895" i="4" l="1"/>
  <c r="Q896" i="3"/>
  <c r="AB895" i="3"/>
  <c r="M892" i="4"/>
  <c r="K892" i="4"/>
  <c r="AC894" i="3"/>
  <c r="AD894" i="3" s="1"/>
  <c r="C894" i="4"/>
  <c r="H893" i="4"/>
  <c r="G893" i="4"/>
  <c r="I893" i="4" s="1"/>
  <c r="J893" i="4" s="1"/>
  <c r="G894" i="4" l="1"/>
  <c r="I894" i="4" s="1"/>
  <c r="J894" i="4" s="1"/>
  <c r="H894" i="4"/>
  <c r="AC895" i="3"/>
  <c r="AD895" i="3" s="1"/>
  <c r="C895" i="4"/>
  <c r="Q897" i="3"/>
  <c r="L896" i="4"/>
  <c r="AB896" i="3"/>
  <c r="M893" i="4"/>
  <c r="K893" i="4"/>
  <c r="L897" i="4" l="1"/>
  <c r="Q898" i="3"/>
  <c r="AB897" i="3"/>
  <c r="C896" i="4"/>
  <c r="AC896" i="3"/>
  <c r="AD896" i="3" s="1"/>
  <c r="H895" i="4"/>
  <c r="G895" i="4"/>
  <c r="I895" i="4" s="1"/>
  <c r="J895" i="4" s="1"/>
  <c r="K894" i="4"/>
  <c r="M894" i="4"/>
  <c r="G896" i="4" l="1"/>
  <c r="I896" i="4" s="1"/>
  <c r="J896" i="4" s="1"/>
  <c r="H896" i="4"/>
  <c r="M895" i="4"/>
  <c r="K895" i="4"/>
  <c r="C897" i="4"/>
  <c r="AC897" i="3"/>
  <c r="AD897" i="3" s="1"/>
  <c r="Q899" i="3"/>
  <c r="L898" i="4"/>
  <c r="AB898" i="3"/>
  <c r="C898" i="4" l="1"/>
  <c r="AC898" i="3"/>
  <c r="AD898" i="3" s="1"/>
  <c r="L899" i="4"/>
  <c r="Q900" i="3"/>
  <c r="AB899" i="3"/>
  <c r="H897" i="4"/>
  <c r="G897" i="4"/>
  <c r="I897" i="4" s="1"/>
  <c r="J897" i="4" s="1"/>
  <c r="K896" i="4"/>
  <c r="M896" i="4"/>
  <c r="K897" i="4" l="1"/>
  <c r="M897" i="4"/>
  <c r="AC899" i="3"/>
  <c r="AD899" i="3" s="1"/>
  <c r="C899" i="4"/>
  <c r="L900" i="4"/>
  <c r="Q901" i="3"/>
  <c r="AB900" i="3"/>
  <c r="G898" i="4"/>
  <c r="I898" i="4" s="1"/>
  <c r="J898" i="4" s="1"/>
  <c r="H898" i="4"/>
  <c r="AC900" i="3" l="1"/>
  <c r="AD900" i="3" s="1"/>
  <c r="C900" i="4"/>
  <c r="K898" i="4"/>
  <c r="M898" i="4"/>
  <c r="L901" i="4"/>
  <c r="Q902" i="3"/>
  <c r="AB901" i="3"/>
  <c r="H899" i="4"/>
  <c r="G899" i="4"/>
  <c r="I899" i="4" s="1"/>
  <c r="J899" i="4" s="1"/>
  <c r="K899" i="4" l="1"/>
  <c r="M899" i="4"/>
  <c r="AC901" i="3"/>
  <c r="AD901" i="3" s="1"/>
  <c r="C901" i="4"/>
  <c r="L902" i="4"/>
  <c r="Q903" i="3"/>
  <c r="AB902" i="3"/>
  <c r="G900" i="4"/>
  <c r="I900" i="4" s="1"/>
  <c r="J900" i="4" s="1"/>
  <c r="H900" i="4"/>
  <c r="C902" i="4" l="1"/>
  <c r="AC902" i="3"/>
  <c r="AD902" i="3" s="1"/>
  <c r="K900" i="4"/>
  <c r="M900" i="4"/>
  <c r="L903" i="4"/>
  <c r="Q904" i="3"/>
  <c r="AB903" i="3"/>
  <c r="G901" i="4"/>
  <c r="I901" i="4" s="1"/>
  <c r="J901" i="4" s="1"/>
  <c r="H901" i="4"/>
  <c r="M901" i="4" l="1"/>
  <c r="K901" i="4"/>
  <c r="C903" i="4"/>
  <c r="AC903" i="3"/>
  <c r="AD903" i="3" s="1"/>
  <c r="Q905" i="3"/>
  <c r="L904" i="4"/>
  <c r="AB904" i="3"/>
  <c r="H902" i="4"/>
  <c r="G902" i="4"/>
  <c r="I902" i="4" s="1"/>
  <c r="J902" i="4" s="1"/>
  <c r="M902" i="4" l="1"/>
  <c r="K902" i="4"/>
  <c r="Q906" i="3"/>
  <c r="L905" i="4"/>
  <c r="AB905" i="3"/>
  <c r="C904" i="4"/>
  <c r="AC904" i="3"/>
  <c r="AD904" i="3" s="1"/>
  <c r="G903" i="4"/>
  <c r="I903" i="4" s="1"/>
  <c r="J903" i="4" s="1"/>
  <c r="H903" i="4"/>
  <c r="M903" i="4" l="1"/>
  <c r="K903" i="4"/>
  <c r="C905" i="4"/>
  <c r="AC905" i="3"/>
  <c r="AD905" i="3" s="1"/>
  <c r="H904" i="4"/>
  <c r="G904" i="4"/>
  <c r="I904" i="4" s="1"/>
  <c r="J904" i="4" s="1"/>
  <c r="L906" i="4"/>
  <c r="Q907" i="3"/>
  <c r="AB906" i="3"/>
  <c r="L907" i="4" l="1"/>
  <c r="Q908" i="3"/>
  <c r="AB907" i="3"/>
  <c r="C906" i="4"/>
  <c r="AC906" i="3"/>
  <c r="AD906" i="3" s="1"/>
  <c r="K904" i="4"/>
  <c r="M904" i="4"/>
  <c r="G905" i="4"/>
  <c r="I905" i="4" s="1"/>
  <c r="J905" i="4" s="1"/>
  <c r="H905" i="4"/>
  <c r="AC907" i="3" l="1"/>
  <c r="AD907" i="3" s="1"/>
  <c r="C907" i="4"/>
  <c r="K905" i="4"/>
  <c r="M905" i="4"/>
  <c r="H906" i="4"/>
  <c r="G906" i="4"/>
  <c r="I906" i="4" s="1"/>
  <c r="J906" i="4" s="1"/>
  <c r="Q909" i="3"/>
  <c r="L908" i="4"/>
  <c r="AB908" i="3"/>
  <c r="P23" i="4" l="1"/>
  <c r="P20" i="3"/>
  <c r="Q910" i="3"/>
  <c r="L910" i="4" s="1"/>
  <c r="C46" i="5" s="1"/>
  <c r="N46" i="5" s="1"/>
  <c r="K23" i="4"/>
  <c r="D15" i="5" s="1"/>
  <c r="K20" i="3"/>
  <c r="L909" i="4"/>
  <c r="AB909" i="3"/>
  <c r="K906" i="4"/>
  <c r="M906" i="4"/>
  <c r="C908" i="4"/>
  <c r="AC908" i="3"/>
  <c r="AD908" i="3" s="1"/>
  <c r="G907" i="4"/>
  <c r="I907" i="4" s="1"/>
  <c r="J907" i="4" s="1"/>
  <c r="H907" i="4"/>
  <c r="K907" i="4" l="1"/>
  <c r="M907" i="4"/>
  <c r="H908" i="4"/>
  <c r="G908" i="4"/>
  <c r="I908" i="4" s="1"/>
  <c r="J908" i="4" s="1"/>
  <c r="AC909" i="3"/>
  <c r="C909" i="4"/>
  <c r="AD909" i="3" l="1"/>
  <c r="AB22" i="3"/>
  <c r="K908" i="4"/>
  <c r="M908" i="4"/>
  <c r="G909" i="4"/>
  <c r="I909" i="4" s="1"/>
  <c r="H909" i="4"/>
  <c r="C8" i="18" l="1"/>
  <c r="D72" i="18" s="1"/>
  <c r="C6" i="19"/>
  <c r="C36" i="19" s="1"/>
  <c r="C7" i="19"/>
  <c r="C39" i="19" s="1"/>
  <c r="D19" i="18"/>
  <c r="D37" i="18"/>
  <c r="D43" i="18"/>
  <c r="D41" i="18"/>
  <c r="D24" i="18"/>
  <c r="D22" i="18"/>
  <c r="D42" i="18"/>
  <c r="D33" i="18"/>
  <c r="D39" i="18"/>
  <c r="D21" i="18"/>
  <c r="D34" i="18"/>
  <c r="D25" i="18"/>
  <c r="D31" i="18"/>
  <c r="D45" i="18"/>
  <c r="D26" i="18"/>
  <c r="D36" i="18"/>
  <c r="D23" i="18"/>
  <c r="D38" i="18"/>
  <c r="D44" i="18"/>
  <c r="D27" i="18"/>
  <c r="D30" i="18"/>
  <c r="D28" i="18"/>
  <c r="D29" i="18"/>
  <c r="D35" i="18"/>
  <c r="D40" i="18"/>
  <c r="D20" i="18"/>
  <c r="D32" i="18"/>
  <c r="D46" i="18"/>
  <c r="D47" i="18"/>
  <c r="D48" i="18"/>
  <c r="D49" i="18"/>
  <c r="D50" i="18"/>
  <c r="D51" i="18"/>
  <c r="D52" i="18"/>
  <c r="D53" i="18"/>
  <c r="D54" i="18"/>
  <c r="D55" i="18"/>
  <c r="D56" i="18"/>
  <c r="D57" i="18"/>
  <c r="D58" i="18"/>
  <c r="D59" i="18"/>
  <c r="D60" i="18"/>
  <c r="D61" i="18"/>
  <c r="D62" i="18"/>
  <c r="D63" i="18"/>
  <c r="D64" i="18"/>
  <c r="D65" i="18"/>
  <c r="D66" i="18"/>
  <c r="D67" i="18"/>
  <c r="D68" i="18"/>
  <c r="D69" i="18"/>
  <c r="D70" i="18"/>
  <c r="D71" i="18"/>
  <c r="J909" i="4"/>
  <c r="I910" i="4"/>
  <c r="C12" i="4"/>
  <c r="C13" i="4"/>
  <c r="C12" i="11" s="1"/>
  <c r="AA908" i="3"/>
  <c r="AA909" i="3" s="1"/>
  <c r="K18" i="3"/>
  <c r="P18" i="3"/>
  <c r="C61" i="19" l="1"/>
  <c r="D33" i="19" s="1"/>
  <c r="C57" i="19"/>
  <c r="Z17" i="11"/>
  <c r="Y17" i="11"/>
  <c r="Y23" i="11" s="1"/>
  <c r="J910" i="4"/>
  <c r="C15" i="4"/>
  <c r="K909" i="4"/>
  <c r="M909" i="4"/>
  <c r="M910" i="4" l="1"/>
  <c r="L911" i="4" s="1"/>
  <c r="K910" i="4"/>
  <c r="E46" i="5" s="1"/>
  <c r="D46" i="5"/>
  <c r="C16" i="4"/>
  <c r="C10" i="19" s="1"/>
  <c r="Y26" i="11"/>
  <c r="Y27" i="11"/>
  <c r="Z23" i="11"/>
  <c r="AA17" i="11"/>
  <c r="AA23" i="11" s="1"/>
  <c r="Z26" i="11" l="1"/>
  <c r="Z27" i="11"/>
  <c r="P21" i="4"/>
  <c r="K21" i="4"/>
  <c r="C18" i="4"/>
  <c r="D16" i="5" s="1"/>
  <c r="C19" i="4"/>
  <c r="D17" i="5" s="1"/>
  <c r="C17" i="4"/>
  <c r="K22" i="4" l="1"/>
  <c r="P22" i="4"/>
  <c r="D14" i="5" s="1"/>
  <c r="D11" i="5"/>
  <c r="D12" i="5" s="1"/>
  <c r="D13" i="5" l="1"/>
  <c r="E17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Leonardo Valadez Ortiz</author>
    <author>Ruben Garcia</author>
  </authors>
  <commentList>
    <comment ref="K4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1/(1-n)
</t>
        </r>
      </text>
    </comment>
    <comment ref="M35" authorId="1" shapeId="0" xr:uid="{00000000-0006-0000-0200-000002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depends on ablative and inner case Diam.</t>
        </r>
      </text>
    </comment>
    <comment ref="M38" authorId="1" shapeId="0" xr:uid="{00000000-0006-0000-0200-000003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ratio check</t>
        </r>
      </text>
    </comment>
    <comment ref="N38" authorId="1" shapeId="0" xr:uid="{00000000-0006-0000-0200-000004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if cartuche is 2 times greater</t>
        </r>
      </text>
    </comment>
    <comment ref="M72" authorId="1" shapeId="0" xr:uid="{00000000-0006-0000-0200-000005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operating chamber pressure</t>
        </r>
      </text>
    </comment>
    <comment ref="P72" authorId="1" shapeId="0" xr:uid="{00000000-0006-0000-0200-000006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operating chamber pressure</t>
        </r>
      </text>
    </comment>
    <comment ref="M73" authorId="1" shapeId="0" xr:uid="{00000000-0006-0000-0200-000007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total failure</t>
        </r>
      </text>
    </comment>
    <comment ref="P73" authorId="1" shapeId="0" xr:uid="{00000000-0006-0000-0200-000008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total failure</t>
        </r>
      </text>
    </comment>
    <comment ref="M114" authorId="1" shapeId="0" xr:uid="{00000000-0006-0000-0200-000009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operating chamber pressure</t>
        </r>
      </text>
    </comment>
    <comment ref="P114" authorId="1" shapeId="0" xr:uid="{00000000-0006-0000-0200-00000A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operating chamber pressure</t>
        </r>
      </text>
    </comment>
    <comment ref="M115" authorId="1" shapeId="0" xr:uid="{00000000-0006-0000-0200-00000B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total failure</t>
        </r>
      </text>
    </comment>
    <comment ref="P115" authorId="1" shapeId="0" xr:uid="{00000000-0006-0000-0200-00000C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total failure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Richard   Nakka</author>
    <author>Leonardo Valadez Ortiz</author>
    <author>vq591d</author>
  </authors>
  <commentList>
    <comment ref="C6" authorId="0" shapeId="0" xr:uid="{00000000-0006-0000-0300-000001000000}">
      <text>
        <r>
          <rPr>
            <b/>
            <sz val="8"/>
            <color indexed="81"/>
            <rFont val="Tahoma"/>
            <family val="2"/>
          </rPr>
          <t>Enter title in this box.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Dc = Dablative - thicknesAblative
</t>
        </r>
      </text>
    </comment>
    <comment ref="C11" authorId="0" shapeId="0" xr:uid="{00000000-0006-0000-0300-000003000000}">
      <text>
        <r>
          <rPr>
            <b/>
            <sz val="8"/>
            <color indexed="81"/>
            <rFont val="Tahoma"/>
            <family val="2"/>
          </rPr>
          <t>Length from throat to bulkhead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25" authorId="0" shapeId="0" xr:uid="{00000000-0006-0000-0300-000004000000}">
      <text>
        <r>
          <rPr>
            <b/>
            <sz val="8"/>
            <color indexed="81"/>
            <rFont val="Tahoma"/>
            <family val="2"/>
          </rPr>
          <t>Fraction of chamber volume utilized for propellant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27" authorId="0" shapeId="0" xr:uid="{00000000-0006-0000-0300-000005000000}">
      <text>
        <r>
          <rPr>
            <b/>
            <sz val="8"/>
            <color indexed="81"/>
            <rFont val="Tahoma"/>
            <family val="2"/>
          </rPr>
          <t>Typically 0.90 to 0.98</t>
        </r>
      </text>
    </comment>
    <comment ref="X31" authorId="0" shapeId="0" xr:uid="{00000000-0006-0000-0300-000006000000}">
      <text>
        <r>
          <rPr>
            <b/>
            <sz val="8"/>
            <color indexed="81"/>
            <rFont val="Tahoma"/>
            <family val="2"/>
          </rPr>
          <t>See "Propellant Data" worksheet...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34" authorId="2" shapeId="0" xr:uid="{00000000-0006-0000-0300-000007000000}">
      <text>
        <r>
          <rPr>
            <b/>
            <sz val="8"/>
            <color indexed="81"/>
            <rFont val="Tahoma"/>
            <family val="2"/>
          </rPr>
          <t>Select target value for max chamber pressure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35" authorId="0" shapeId="0" xr:uid="{00000000-0006-0000-0300-000008000000}">
      <text>
        <r>
          <rPr>
            <b/>
            <sz val="8"/>
            <color indexed="81"/>
            <rFont val="Tahoma"/>
            <family val="2"/>
          </rPr>
          <t>A key design parameter, the Kn sizes the throat diameter and determines chamber pressure.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39" authorId="0" shapeId="0" xr:uid="{00000000-0006-0000-0300-000009000000}">
      <text>
        <r>
          <rPr>
            <sz val="8"/>
            <color indexed="81"/>
            <rFont val="Tahoma"/>
            <family val="2"/>
          </rPr>
          <t xml:space="preserve">Increase in throat  diameter due to erosion. Usually set to zero.
</t>
        </r>
      </text>
    </comment>
    <comment ref="E42" authorId="0" shapeId="0" xr:uid="{00000000-0006-0000-0300-00000A000000}">
      <text>
        <r>
          <rPr>
            <b/>
            <sz val="8"/>
            <color indexed="81"/>
            <rFont val="Tahoma"/>
            <family val="2"/>
          </rPr>
          <t>This table provides the values of Kn as the web regresses during burning.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43" authorId="0" shapeId="0" xr:uid="{00000000-0006-0000-0300-00000B000000}">
      <text>
        <r>
          <rPr>
            <b/>
            <sz val="8"/>
            <color indexed="81"/>
            <rFont val="Tahoma"/>
            <family val="2"/>
          </rPr>
          <t>Grain regression (depth burned)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43" authorId="0" shapeId="0" xr:uid="{00000000-0006-0000-0300-00000C000000}">
      <text>
        <r>
          <rPr>
            <b/>
            <sz val="8"/>
            <color indexed="81"/>
            <rFont val="Tahoma"/>
            <family val="2"/>
          </rPr>
          <t>Core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43" authorId="0" shapeId="0" xr:uid="{00000000-0006-0000-0300-00000D000000}">
      <text>
        <r>
          <rPr>
            <b/>
            <sz val="8"/>
            <color indexed="81"/>
            <rFont val="Tahoma"/>
            <family val="2"/>
          </rPr>
          <t>Grain outer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3" authorId="0" shapeId="0" xr:uid="{00000000-0006-0000-0300-00000E000000}">
      <text>
        <r>
          <rPr>
            <b/>
            <sz val="8"/>
            <color indexed="81"/>
            <rFont val="Tahoma"/>
            <family val="2"/>
          </rPr>
          <t>Grain total length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3" authorId="0" shapeId="0" xr:uid="{00000000-0006-0000-0300-00000F000000}">
      <text>
        <r>
          <rPr>
            <b/>
            <sz val="8"/>
            <color indexed="81"/>
            <rFont val="Tahoma"/>
            <family val="2"/>
          </rPr>
          <t>Grain web thickness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43" authorId="0" shapeId="0" xr:uid="{00000000-0006-0000-0300-000010000000}">
      <text>
        <r>
          <rPr>
            <b/>
            <sz val="8"/>
            <color indexed="81"/>
            <rFont val="Tahoma"/>
            <family val="2"/>
          </rPr>
          <t>Burning area, ends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43" authorId="0" shapeId="0" xr:uid="{00000000-0006-0000-0300-000011000000}">
      <text>
        <r>
          <rPr>
            <b/>
            <sz val="8"/>
            <color indexed="81"/>
            <rFont val="Tahoma"/>
            <family val="2"/>
          </rPr>
          <t>Burning area, core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43" authorId="0" shapeId="0" xr:uid="{00000000-0006-0000-0300-000012000000}">
      <text>
        <r>
          <rPr>
            <b/>
            <sz val="8"/>
            <color indexed="81"/>
            <rFont val="Tahoma"/>
            <family val="2"/>
          </rPr>
          <t>Burning area,
outer diametrical surfaces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K43" authorId="0" shapeId="0" xr:uid="{00000000-0006-0000-0300-000013000000}">
      <text>
        <r>
          <rPr>
            <b/>
            <sz val="8"/>
            <color indexed="81"/>
            <rFont val="Tahoma"/>
            <family val="2"/>
          </rPr>
          <t>Total burning area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L43" authorId="0" shapeId="0" xr:uid="{00000000-0006-0000-0300-000014000000}">
      <text>
        <r>
          <rPr>
            <b/>
            <sz val="8"/>
            <color indexed="81"/>
            <rFont val="Tahoma"/>
            <family val="2"/>
          </rPr>
          <t>Throat cross-section area</t>
        </r>
      </text>
    </comment>
    <comment ref="M43" authorId="0" shapeId="0" xr:uid="{00000000-0006-0000-0300-000015000000}">
      <text>
        <r>
          <rPr>
            <b/>
            <sz val="8"/>
            <color indexed="81"/>
            <rFont val="Tahoma"/>
            <family val="2"/>
          </rPr>
          <t>Ratio of burning area to throat area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Unknown Author</author>
    <author>Diego Rodríguez</author>
  </authors>
  <commentList>
    <comment ref="B8" authorId="0" shapeId="0" xr:uid="{00000000-0006-0000-0400-000001000000}">
      <text>
        <r>
          <rPr>
            <sz val="10"/>
            <rFont val="Noto Sans"/>
            <family val="2"/>
          </rPr>
          <t>Select a material for analysis</t>
        </r>
      </text>
    </comment>
    <comment ref="B20" authorId="0" shapeId="0" xr:uid="{00000000-0006-0000-0400-000002000000}">
      <text>
        <r>
          <rPr>
            <sz val="10"/>
            <rFont val="Noto Sans"/>
            <family val="2"/>
          </rPr>
          <t>Select an ablative material for analysis</t>
        </r>
      </text>
    </comment>
    <comment ref="C20" authorId="1" shapeId="0" xr:uid="{00000000-0006-0000-0400-000003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PLA 0.13 - 0.22 W/mK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Richard   Nakka</author>
    <author>vq591d</author>
  </authors>
  <commentList>
    <comment ref="C13" authorId="0" shapeId="0" xr:uid="{00000000-0006-0000-0500-000001000000}">
      <text>
        <r>
          <rPr>
            <b/>
            <sz val="8"/>
            <color indexed="81"/>
            <rFont val="Tahoma"/>
            <family val="2"/>
          </rPr>
          <t>Use 0.95 for fine grain propellant. Use 0.93 for coarse grain propellant.</t>
        </r>
      </text>
    </comment>
    <comment ref="C16" authorId="0" shapeId="0" xr:uid="{00000000-0006-0000-0500-000002000000}">
      <text>
        <r>
          <rPr>
            <b/>
            <sz val="8"/>
            <color indexed="81"/>
            <rFont val="Tahoma"/>
            <family val="2"/>
          </rPr>
          <t>Local barometric pressure, typically 0.101 MPa.  at sea level.</t>
        </r>
      </text>
    </comment>
    <comment ref="AA16" authorId="1" shapeId="0" xr:uid="{00000000-0006-0000-0500-000003000000}">
      <text>
        <r>
          <rPr>
            <b/>
            <sz val="8"/>
            <color indexed="81"/>
            <rFont val="Tahoma"/>
            <family val="2"/>
          </rPr>
          <t>vq591d: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8" authorId="0" shapeId="0" xr:uid="{00000000-0006-0000-0500-000004000000}">
      <text>
        <r>
          <rPr>
            <b/>
            <sz val="8"/>
            <color indexed="81"/>
            <rFont val="Tahoma"/>
            <family val="2"/>
          </rPr>
          <t>Ratio of core to throat cross-sectional areas, above which no erosive burning occurs.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9" authorId="0" shapeId="0" xr:uid="{00000000-0006-0000-0500-000005000000}">
      <text>
        <r>
          <rPr>
            <b/>
            <sz val="8"/>
            <color indexed="81"/>
            <rFont val="Tahoma"/>
            <family val="2"/>
          </rPr>
          <t>An empirical constant. Enter zero if no erosive burning expected.
Typically 0.0 to 1.0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25" authorId="0" shapeId="0" xr:uid="{00000000-0006-0000-0500-000006000000}">
      <text>
        <r>
          <rPr>
            <b/>
            <sz val="8"/>
            <color indexed="81"/>
            <rFont val="Tahoma"/>
            <family val="2"/>
          </rPr>
          <t>Web regression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25" authorId="0" shapeId="0" xr:uid="{00000000-0006-0000-0500-000007000000}">
      <text>
        <r>
          <rPr>
            <b/>
            <sz val="8"/>
            <color indexed="81"/>
            <rFont val="Tahoma"/>
            <family val="2"/>
          </rPr>
          <t>Web thickness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25" authorId="0" shapeId="0" xr:uid="{00000000-0006-0000-0500-000008000000}">
      <text>
        <r>
          <rPr>
            <b/>
            <sz val="8"/>
            <color indexed="81"/>
            <rFont val="Tahoma"/>
            <family val="2"/>
          </rPr>
          <t>Grain core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5" authorId="0" shapeId="0" xr:uid="{00000000-0006-0000-0500-000009000000}">
      <text>
        <r>
          <rPr>
            <b/>
            <sz val="8"/>
            <color indexed="81"/>
            <rFont val="Tahoma"/>
            <family val="2"/>
          </rPr>
          <t>Grain outside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5" authorId="0" shapeId="0" xr:uid="{00000000-0006-0000-0500-00000A000000}">
      <text>
        <r>
          <rPr>
            <b/>
            <sz val="8"/>
            <color indexed="81"/>
            <rFont val="Tahoma"/>
            <family val="2"/>
          </rPr>
          <t>Grain total length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25" authorId="0" shapeId="0" xr:uid="{00000000-0006-0000-0500-00000B000000}">
      <text>
        <r>
          <rPr>
            <b/>
            <sz val="8"/>
            <color indexed="81"/>
            <rFont val="Tahoma"/>
            <family val="2"/>
          </rPr>
          <t>Throat area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25" authorId="0" shapeId="0" xr:uid="{00000000-0006-0000-0500-00000C000000}">
      <text>
        <r>
          <rPr>
            <b/>
            <sz val="8"/>
            <color indexed="81"/>
            <rFont val="Tahoma"/>
            <family val="2"/>
          </rPr>
          <t>Nozzle critical passage area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25" authorId="0" shapeId="0" xr:uid="{00000000-0006-0000-0500-00000D000000}">
      <text>
        <r>
          <rPr>
            <b/>
            <sz val="8"/>
            <color indexed="81"/>
            <rFont val="Tahoma"/>
            <family val="2"/>
          </rPr>
          <t>Difference in chamber and grain cross-sectional area
(flow area)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L25" authorId="0" shapeId="0" xr:uid="{00000000-0006-0000-0500-00000E000000}">
      <text>
        <r>
          <rPr>
            <b/>
            <sz val="8"/>
            <color indexed="81"/>
            <rFont val="Tahoma"/>
            <family val="2"/>
          </rPr>
          <t>Erosive burning factor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M25" authorId="0" shapeId="0" xr:uid="{00000000-0006-0000-0500-00000F000000}">
      <text>
        <r>
          <rPr>
            <b/>
            <sz val="8"/>
            <color indexed="81"/>
            <rFont val="Tahoma"/>
            <family val="2"/>
          </rPr>
          <t>Chamber pressure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25" authorId="0" shapeId="0" xr:uid="{00000000-0006-0000-0500-000010000000}">
      <text>
        <r>
          <rPr>
            <b/>
            <sz val="8"/>
            <color indexed="81"/>
            <rFont val="Tahoma"/>
            <family val="2"/>
          </rPr>
          <t>Burn rate coefficient valid at Po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25" authorId="0" shapeId="0" xr:uid="{00000000-0006-0000-0500-000011000000}">
      <text>
        <r>
          <rPr>
            <b/>
            <sz val="8"/>
            <color indexed="81"/>
            <rFont val="Tahoma"/>
            <family val="2"/>
          </rPr>
          <t>Pressure exponent valid at Po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25" authorId="0" shapeId="0" xr:uid="{00000000-0006-0000-0500-000012000000}">
      <text>
        <r>
          <rPr>
            <b/>
            <sz val="8"/>
            <color indexed="81"/>
            <rFont val="Tahoma"/>
            <family val="2"/>
          </rPr>
          <t>Propellant burn rate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Q25" authorId="0" shapeId="0" xr:uid="{00000000-0006-0000-0500-000013000000}">
      <text>
        <r>
          <rPr>
            <b/>
            <sz val="8"/>
            <color indexed="81"/>
            <rFont val="Tahoma"/>
            <family val="2"/>
          </rPr>
          <t>Time since start of burn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R25" authorId="0" shapeId="0" xr:uid="{00000000-0006-0000-0500-000014000000}">
      <text>
        <r>
          <rPr>
            <b/>
            <sz val="8"/>
            <color indexed="81"/>
            <rFont val="Tahoma"/>
            <family val="2"/>
          </rPr>
          <t>Grain volume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T25" authorId="0" shapeId="0" xr:uid="{00000000-0006-0000-0500-000015000000}">
      <text>
        <r>
          <rPr>
            <b/>
            <sz val="8"/>
            <color indexed="81"/>
            <rFont val="Tahoma"/>
            <family val="2"/>
          </rPr>
          <t>Free volume in chamber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U25" authorId="0" shapeId="0" xr:uid="{00000000-0006-0000-0500-000016000000}">
      <text>
        <r>
          <rPr>
            <b/>
            <sz val="8"/>
            <color indexed="81"/>
            <rFont val="Tahoma"/>
            <family val="2"/>
          </rPr>
          <t>Grain mass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V25" authorId="0" shapeId="0" xr:uid="{00000000-0006-0000-0500-000017000000}">
      <text>
        <r>
          <rPr>
            <b/>
            <sz val="8"/>
            <color indexed="81"/>
            <rFont val="Tahoma"/>
            <family val="2"/>
          </rPr>
          <t>Mass generation rate of combustion products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W25" authorId="0" shapeId="0" xr:uid="{00000000-0006-0000-0500-000018000000}">
      <text>
        <r>
          <rPr>
            <b/>
            <sz val="8"/>
            <color indexed="81"/>
            <rFont val="Tahoma"/>
            <family val="2"/>
          </rPr>
          <t>Mass flow rate through nozzle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X25" authorId="0" shapeId="0" xr:uid="{00000000-0006-0000-0500-000019000000}">
      <text>
        <r>
          <rPr>
            <b/>
            <sz val="8"/>
            <color indexed="81"/>
            <rFont val="Tahoma"/>
            <family val="2"/>
          </rPr>
          <t>Mass storage rate of combustion products (in chamber)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Y25" authorId="0" shapeId="0" xr:uid="{00000000-0006-0000-0500-00001A000000}">
      <text>
        <r>
          <rPr>
            <b/>
            <sz val="8"/>
            <color indexed="81"/>
            <rFont val="Tahoma"/>
            <family val="2"/>
          </rPr>
          <t>Mass of combustion products stored in chamber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Z25" authorId="0" shapeId="0" xr:uid="{00000000-0006-0000-0500-00001B000000}">
      <text>
        <r>
          <rPr>
            <b/>
            <sz val="8"/>
            <color indexed="81"/>
            <rFont val="Tahoma"/>
            <family val="2"/>
          </rPr>
          <t>Density of combustion products in chamber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Richard   Nakka</author>
  </authors>
  <commentList>
    <comment ref="C4" authorId="0" shapeId="0" xr:uid="{00000000-0006-0000-0600-000001000000}">
      <text>
        <r>
          <rPr>
            <b/>
            <sz val="8"/>
            <color indexed="81"/>
            <rFont val="Tahoma"/>
            <family val="2"/>
          </rPr>
          <t>For a well-contoured, smooth nozzle, typically 0.75 to 0.85. For KNPSB, 0.85-0.90 may be used.</t>
        </r>
      </text>
    </comment>
    <comment ref="C5" authorId="0" shapeId="0" xr:uid="{00000000-0006-0000-0600-000002000000}">
      <text>
        <r>
          <rPr>
            <b/>
            <sz val="8"/>
            <color indexed="81"/>
            <rFont val="Tahoma"/>
            <family val="2"/>
          </rPr>
          <t>Ratio of cross-sectional areas of nozzle exit  to throat.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8"/>
            <color indexed="81"/>
            <rFont val="Tahoma"/>
            <family val="2"/>
          </rPr>
          <t>DONT GO BELOW 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9" authorId="0" shapeId="0" xr:uid="{00000000-0006-0000-0600-000003000000}">
      <text>
        <r>
          <rPr>
            <b/>
            <sz val="8"/>
            <color indexed="81"/>
            <rFont val="Tahoma"/>
            <family val="2"/>
          </rPr>
          <t>Based on initial throat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0" authorId="0" shapeId="0" xr:uid="{00000000-0006-0000-0600-000004000000}">
      <text>
        <r>
          <rPr>
            <b/>
            <sz val="8"/>
            <color indexed="81"/>
            <rFont val="Tahoma"/>
            <family val="2"/>
          </rPr>
          <t>Based on final (eroded) throat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4" authorId="0" shapeId="0" xr:uid="{00000000-0006-0000-0600-000005000000}">
      <text>
        <r>
          <rPr>
            <b/>
            <sz val="8"/>
            <color indexed="81"/>
            <rFont val="Tahoma"/>
            <family val="2"/>
          </rPr>
          <t>Ratio of web to grain outer radius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9" authorId="0" shapeId="0" xr:uid="{00000000-0006-0000-0600-000006000000}">
      <text>
        <r>
          <rPr>
            <b/>
            <sz val="8"/>
            <color indexed="81"/>
            <rFont val="Tahoma"/>
            <family val="2"/>
          </rPr>
          <t>See "Class" worksheet for definition...</t>
        </r>
      </text>
    </comment>
    <comment ref="G25" authorId="0" shapeId="0" xr:uid="{00000000-0006-0000-0600-000007000000}">
      <text>
        <r>
          <rPr>
            <b/>
            <sz val="8"/>
            <color indexed="81"/>
            <rFont val="Tahoma"/>
            <family val="2"/>
          </rPr>
          <t>Nozzle exit pressure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25" authorId="0" shapeId="0" xr:uid="{00000000-0006-0000-0600-000008000000}">
      <text>
        <r>
          <rPr>
            <b/>
            <sz val="8"/>
            <color indexed="81"/>
            <rFont val="Tahoma"/>
            <family val="2"/>
          </rPr>
          <t>Optimum expansion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25" authorId="0" shapeId="0" xr:uid="{00000000-0006-0000-0600-000009000000}">
      <text>
        <r>
          <rPr>
            <b/>
            <sz val="8"/>
            <color indexed="81"/>
            <rFont val="Tahoma"/>
            <family val="2"/>
          </rPr>
          <t>Delivered C</t>
        </r>
        <r>
          <rPr>
            <b/>
            <sz val="8"/>
            <color indexed="81"/>
            <rFont val="Tahoma"/>
            <family val="2"/>
          </rPr>
          <t>F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25" authorId="0" shapeId="0" xr:uid="{00000000-0006-0000-0600-00000A000000}">
      <text>
        <r>
          <rPr>
            <b/>
            <sz val="8"/>
            <color indexed="81"/>
            <rFont val="Tahoma"/>
            <family val="2"/>
          </rPr>
          <t>Thrust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M25" authorId="0" shapeId="0" xr:uid="{00000000-0006-0000-0600-00000B000000}">
      <text>
        <r>
          <rPr>
            <b/>
            <sz val="8"/>
            <color indexed="81"/>
            <rFont val="Tahoma"/>
            <family val="2"/>
          </rPr>
          <t>Delivered
impulse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25" authorId="0" shapeId="0" xr:uid="{00000000-0006-0000-0600-00000C000000}">
      <text>
        <r>
          <rPr>
            <b/>
            <sz val="8"/>
            <color indexed="81"/>
            <rFont val="Tahoma"/>
            <family val="2"/>
          </rPr>
          <t>Mach number at nozzle exit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vq591d</author>
  </authors>
  <commentList>
    <comment ref="C5" authorId="0" shapeId="0" xr:uid="{00000000-0006-0000-0700-000001000000}">
      <text>
        <r>
          <rPr>
            <b/>
            <sz val="8"/>
            <color indexed="81"/>
            <rFont val="Tahoma"/>
            <family val="2"/>
          </rPr>
          <t>Suggested range: 25-50 degrees, 30 is typical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6" authorId="0" shapeId="0" xr:uid="{00000000-0006-0000-0700-000002000000}">
      <text>
        <r>
          <rPr>
            <b/>
            <sz val="8"/>
            <color indexed="81"/>
            <rFont val="Tahoma"/>
            <family val="2"/>
          </rPr>
          <t>Suggested range: 10-15 degrees, 12 is typical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Leonardo Valadez Ortiz</author>
    <author>Diego Rodríguez</author>
  </authors>
  <commentList>
    <comment ref="D24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Following ISO 898-1</t>
        </r>
      </text>
    </comment>
    <comment ref="B27" authorId="1" shapeId="0" xr:uid="{00000000-0006-0000-0900-000002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Incrementing this value gives better results than augmenting n of bolts or diameter</t>
        </r>
      </text>
    </comment>
    <comment ref="B51" authorId="1" shapeId="0" xr:uid="{00000000-0006-0000-0900-000003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How much load it can support</t>
        </r>
      </text>
    </comment>
    <comment ref="B54" authorId="1" shapeId="0" xr:uid="{00000000-0006-0000-0900-000004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diameter of bolt (mm)</t>
        </r>
      </text>
    </comment>
    <comment ref="B55" authorId="1" shapeId="0" xr:uid="{00000000-0006-0000-0900-000005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Distance between bolts (mm)</t>
        </r>
      </text>
    </comment>
    <comment ref="B57" authorId="1" shapeId="0" xr:uid="{00000000-0006-0000-0900-000006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Is the calculated load due MEOP*vessel_area OVER Pload obtained
</t>
        </r>
      </text>
    </comment>
    <comment ref="B60" authorId="1" shapeId="0" xr:uid="{00000000-0006-0000-0900-000007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How much load it can support</t>
        </r>
      </text>
    </comment>
    <comment ref="B64" authorId="1" shapeId="0" xr:uid="{00000000-0006-0000-0900-000008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In this case we assimilate the max Pload of c) and d)</t>
        </r>
      </text>
    </comment>
    <comment ref="B65" authorId="1" shapeId="0" xr:uid="{00000000-0006-0000-0900-000009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Usually the equation below, is used for 45 conical heads bolts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Leonardo Valadez Ortiz</author>
  </authors>
  <commentList>
    <comment ref="G10" authorId="0" shapeId="0" xr:uid="{00000000-0006-0000-0E00-000001000000}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DMS = 
Disposable
RMS =
Reloadable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Richard   Nakka</author>
    <author>Nakka, Richard</author>
  </authors>
  <commentList>
    <comment ref="F8" authorId="0" shapeId="0" xr:uid="{00000000-0006-0000-1000-000001000000}">
      <text>
        <r>
          <rPr>
            <b/>
            <sz val="8"/>
            <color indexed="81"/>
            <rFont val="Tahoma"/>
            <family val="2"/>
          </rPr>
          <t>Potassium Nitrate/Dextrose
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8" authorId="0" shapeId="0" xr:uid="{00000000-0006-0000-1000-000002000000}">
      <text>
        <r>
          <rPr>
            <b/>
            <sz val="8"/>
            <color indexed="81"/>
            <rFont val="Tahoma"/>
            <family val="2"/>
          </rPr>
          <t>Potassium Nitrate/Sorbitol 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8" authorId="0" shapeId="0" xr:uid="{00000000-0006-0000-1000-000003000000}">
      <text>
        <r>
          <rPr>
            <b/>
            <sz val="8"/>
            <color indexed="81"/>
            <rFont val="Tahoma"/>
            <family val="2"/>
          </rPr>
          <t>Potassium Nitrate/Sucrose 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8" authorId="0" shapeId="0" xr:uid="{00000000-0006-0000-1000-000004000000}">
      <text>
        <r>
          <rPr>
            <b/>
            <sz val="8"/>
            <color indexed="81"/>
            <rFont val="Tahoma"/>
            <family val="2"/>
          </rPr>
          <t>Potassium Nitrate/Erythritol 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8" authorId="0" shapeId="0" xr:uid="{00000000-0006-0000-1000-000005000000}">
      <text>
        <r>
          <rPr>
            <b/>
            <sz val="8"/>
            <color indexed="81"/>
            <rFont val="Tahoma"/>
            <family val="2"/>
          </rPr>
          <t>Potassium Nitrate/Mannitol 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K8" authorId="1" shapeId="0" xr:uid="{00000000-0006-0000-1000-000006000000}">
      <text>
        <r>
          <rPr>
            <sz val="9"/>
            <color indexed="81"/>
            <rFont val="Tahoma"/>
            <family val="2"/>
          </rPr>
          <t>Potassium Nitrate/Fructose
65/35 O/F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8" authorId="0" shapeId="0" xr:uid="{00000000-0006-0000-1000-000007000000}">
      <text>
        <r>
          <rPr>
            <b/>
            <sz val="8"/>
            <color indexed="81"/>
            <rFont val="Tahoma"/>
            <family val="2"/>
          </rPr>
          <t>Potassium Nitrate/Potassium Perchlorate/Sorbitol
35/30/35 O/O/F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Richard   Nakka</author>
  </authors>
  <commentList>
    <comment ref="B5" authorId="0" shapeId="0" xr:uid="{00000000-0006-0000-1100-000001000000}">
      <text>
        <r>
          <rPr>
            <b/>
            <sz val="8"/>
            <color indexed="81"/>
            <rFont val="Tahoma"/>
            <family val="2"/>
          </rPr>
          <t>This data was obtained from a series of Strand Burner tests which examined the burn rate at various pressures.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16" authorId="0" shapeId="0" xr:uid="{00000000-0006-0000-1100-000002000000}">
      <text>
        <r>
          <rPr>
            <b/>
            <sz val="8"/>
            <color indexed="81"/>
            <rFont val="Tahoma"/>
            <family val="2"/>
          </rPr>
          <t>This data was obtained from a series of Strand Burner tests which examined burn rate at various pressures.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25" authorId="0" shapeId="0" xr:uid="{00000000-0006-0000-1100-000003000000}">
      <text>
        <r>
          <rPr>
            <b/>
            <sz val="8"/>
            <color indexed="81"/>
            <rFont val="Tahoma"/>
            <family val="2"/>
          </rPr>
          <t>This data was obtained from a series of Strand Burner tests which examined burn rate at various pressures.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30" authorId="0" shapeId="0" xr:uid="{00000000-0006-0000-1100-000004000000}">
      <text>
        <r>
          <rPr>
            <b/>
            <sz val="8"/>
            <color indexed="81"/>
            <rFont val="Tahoma"/>
            <family val="2"/>
          </rPr>
          <t>This data was obtained from a series of Strand Burner tests which examined burn rate at various pressures.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<sst xmlns="http://schemas.openxmlformats.org/spreadsheetml/2006/main" count="2046" uniqueCount="1199">
  <si>
    <t>Dc</t>
  </si>
  <si>
    <t>Lc</t>
  </si>
  <si>
    <t>mm</t>
  </si>
  <si>
    <t>Chamber diameter (inside)</t>
  </si>
  <si>
    <t>Chamber length (inside)</t>
  </si>
  <si>
    <t>Propellant grain:</t>
  </si>
  <si>
    <t>Do</t>
  </si>
  <si>
    <t>do</t>
  </si>
  <si>
    <t>Lo</t>
  </si>
  <si>
    <t>Outer diameter (initial)</t>
  </si>
  <si>
    <t>Segment length (initial)</t>
  </si>
  <si>
    <t>N</t>
  </si>
  <si>
    <t>Number of segments</t>
  </si>
  <si>
    <t>Kn</t>
  </si>
  <si>
    <r>
      <t>A</t>
    </r>
    <r>
      <rPr>
        <sz val="8"/>
        <rFont val="Arial"/>
        <family val="2"/>
      </rPr>
      <t>bo</t>
    </r>
  </si>
  <si>
    <r>
      <t>mm</t>
    </r>
    <r>
      <rPr>
        <vertAlign val="superscript"/>
        <sz val="10"/>
        <rFont val="Arial"/>
        <family val="2"/>
      </rPr>
      <t>2</t>
    </r>
  </si>
  <si>
    <t xml:space="preserve">e </t>
  </si>
  <si>
    <t>Core diameter (initial)</t>
  </si>
  <si>
    <r>
      <t>A</t>
    </r>
    <r>
      <rPr>
        <sz val="8"/>
        <rFont val="Arial"/>
        <family val="2"/>
      </rPr>
      <t>be</t>
    </r>
  </si>
  <si>
    <r>
      <t>A</t>
    </r>
    <r>
      <rPr>
        <sz val="8"/>
        <rFont val="Arial"/>
        <family val="2"/>
      </rPr>
      <t>bc</t>
    </r>
  </si>
  <si>
    <r>
      <t>A</t>
    </r>
    <r>
      <rPr>
        <sz val="8"/>
        <rFont val="Arial"/>
        <family val="2"/>
      </rPr>
      <t>bs</t>
    </r>
  </si>
  <si>
    <t>Outer surface:</t>
  </si>
  <si>
    <t>Vc</t>
  </si>
  <si>
    <r>
      <t>mm</t>
    </r>
    <r>
      <rPr>
        <vertAlign val="superscript"/>
        <sz val="10"/>
        <rFont val="Arial"/>
        <family val="2"/>
      </rPr>
      <t>3</t>
    </r>
  </si>
  <si>
    <t>Chamber volume (empty)</t>
  </si>
  <si>
    <r>
      <t xml:space="preserve">r </t>
    </r>
    <r>
      <rPr>
        <sz val="8"/>
        <rFont val="Arial"/>
        <family val="2"/>
      </rPr>
      <t>grain</t>
    </r>
  </si>
  <si>
    <r>
      <t xml:space="preserve">m </t>
    </r>
    <r>
      <rPr>
        <sz val="8"/>
        <rFont val="Arial"/>
        <family val="2"/>
      </rPr>
      <t>grain</t>
    </r>
  </si>
  <si>
    <r>
      <t>g/cm</t>
    </r>
    <r>
      <rPr>
        <vertAlign val="superscript"/>
        <sz val="10"/>
        <rFont val="Arial"/>
        <family val="2"/>
      </rPr>
      <t>3</t>
    </r>
  </si>
  <si>
    <t>kg.</t>
  </si>
  <si>
    <r>
      <t xml:space="preserve">r </t>
    </r>
    <r>
      <rPr>
        <sz val="8"/>
        <rFont val="Arial"/>
        <family val="2"/>
      </rPr>
      <t>p</t>
    </r>
  </si>
  <si>
    <r>
      <t>Lg</t>
    </r>
    <r>
      <rPr>
        <sz val="8"/>
        <rFont val="Arial"/>
        <family val="2"/>
      </rPr>
      <t>o</t>
    </r>
  </si>
  <si>
    <t>Vg</t>
  </si>
  <si>
    <t>Grain length (initial)</t>
  </si>
  <si>
    <t>Grain volume (initial)</t>
  </si>
  <si>
    <t>Grain mass (initial)</t>
  </si>
  <si>
    <t>Motor chamber:</t>
  </si>
  <si>
    <t xml:space="preserve">mm </t>
  </si>
  <si>
    <t>Throat cross-section area (initial)</t>
  </si>
  <si>
    <t>End burning area (initial)</t>
  </si>
  <si>
    <t>Core burning area (initial)</t>
  </si>
  <si>
    <t>Outer surface burning area (initial)</t>
  </si>
  <si>
    <t>Total burning area (initial)</t>
  </si>
  <si>
    <t>Throat diameter (final)</t>
  </si>
  <si>
    <r>
      <t>Dt</t>
    </r>
    <r>
      <rPr>
        <sz val="8"/>
        <rFont val="Arial"/>
        <family val="2"/>
      </rPr>
      <t>f</t>
    </r>
  </si>
  <si>
    <t>Interval</t>
  </si>
  <si>
    <t>d</t>
  </si>
  <si>
    <t>L</t>
  </si>
  <si>
    <t>x</t>
  </si>
  <si>
    <r>
      <t>t</t>
    </r>
    <r>
      <rPr>
        <sz val="8"/>
        <rFont val="Arial"/>
        <family val="2"/>
      </rPr>
      <t>web</t>
    </r>
  </si>
  <si>
    <r>
      <t>A</t>
    </r>
    <r>
      <rPr>
        <sz val="8"/>
        <rFont val="Arial"/>
        <family val="2"/>
      </rPr>
      <t>beo</t>
    </r>
  </si>
  <si>
    <r>
      <t>A</t>
    </r>
    <r>
      <rPr>
        <sz val="8"/>
        <rFont val="Arial"/>
        <family val="2"/>
      </rPr>
      <t>bco</t>
    </r>
  </si>
  <si>
    <r>
      <t>A</t>
    </r>
    <r>
      <rPr>
        <sz val="8"/>
        <rFont val="Arial"/>
        <family val="2"/>
      </rPr>
      <t>bso</t>
    </r>
  </si>
  <si>
    <r>
      <t>A</t>
    </r>
    <r>
      <rPr>
        <sz val="8"/>
        <rFont val="Arial"/>
        <family val="2"/>
      </rPr>
      <t>b</t>
    </r>
    <r>
      <rPr>
        <sz val="10"/>
        <rFont val="Arial"/>
        <family val="2"/>
      </rPr>
      <t xml:space="preserve"> </t>
    </r>
    <r>
      <rPr>
        <sz val="8"/>
        <rFont val="Arial"/>
        <family val="2"/>
      </rPr>
      <t>total</t>
    </r>
  </si>
  <si>
    <t>D</t>
  </si>
  <si>
    <r>
      <t>A</t>
    </r>
    <r>
      <rPr>
        <sz val="8"/>
        <rFont val="Arial"/>
        <family val="2"/>
      </rPr>
      <t>t</t>
    </r>
    <r>
      <rPr>
        <sz val="10"/>
        <rFont val="Arial"/>
        <family val="2"/>
      </rPr>
      <t xml:space="preserve"> </t>
    </r>
  </si>
  <si>
    <r>
      <t>A</t>
    </r>
    <r>
      <rPr>
        <sz val="8"/>
        <rFont val="Arial"/>
        <family val="2"/>
      </rPr>
      <t>e</t>
    </r>
    <r>
      <rPr>
        <sz val="10"/>
        <rFont val="Arial"/>
        <family val="2"/>
      </rPr>
      <t>/A</t>
    </r>
    <r>
      <rPr>
        <sz val="8"/>
        <rFont val="Arial"/>
        <family val="2"/>
      </rPr>
      <t>t</t>
    </r>
  </si>
  <si>
    <r>
      <t xml:space="preserve">Kn </t>
    </r>
    <r>
      <rPr>
        <sz val="8"/>
        <color indexed="10"/>
        <rFont val="Arial"/>
        <family val="2"/>
      </rPr>
      <t>max</t>
    </r>
  </si>
  <si>
    <r>
      <t xml:space="preserve">Kn </t>
    </r>
    <r>
      <rPr>
        <sz val="8"/>
        <color indexed="10"/>
        <rFont val="Arial"/>
        <family val="2"/>
      </rPr>
      <t>min</t>
    </r>
  </si>
  <si>
    <r>
      <t xml:space="preserve">Kn </t>
    </r>
    <r>
      <rPr>
        <sz val="8"/>
        <color indexed="10"/>
        <rFont val="Arial"/>
        <family val="2"/>
      </rPr>
      <t>avg</t>
    </r>
  </si>
  <si>
    <t>Rocket Motor Classification</t>
  </si>
  <si>
    <t>Class</t>
  </si>
  <si>
    <t>Total Impulse</t>
  </si>
  <si>
    <t>(Newton-sec.)</t>
  </si>
  <si>
    <t>A</t>
  </si>
  <si>
    <t>-</t>
  </si>
  <si>
    <t>B</t>
  </si>
  <si>
    <t>C</t>
  </si>
  <si>
    <t>E</t>
  </si>
  <si>
    <t>F</t>
  </si>
  <si>
    <t>G</t>
  </si>
  <si>
    <t>H</t>
  </si>
  <si>
    <t>I</t>
  </si>
  <si>
    <t>J</t>
  </si>
  <si>
    <t>K</t>
  </si>
  <si>
    <t>M</t>
  </si>
  <si>
    <t>O</t>
  </si>
  <si>
    <t>P</t>
  </si>
  <si>
    <t>Q</t>
  </si>
  <si>
    <t>xi</t>
  </si>
  <si>
    <t>tweb</t>
  </si>
  <si>
    <t>a</t>
  </si>
  <si>
    <t>n</t>
  </si>
  <si>
    <t>Pressure, psia</t>
  </si>
  <si>
    <t>psi, in/sec</t>
  </si>
  <si>
    <t>Pressure, Mpa</t>
  </si>
  <si>
    <t>Mpa, mm/sec</t>
  </si>
  <si>
    <t>to</t>
  </si>
  <si>
    <t>Mpa</t>
  </si>
  <si>
    <t>r</t>
  </si>
  <si>
    <t>mm/s.</t>
  </si>
  <si>
    <t>t</t>
  </si>
  <si>
    <t>s.</t>
  </si>
  <si>
    <r>
      <t>A</t>
    </r>
    <r>
      <rPr>
        <sz val="7"/>
        <rFont val="Arial"/>
        <family val="2"/>
      </rPr>
      <t>DUCT</t>
    </r>
  </si>
  <si>
    <r>
      <t>k</t>
    </r>
    <r>
      <rPr>
        <sz val="8"/>
        <rFont val="Arial"/>
        <family val="2"/>
      </rPr>
      <t>v</t>
    </r>
  </si>
  <si>
    <t>G*</t>
  </si>
  <si>
    <r>
      <t>m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GRAIN</t>
    </r>
  </si>
  <si>
    <t>A*</t>
  </si>
  <si>
    <r>
      <t>m</t>
    </r>
    <r>
      <rPr>
        <vertAlign val="superscript"/>
        <sz val="10"/>
        <rFont val="Arial"/>
        <family val="2"/>
      </rPr>
      <t>2</t>
    </r>
  </si>
  <si>
    <t>At</t>
  </si>
  <si>
    <r>
      <t>A</t>
    </r>
    <r>
      <rPr>
        <sz val="7"/>
        <rFont val="Arial"/>
        <family val="2"/>
      </rPr>
      <t xml:space="preserve">DUCT </t>
    </r>
    <r>
      <rPr>
        <sz val="10"/>
        <rFont val="Arial"/>
        <family val="2"/>
      </rPr>
      <t>/A</t>
    </r>
    <r>
      <rPr>
        <sz val="8"/>
        <rFont val="Arial"/>
        <family val="2"/>
      </rPr>
      <t>t</t>
    </r>
  </si>
  <si>
    <r>
      <t xml:space="preserve">V </t>
    </r>
    <r>
      <rPr>
        <sz val="7"/>
        <rFont val="Arial"/>
        <family val="2"/>
      </rPr>
      <t>GRAIN</t>
    </r>
  </si>
  <si>
    <r>
      <t xml:space="preserve">V </t>
    </r>
    <r>
      <rPr>
        <sz val="7"/>
        <rFont val="Arial"/>
        <family val="2"/>
      </rPr>
      <t>FREE</t>
    </r>
  </si>
  <si>
    <r>
      <t>m</t>
    </r>
    <r>
      <rPr>
        <vertAlign val="superscript"/>
        <sz val="10"/>
        <rFont val="Arial"/>
        <family val="2"/>
      </rPr>
      <t>3</t>
    </r>
  </si>
  <si>
    <t>kg/s</t>
  </si>
  <si>
    <t>kg</t>
  </si>
  <si>
    <r>
      <t>m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GEN</t>
    </r>
  </si>
  <si>
    <r>
      <t>m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NOZ</t>
    </r>
  </si>
  <si>
    <r>
      <t>m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STO</t>
    </r>
  </si>
  <si>
    <r>
      <t>mass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STO</t>
    </r>
  </si>
  <si>
    <r>
      <t>Mpa</t>
    </r>
    <r>
      <rPr>
        <sz val="8"/>
        <rFont val="Arial"/>
        <family val="2"/>
      </rPr>
      <t xml:space="preserve"> (abs)</t>
    </r>
  </si>
  <si>
    <t>k</t>
  </si>
  <si>
    <t>Propellant type</t>
  </si>
  <si>
    <t>R</t>
  </si>
  <si>
    <t>R'</t>
  </si>
  <si>
    <t>J/mol-K</t>
  </si>
  <si>
    <t>kg/kmol</t>
  </si>
  <si>
    <t>J/kg-K</t>
  </si>
  <si>
    <t>To</t>
  </si>
  <si>
    <r>
      <t>h</t>
    </r>
    <r>
      <rPr>
        <sz val="9"/>
        <rFont val="Arial"/>
        <family val="2"/>
      </rPr>
      <t>c</t>
    </r>
  </si>
  <si>
    <t>Combustion efficiency</t>
  </si>
  <si>
    <t>Chamber temperature</t>
  </si>
  <si>
    <t>Effective molecular wt.</t>
  </si>
  <si>
    <t>Universal gas constant</t>
  </si>
  <si>
    <r>
      <t>To</t>
    </r>
    <r>
      <rPr>
        <sz val="8"/>
        <rFont val="Arial"/>
        <family val="2"/>
      </rPr>
      <t xml:space="preserve"> act</t>
    </r>
  </si>
  <si>
    <t>Ideal combustion temperature</t>
  </si>
  <si>
    <t>Actual chamber temperature</t>
  </si>
  <si>
    <r>
      <t>P</t>
    </r>
    <r>
      <rPr>
        <sz val="8"/>
        <rFont val="Arial"/>
        <family val="2"/>
      </rPr>
      <t>atm</t>
    </r>
  </si>
  <si>
    <t>MPa</t>
  </si>
  <si>
    <t>Ambient pressure</t>
  </si>
  <si>
    <t>Specific gas constant</t>
  </si>
  <si>
    <r>
      <t xml:space="preserve">r </t>
    </r>
    <r>
      <rPr>
        <sz val="8"/>
        <rFont val="Arial"/>
        <family val="2"/>
      </rPr>
      <t>prod</t>
    </r>
  </si>
  <si>
    <r>
      <t>kg/m</t>
    </r>
    <r>
      <rPr>
        <vertAlign val="superscript"/>
        <sz val="10"/>
        <rFont val="Arial"/>
        <family val="2"/>
      </rPr>
      <t>3</t>
    </r>
  </si>
  <si>
    <t>Grain ideal density</t>
  </si>
  <si>
    <t>Density ratio (actual/ideal)</t>
  </si>
  <si>
    <t>Grain actual density</t>
  </si>
  <si>
    <t>Propellant &amp; combustion products physical/thermochemical properties</t>
  </si>
  <si>
    <t>symb.</t>
  </si>
  <si>
    <t>units</t>
  </si>
  <si>
    <t>notes</t>
  </si>
  <si>
    <t>[2]</t>
  </si>
  <si>
    <t>[3]</t>
  </si>
  <si>
    <t>[4]</t>
  </si>
  <si>
    <t>[1]</t>
  </si>
  <si>
    <t>Propellant erosive burning velocity coefficient</t>
  </si>
  <si>
    <t>Propellant erosive burning area ratio threshold</t>
  </si>
  <si>
    <r>
      <t>x</t>
    </r>
    <r>
      <rPr>
        <sz val="8"/>
        <color indexed="23"/>
        <rFont val="Arial"/>
        <family val="2"/>
      </rPr>
      <t>inc</t>
    </r>
  </si>
  <si>
    <t>Rocket Motor chamber pressure</t>
  </si>
  <si>
    <r>
      <t>t</t>
    </r>
    <r>
      <rPr>
        <sz val="8"/>
        <color indexed="53"/>
        <rFont val="Arial"/>
        <family val="2"/>
      </rPr>
      <t xml:space="preserve">webo </t>
    </r>
    <r>
      <rPr>
        <sz val="10"/>
        <color indexed="53"/>
        <rFont val="Arial"/>
        <family val="2"/>
      </rPr>
      <t>-t</t>
    </r>
    <r>
      <rPr>
        <sz val="8"/>
        <color indexed="53"/>
        <rFont val="Arial"/>
        <family val="2"/>
      </rPr>
      <t>webf</t>
    </r>
    <r>
      <rPr>
        <sz val="10"/>
        <color indexed="53"/>
        <rFont val="Arial"/>
        <family val="2"/>
      </rPr>
      <t xml:space="preserve"> =</t>
    </r>
  </si>
  <si>
    <t>c*</t>
  </si>
  <si>
    <t>Characteristic exhaust velocity</t>
  </si>
  <si>
    <t>m/s</t>
  </si>
  <si>
    <t>Percent of Pmax:</t>
  </si>
  <si>
    <t>Pfinal =</t>
  </si>
  <si>
    <t>Pmax=</t>
  </si>
  <si>
    <r>
      <t>D</t>
    </r>
    <r>
      <rPr>
        <sz val="10"/>
        <rFont val="Arial"/>
        <family val="2"/>
      </rPr>
      <t>P =</t>
    </r>
  </si>
  <si>
    <t>tbinc =</t>
  </si>
  <si>
    <r>
      <t>P</t>
    </r>
    <r>
      <rPr>
        <sz val="8"/>
        <color indexed="10"/>
        <rFont val="Arial"/>
        <family val="2"/>
      </rPr>
      <t>max</t>
    </r>
    <r>
      <rPr>
        <sz val="10"/>
        <color indexed="10"/>
        <rFont val="Arial"/>
        <family val="2"/>
      </rPr>
      <t xml:space="preserve"> =</t>
    </r>
  </si>
  <si>
    <r>
      <t xml:space="preserve">t </t>
    </r>
    <r>
      <rPr>
        <sz val="8"/>
        <color indexed="10"/>
        <rFont val="Arial"/>
        <family val="2"/>
      </rPr>
      <t>burn</t>
    </r>
    <r>
      <rPr>
        <sz val="10"/>
        <color indexed="10"/>
        <rFont val="Arial"/>
        <family val="2"/>
      </rPr>
      <t xml:space="preserve"> =</t>
    </r>
  </si>
  <si>
    <r>
      <t xml:space="preserve">t </t>
    </r>
    <r>
      <rPr>
        <sz val="8"/>
        <color indexed="10"/>
        <rFont val="Arial"/>
        <family val="2"/>
      </rPr>
      <t>thrust</t>
    </r>
    <r>
      <rPr>
        <sz val="10"/>
        <color indexed="10"/>
        <rFont val="Arial"/>
        <family val="2"/>
      </rPr>
      <t xml:space="preserve"> =</t>
    </r>
  </si>
  <si>
    <r>
      <t>Pa</t>
    </r>
    <r>
      <rPr>
        <sz val="8"/>
        <rFont val="Arial"/>
        <family val="2"/>
      </rPr>
      <t xml:space="preserve"> (abs)</t>
    </r>
  </si>
  <si>
    <r>
      <t>MPa</t>
    </r>
    <r>
      <rPr>
        <sz val="8"/>
        <rFont val="Arial"/>
        <family val="2"/>
      </rPr>
      <t xml:space="preserve"> (abs)</t>
    </r>
  </si>
  <si>
    <r>
      <t>Mpa</t>
    </r>
    <r>
      <rPr>
        <sz val="8"/>
        <rFont val="Arial"/>
        <family val="2"/>
      </rPr>
      <t xml:space="preserve"> (gage)</t>
    </r>
  </si>
  <si>
    <t>psig</t>
  </si>
  <si>
    <t>Pe</t>
  </si>
  <si>
    <t>Pa (abs)</t>
  </si>
  <si>
    <r>
      <t>A</t>
    </r>
    <r>
      <rPr>
        <sz val="8"/>
        <rFont val="Arial"/>
        <family val="2"/>
      </rPr>
      <t>e</t>
    </r>
    <r>
      <rPr>
        <sz val="10"/>
        <rFont val="Arial"/>
        <family val="2"/>
      </rPr>
      <t/>
    </r>
  </si>
  <si>
    <t>Nozzle exit cross-section area</t>
  </si>
  <si>
    <r>
      <t>A</t>
    </r>
    <r>
      <rPr>
        <sz val="8"/>
        <rFont val="Arial"/>
        <family val="2"/>
      </rPr>
      <t>e</t>
    </r>
    <r>
      <rPr>
        <sz val="10"/>
        <rFont val="Arial"/>
        <family val="2"/>
      </rPr>
      <t>/A</t>
    </r>
    <r>
      <rPr>
        <sz val="8"/>
        <rFont val="Arial"/>
        <family val="2"/>
      </rPr>
      <t>t opt</t>
    </r>
  </si>
  <si>
    <t>N.</t>
  </si>
  <si>
    <t>sec.</t>
  </si>
  <si>
    <r>
      <t>Optimum Nozzle expansion ratio at P</t>
    </r>
    <r>
      <rPr>
        <sz val="8"/>
        <rFont val="Arial"/>
        <family val="2"/>
      </rPr>
      <t>o max</t>
    </r>
  </si>
  <si>
    <r>
      <t>C</t>
    </r>
    <r>
      <rPr>
        <sz val="8"/>
        <rFont val="Arial"/>
        <family val="2"/>
      </rPr>
      <t>Fmax</t>
    </r>
  </si>
  <si>
    <t>Thrust coefficient, maximum</t>
  </si>
  <si>
    <r>
      <t xml:space="preserve">I </t>
    </r>
    <r>
      <rPr>
        <sz val="8"/>
        <rFont val="Arial"/>
        <family val="2"/>
      </rPr>
      <t>t</t>
    </r>
  </si>
  <si>
    <t>N-sec.</t>
  </si>
  <si>
    <t>Maximum thrust</t>
  </si>
  <si>
    <t>Total impulse</t>
  </si>
  <si>
    <r>
      <t xml:space="preserve">h </t>
    </r>
    <r>
      <rPr>
        <sz val="8"/>
        <rFont val="Arial"/>
        <family val="2"/>
      </rPr>
      <t>noz</t>
    </r>
  </si>
  <si>
    <t>Nozzle  efficiency</t>
  </si>
  <si>
    <r>
      <t>C</t>
    </r>
    <r>
      <rPr>
        <sz val="7"/>
        <rFont val="Arial"/>
        <family val="2"/>
      </rPr>
      <t xml:space="preserve">F </t>
    </r>
    <r>
      <rPr>
        <sz val="10"/>
        <rFont val="Symbol"/>
        <family val="1"/>
        <charset val="2"/>
      </rPr>
      <t>*</t>
    </r>
    <r>
      <rPr>
        <sz val="10"/>
        <rFont val="Arial"/>
        <family val="2"/>
      </rPr>
      <t xml:space="preserve"> </t>
    </r>
    <r>
      <rPr>
        <sz val="10"/>
        <rFont val="Symbol"/>
        <family val="1"/>
        <charset val="2"/>
      </rPr>
      <t>h</t>
    </r>
    <r>
      <rPr>
        <sz val="8"/>
        <rFont val="Arial"/>
        <family val="2"/>
      </rPr>
      <t>noz</t>
    </r>
  </si>
  <si>
    <t>Specific impulse, delivered</t>
  </si>
  <si>
    <t>Class:</t>
  </si>
  <si>
    <t>Motor classification</t>
  </si>
  <si>
    <t>Rocket Motor Performance</t>
  </si>
  <si>
    <r>
      <t>lb</t>
    </r>
    <r>
      <rPr>
        <sz val="8"/>
        <rFont val="Arial"/>
        <family val="2"/>
      </rPr>
      <t>f</t>
    </r>
  </si>
  <si>
    <r>
      <t xml:space="preserve">F </t>
    </r>
    <r>
      <rPr>
        <sz val="8"/>
        <color indexed="10"/>
        <rFont val="Arial"/>
        <family val="2"/>
      </rPr>
      <t>max</t>
    </r>
    <r>
      <rPr>
        <sz val="10"/>
        <color indexed="10"/>
        <rFont val="Arial"/>
        <family val="2"/>
      </rPr>
      <t xml:space="preserve"> =</t>
    </r>
  </si>
  <si>
    <r>
      <t xml:space="preserve">F </t>
    </r>
    <r>
      <rPr>
        <sz val="8"/>
        <color indexed="10"/>
        <rFont val="Arial"/>
        <family val="2"/>
      </rPr>
      <t>avg</t>
    </r>
    <r>
      <rPr>
        <sz val="10"/>
        <color indexed="10"/>
        <rFont val="Arial"/>
        <family val="2"/>
      </rPr>
      <t xml:space="preserve"> =</t>
    </r>
  </si>
  <si>
    <r>
      <t>lb</t>
    </r>
    <r>
      <rPr>
        <sz val="8"/>
        <color indexed="10"/>
        <rFont val="Arial"/>
        <family val="2"/>
      </rPr>
      <t>f</t>
    </r>
  </si>
  <si>
    <t>Avg. optimum nozzle expansion ratio</t>
  </si>
  <si>
    <t>psi</t>
  </si>
  <si>
    <t xml:space="preserve"> Written by:</t>
  </si>
  <si>
    <t xml:space="preserve"> Version:</t>
  </si>
  <si>
    <t xml:space="preserve"> Date:</t>
  </si>
  <si>
    <t>Introduction</t>
  </si>
  <si>
    <r>
      <t xml:space="preserve">F </t>
    </r>
    <r>
      <rPr>
        <sz val="8"/>
        <color indexed="10"/>
        <rFont val="Arial"/>
        <family val="2"/>
      </rPr>
      <t>max</t>
    </r>
  </si>
  <si>
    <r>
      <t>I</t>
    </r>
    <r>
      <rPr>
        <sz val="10"/>
        <color indexed="10"/>
        <rFont val="Arial"/>
        <family val="2"/>
      </rPr>
      <t xml:space="preserve"> </t>
    </r>
    <r>
      <rPr>
        <sz val="8"/>
        <color indexed="10"/>
        <rFont val="Arial"/>
        <family val="2"/>
      </rPr>
      <t>t</t>
    </r>
  </si>
  <si>
    <r>
      <t>I</t>
    </r>
    <r>
      <rPr>
        <sz val="8"/>
        <color indexed="10"/>
        <rFont val="Arial"/>
        <family val="2"/>
      </rPr>
      <t>sp</t>
    </r>
  </si>
  <si>
    <t>Effective molecular wt.of products</t>
  </si>
  <si>
    <r>
      <t>Basic Data and K</t>
    </r>
    <r>
      <rPr>
        <b/>
        <u/>
        <sz val="8"/>
        <color indexed="16"/>
        <rFont val="Arial"/>
        <family val="2"/>
      </rPr>
      <t>n</t>
    </r>
    <r>
      <rPr>
        <b/>
        <u/>
        <sz val="10"/>
        <color indexed="16"/>
        <rFont val="Arial"/>
        <family val="2"/>
      </rPr>
      <t xml:space="preserve"> Calculation</t>
    </r>
  </si>
  <si>
    <t>Propellant Data</t>
  </si>
  <si>
    <t>Propellant Burn Rate Empirical Data</t>
  </si>
  <si>
    <t>Po</t>
  </si>
  <si>
    <t>Title:</t>
  </si>
  <si>
    <r>
      <t>D</t>
    </r>
    <r>
      <rPr>
        <sz val="8"/>
        <rFont val="Arial"/>
        <family val="2"/>
      </rPr>
      <t>e</t>
    </r>
  </si>
  <si>
    <t>Nozzle exit diameter</t>
  </si>
  <si>
    <t>Pburst =</t>
  </si>
  <si>
    <t>MPa.</t>
  </si>
  <si>
    <t>inch -&gt;</t>
  </si>
  <si>
    <t>mm.</t>
  </si>
  <si>
    <t>cm.</t>
  </si>
  <si>
    <r>
      <t>lb(</t>
    </r>
    <r>
      <rPr>
        <sz val="8"/>
        <rFont val="Arial"/>
        <family val="2"/>
      </rPr>
      <t>mass)</t>
    </r>
    <r>
      <rPr>
        <sz val="10"/>
        <rFont val="Arial"/>
        <family val="2"/>
      </rPr>
      <t xml:space="preserve"> -&gt;</t>
    </r>
  </si>
  <si>
    <r>
      <t>lb(</t>
    </r>
    <r>
      <rPr>
        <sz val="8"/>
        <rFont val="Arial"/>
        <family val="2"/>
      </rPr>
      <t>force)</t>
    </r>
    <r>
      <rPr>
        <sz val="10"/>
        <rFont val="Arial"/>
        <family val="2"/>
      </rPr>
      <t xml:space="preserve"> -&gt;</t>
    </r>
  </si>
  <si>
    <r>
      <t>lb/in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 xml:space="preserve"> -&gt;</t>
    </r>
  </si>
  <si>
    <t>Length</t>
  </si>
  <si>
    <t>Mass</t>
  </si>
  <si>
    <t>Force</t>
  </si>
  <si>
    <t>Density</t>
  </si>
  <si>
    <t>Pressure</t>
  </si>
  <si>
    <r>
      <t>lb/in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-&gt;</t>
    </r>
  </si>
  <si>
    <t>Area</t>
  </si>
  <si>
    <r>
      <t>in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-&gt;</t>
    </r>
  </si>
  <si>
    <r>
      <t>mm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-&gt;</t>
    </r>
  </si>
  <si>
    <r>
      <t>g/cm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 xml:space="preserve"> -&gt;</t>
    </r>
  </si>
  <si>
    <t>Impulse</t>
  </si>
  <si>
    <t>lb-sec -&gt;</t>
  </si>
  <si>
    <t>Temperature</t>
  </si>
  <si>
    <t>R. -&gt;</t>
  </si>
  <si>
    <t>K.</t>
  </si>
  <si>
    <t>Abs. temperature</t>
  </si>
  <si>
    <t>deg.F. -&gt;</t>
  </si>
  <si>
    <t>deg.C.</t>
  </si>
  <si>
    <t>English -&gt; Metric Converter</t>
  </si>
  <si>
    <t>Metric -&gt; English Converter</t>
  </si>
  <si>
    <t>inch</t>
  </si>
  <si>
    <t xml:space="preserve">inch </t>
  </si>
  <si>
    <r>
      <t>lb(</t>
    </r>
    <r>
      <rPr>
        <sz val="8"/>
        <rFont val="Arial"/>
        <family val="2"/>
      </rPr>
      <t>mass)</t>
    </r>
  </si>
  <si>
    <r>
      <t>lb(</t>
    </r>
    <r>
      <rPr>
        <sz val="8"/>
        <rFont val="Arial"/>
        <family val="2"/>
      </rPr>
      <t>force)</t>
    </r>
  </si>
  <si>
    <r>
      <t>lb/in</t>
    </r>
    <r>
      <rPr>
        <vertAlign val="superscript"/>
        <sz val="10"/>
        <rFont val="Arial"/>
        <family val="2"/>
      </rPr>
      <t>3</t>
    </r>
  </si>
  <si>
    <r>
      <t>lb/in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</si>
  <si>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</t>
    </r>
  </si>
  <si>
    <t>lb-sec</t>
  </si>
  <si>
    <t>deg.F.</t>
  </si>
  <si>
    <t>R.</t>
  </si>
  <si>
    <t>mm. -&gt;</t>
  </si>
  <si>
    <t>cm. -&gt;</t>
  </si>
  <si>
    <t>kg. -&gt;</t>
  </si>
  <si>
    <t>N. -&gt;</t>
  </si>
  <si>
    <t>MPa. -&gt;</t>
  </si>
  <si>
    <t>N-sec. -&gt;</t>
  </si>
  <si>
    <t>deg.C.-&gt;</t>
  </si>
  <si>
    <t>K. -&gt;</t>
  </si>
  <si>
    <r>
      <t>g/cm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 xml:space="preserve"> </t>
    </r>
  </si>
  <si>
    <r>
      <t>mm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</t>
    </r>
  </si>
  <si>
    <t>Kn Table</t>
  </si>
  <si>
    <r>
      <t>&lt;=</t>
    </r>
    <r>
      <rPr>
        <b/>
        <i/>
        <sz val="9"/>
        <rFont val="Arial"/>
        <family val="2"/>
      </rPr>
      <t>Note: In case of non-convergence to zero, change value in this cell to a small "seed" value (e.g. .01)</t>
    </r>
  </si>
  <si>
    <t>of actual performance difficult, it was felt that a reasonably close approximation</t>
  </si>
  <si>
    <t>to expected performance would be attainable, and be very useful for design purposes.</t>
  </si>
  <si>
    <t>In particular, erosive burning is difficult to model. This spreadsheet uses a simple</t>
  </si>
  <si>
    <t>Pressure and performance predictions are based upon standard thermodynamic</t>
  </si>
  <si>
    <t>relate propellant burn rate to pressure. These parameters (a,n) are provided for</t>
  </si>
  <si>
    <t>To provide guidance in use of this spreadsheet, and to clarify various terms,</t>
  </si>
  <si>
    <t>"pop up" text boxes will appear over cells with a red corner flag. These may be</t>
  </si>
  <si>
    <t>(including BATES). Any number of segments may be specified. The user can also</t>
  </si>
  <si>
    <t>specify which surfaces are to be inhibited from burning (if any).</t>
  </si>
  <si>
    <t>Please forward any comments, suggestions, or notice of problems to the author:</t>
  </si>
  <si>
    <t xml:space="preserve">and fluid flow equations, in conjunction with empirically obtained parameters that </t>
  </si>
  <si>
    <t>Note that this spreadsheet is solely intended for hollow-cylindrical propellant grains</t>
  </si>
  <si>
    <t>Richard A.Nakka</t>
  </si>
  <si>
    <t>The two most significant factors that will affect the actual (delivered) performance</t>
  </si>
  <si>
    <r>
      <t xml:space="preserve">compared to predicted are </t>
    </r>
    <r>
      <rPr>
        <i/>
        <sz val="10"/>
        <rFont val="Arial"/>
        <family val="2"/>
      </rPr>
      <t>propellant preparation</t>
    </r>
    <r>
      <rPr>
        <sz val="10"/>
        <rFont val="Arial"/>
        <family val="2"/>
      </rPr>
      <t xml:space="preserve"> and </t>
    </r>
    <r>
      <rPr>
        <i/>
        <sz val="10"/>
        <rFont val="Arial"/>
        <family val="2"/>
      </rPr>
      <t>nozzle construction</t>
    </r>
    <r>
      <rPr>
        <sz val="10"/>
        <rFont val="Arial"/>
        <family val="2"/>
      </rPr>
      <t>. Propellant</t>
    </r>
  </si>
  <si>
    <t>preparation affects the burn rate characteristics and combustion efficiency. Care must</t>
  </si>
  <si>
    <t>be taken to have propellant constituents well-blended and of consistent oxidizer particle</t>
  </si>
  <si>
    <t>erosive burning model, intended more for contemplative purpose than actual prediction.</t>
  </si>
  <si>
    <t>Blending time (powdered) 1hr/100g. typical</t>
  </si>
  <si>
    <t xml:space="preserve">Nozzle erosion    </t>
  </si>
  <si>
    <t>ignition of the propellant occurs on all surfaces immediately and simultaneously. As</t>
  </si>
  <si>
    <t>well, burnout of the propellant is assumed to occur instantaneously. In reality, burning</t>
  </si>
  <si>
    <t>would normally initiate on those surfaces directly exposed to the ignition flame only,</t>
  </si>
  <si>
    <t>and as the chamber pressure rises, ignition occurs then on the remaining exposed</t>
  </si>
  <si>
    <t>propellant surfaces. The net affect is that the actual pressure rise and tail-off occur</t>
  </si>
  <si>
    <t>less rapidly than predicted, resulting in a more "rounded" shape to the pressure/time</t>
  </si>
  <si>
    <t>Ae/At</t>
  </si>
  <si>
    <t>Nozzle expansion ratio (initial)</t>
  </si>
  <si>
    <t>Mach No. at nozzle exit (initial)</t>
  </si>
  <si>
    <t>Mach No. at nozzle exit (final)</t>
  </si>
  <si>
    <r>
      <t>M</t>
    </r>
    <r>
      <rPr>
        <sz val="8"/>
        <rFont val="Arial"/>
        <family val="2"/>
      </rPr>
      <t>eo</t>
    </r>
  </si>
  <si>
    <r>
      <t>A</t>
    </r>
    <r>
      <rPr>
        <sz val="8"/>
        <rFont val="Arial"/>
        <family val="2"/>
      </rPr>
      <t>to</t>
    </r>
  </si>
  <si>
    <r>
      <t>M</t>
    </r>
    <r>
      <rPr>
        <sz val="8"/>
        <rFont val="Arial"/>
        <family val="2"/>
      </rPr>
      <t>ef</t>
    </r>
  </si>
  <si>
    <t>Me</t>
  </si>
  <si>
    <t>Web fraction</t>
  </si>
  <si>
    <r>
      <t>w</t>
    </r>
    <r>
      <rPr>
        <sz val="6"/>
        <rFont val="Arial"/>
        <family val="2"/>
      </rPr>
      <t xml:space="preserve"> </t>
    </r>
    <r>
      <rPr>
        <sz val="8"/>
        <rFont val="Arial"/>
        <family val="2"/>
      </rPr>
      <t>f</t>
    </r>
  </si>
  <si>
    <r>
      <t>r</t>
    </r>
    <r>
      <rPr>
        <sz val="10"/>
        <rFont val="Arial"/>
        <family val="2"/>
      </rPr>
      <t>'</t>
    </r>
    <r>
      <rPr>
        <sz val="10"/>
        <rFont val="Symbol"/>
        <family val="1"/>
        <charset val="2"/>
      </rPr>
      <t xml:space="preserve"> </t>
    </r>
    <r>
      <rPr>
        <sz val="8"/>
        <rFont val="Arial"/>
        <family val="2"/>
      </rPr>
      <t>grain</t>
    </r>
  </si>
  <si>
    <t>Volumetric loading fraction</t>
  </si>
  <si>
    <r>
      <t>V</t>
    </r>
    <r>
      <rPr>
        <sz val="6"/>
        <rFont val="Arial"/>
        <family val="2"/>
      </rPr>
      <t xml:space="preserve"> </t>
    </r>
    <r>
      <rPr>
        <sz val="10"/>
        <rFont val="Script"/>
        <family val="4"/>
        <charset val="255"/>
      </rPr>
      <t>l</t>
    </r>
  </si>
  <si>
    <t>Version</t>
  </si>
  <si>
    <t>Date</t>
  </si>
  <si>
    <t>Worksheet</t>
  </si>
  <si>
    <t>Changes</t>
  </si>
  <si>
    <t>Record of Revisions</t>
  </si>
  <si>
    <t>Beta</t>
  </si>
  <si>
    <t>1 Dec. 99</t>
  </si>
  <si>
    <t>Beta-1</t>
  </si>
  <si>
    <t>1 Sep. 00</t>
  </si>
  <si>
    <t>- Revised perfomance to take into account varying Ae/At due to throat erosion.</t>
  </si>
  <si>
    <t>- Original release.</t>
  </si>
  <si>
    <t xml:space="preserve"> - </t>
  </si>
  <si>
    <t>Performance</t>
  </si>
  <si>
    <t>- Added web fraction calculation.</t>
  </si>
  <si>
    <t>- Edited comment for nozzle efficiency.</t>
  </si>
  <si>
    <t>Data and Kn</t>
  </si>
  <si>
    <t>- Added volumetric loading fraction calculation.</t>
  </si>
  <si>
    <t>1.00</t>
  </si>
  <si>
    <r>
      <t>- Fixed bug wrt computing t</t>
    </r>
    <r>
      <rPr>
        <sz val="8"/>
        <rFont val="Arial"/>
        <family val="2"/>
      </rPr>
      <t>web</t>
    </r>
    <r>
      <rPr>
        <sz val="10"/>
        <rFont val="Arial"/>
        <family val="2"/>
      </rPr>
      <t xml:space="preserve"> with core inhibited.</t>
    </r>
  </si>
  <si>
    <t>Ratio of specific heats, mixture</t>
  </si>
  <si>
    <t>Notes:</t>
  </si>
  <si>
    <t>Additional Notes:</t>
  </si>
  <si>
    <t>Grain mass density, ideal</t>
  </si>
  <si>
    <t>Adiabatic flame temperature.</t>
  </si>
  <si>
    <r>
      <t xml:space="preserve">Given by </t>
    </r>
    <r>
      <rPr>
        <i/>
        <sz val="9"/>
        <rFont val="Arial"/>
        <family val="2"/>
      </rPr>
      <t>system mass</t>
    </r>
    <r>
      <rPr>
        <sz val="9"/>
        <rFont val="Arial"/>
        <family val="2"/>
      </rPr>
      <t xml:space="preserve"> divided by number of</t>
    </r>
    <r>
      <rPr>
        <i/>
        <sz val="9"/>
        <rFont val="Arial"/>
        <family val="2"/>
      </rPr>
      <t xml:space="preserve"> gas moles</t>
    </r>
    <r>
      <rPr>
        <sz val="9"/>
        <rFont val="Arial"/>
        <family val="2"/>
      </rPr>
      <t xml:space="preserve"> in system.</t>
    </r>
  </si>
  <si>
    <t>Propellant data</t>
  </si>
  <si>
    <t>(all)</t>
  </si>
  <si>
    <t>- Various font &amp; chart colours changed.</t>
  </si>
  <si>
    <t>Intro</t>
  </si>
  <si>
    <t>- URL added.</t>
  </si>
  <si>
    <t>- Hint added.</t>
  </si>
  <si>
    <r>
      <t xml:space="preserve">- </t>
    </r>
    <r>
      <rPr>
        <sz val="10"/>
        <rFont val="Arial"/>
        <family val="2"/>
      </rPr>
      <t>Note</t>
    </r>
    <r>
      <rPr>
        <sz val="10"/>
        <rFont val="Arial"/>
        <family val="2"/>
      </rPr>
      <t>s added.</t>
    </r>
  </si>
  <si>
    <r>
      <t xml:space="preserve">- </t>
    </r>
    <r>
      <rPr>
        <i/>
        <sz val="10"/>
        <rFont val="Arial"/>
        <family val="2"/>
      </rPr>
      <t>k</t>
    </r>
    <r>
      <rPr>
        <sz val="10"/>
        <rFont val="Arial"/>
        <family val="2"/>
      </rPr>
      <t xml:space="preserve"> for static mixture added.</t>
    </r>
  </si>
  <si>
    <r>
      <t>Instructions for use:</t>
    </r>
    <r>
      <rPr>
        <sz val="10"/>
        <rFont val="Arial"/>
        <family val="2"/>
      </rPr>
      <t xml:space="preserve"> </t>
    </r>
    <r>
      <rPr>
        <sz val="10"/>
        <color indexed="12"/>
        <rFont val="Arial"/>
        <family val="2"/>
      </rPr>
      <t>Enter required data in the blue-outlined cells (with blue text)</t>
    </r>
  </si>
  <si>
    <r>
      <t>Hint!</t>
    </r>
    <r>
      <rPr>
        <sz val="8"/>
        <rFont val="Arial"/>
        <family val="2"/>
      </rPr>
      <t xml:space="preserve"> </t>
    </r>
    <r>
      <rPr>
        <sz val="8"/>
        <color indexed="23"/>
        <rFont val="Arial"/>
        <family val="2"/>
      </rPr>
      <t>To directly convert inches to mm, simply type</t>
    </r>
    <r>
      <rPr>
        <sz val="8"/>
        <rFont val="Arial"/>
        <family val="2"/>
      </rPr>
      <t xml:space="preserve">  =25.4</t>
    </r>
    <r>
      <rPr>
        <sz val="9"/>
        <rFont val="Arial"/>
        <family val="2"/>
      </rPr>
      <t>*</t>
    </r>
    <r>
      <rPr>
        <i/>
        <sz val="8"/>
        <color indexed="12"/>
        <rFont val="Arial"/>
        <family val="2"/>
      </rPr>
      <t>number</t>
    </r>
    <r>
      <rPr>
        <sz val="8"/>
        <rFont val="Arial"/>
        <family val="2"/>
      </rPr>
      <t xml:space="preserve">  </t>
    </r>
    <r>
      <rPr>
        <sz val="8"/>
        <color indexed="23"/>
        <rFont val="Arial"/>
        <family val="2"/>
      </rPr>
      <t>where</t>
    </r>
    <r>
      <rPr>
        <sz val="8"/>
        <rFont val="Arial"/>
        <family val="2"/>
      </rPr>
      <t xml:space="preserve"> </t>
    </r>
    <r>
      <rPr>
        <i/>
        <sz val="8"/>
        <color indexed="12"/>
        <rFont val="Arial"/>
        <family val="2"/>
      </rPr>
      <t>number</t>
    </r>
    <r>
      <rPr>
        <sz val="8"/>
        <rFont val="Arial"/>
        <family val="2"/>
      </rPr>
      <t xml:space="preserve"> </t>
    </r>
    <r>
      <rPr>
        <sz val="8"/>
        <color indexed="23"/>
        <rFont val="Arial"/>
        <family val="2"/>
      </rPr>
      <t>is dimension in inches.</t>
    </r>
  </si>
  <si>
    <r>
      <t xml:space="preserve">This spreadsheet was created in order to predict the performance of a </t>
    </r>
    <r>
      <rPr>
        <b/>
        <sz val="10"/>
        <rFont val="Arial"/>
        <family val="2"/>
      </rPr>
      <t>Solid Rocket</t>
    </r>
  </si>
  <si>
    <r>
      <t xml:space="preserve">- </t>
    </r>
    <r>
      <rPr>
        <i/>
        <sz val="10"/>
        <rFont val="Arial"/>
        <family val="2"/>
      </rPr>
      <t>k</t>
    </r>
    <r>
      <rPr>
        <sz val="10"/>
        <rFont val="Arial"/>
        <family val="2"/>
      </rPr>
      <t xml:space="preserve"> for static mixture now used for pressure &amp; c* computation.</t>
    </r>
  </si>
  <si>
    <r>
      <t xml:space="preserve">- </t>
    </r>
    <r>
      <rPr>
        <i/>
        <sz val="10"/>
        <rFont val="Arial"/>
        <family val="2"/>
      </rPr>
      <t>k</t>
    </r>
    <r>
      <rPr>
        <sz val="10"/>
        <rFont val="Arial"/>
        <family val="2"/>
      </rPr>
      <t xml:space="preserve"> for 2-phase flow inserted.</t>
    </r>
  </si>
  <si>
    <t>Motor Output Data</t>
  </si>
  <si>
    <t>may be used in trajectory simulation software, such as SOAR.</t>
  </si>
  <si>
    <t>This page presents a summary of the key parameters of  motor performance, which</t>
  </si>
  <si>
    <t>Grain mass</t>
  </si>
  <si>
    <t>Specific Impulse</t>
  </si>
  <si>
    <t>lb.</t>
  </si>
  <si>
    <t>lb-sec.</t>
  </si>
  <si>
    <t>Average thrust</t>
  </si>
  <si>
    <t>Thrust time</t>
  </si>
  <si>
    <t>Data pt.</t>
  </si>
  <si>
    <t>Time</t>
  </si>
  <si>
    <t>(sec.)</t>
  </si>
  <si>
    <t>Thrust</t>
  </si>
  <si>
    <t>(N.)</t>
  </si>
  <si>
    <t>(lb.)</t>
  </si>
  <si>
    <r>
      <t xml:space="preserve">sec. </t>
    </r>
    <r>
      <rPr>
        <sz val="8"/>
        <rFont val="Arial"/>
        <family val="2"/>
      </rPr>
      <t>[see note2]</t>
    </r>
  </si>
  <si>
    <t>Time step</t>
  </si>
  <si>
    <r>
      <t>Thrust-time data</t>
    </r>
    <r>
      <rPr>
        <sz val="10"/>
        <rFont val="Arial"/>
        <family val="2"/>
      </rPr>
      <t xml:space="preserve"> </t>
    </r>
    <r>
      <rPr>
        <sz val="8"/>
        <rFont val="Arial"/>
        <family val="2"/>
      </rPr>
      <t xml:space="preserve"> [see note 1]</t>
    </r>
  </si>
  <si>
    <r>
      <t xml:space="preserve">[1 ] This table </t>
    </r>
    <r>
      <rPr>
        <i/>
        <sz val="9"/>
        <rFont val="Arial"/>
        <family val="2"/>
      </rPr>
      <t>approximates</t>
    </r>
    <r>
      <rPr>
        <sz val="9"/>
        <rFont val="Arial"/>
        <family val="2"/>
      </rPr>
      <t xml:space="preserve"> the actual thrust-time profile.</t>
    </r>
  </si>
  <si>
    <r>
      <t xml:space="preserve">[2]  The </t>
    </r>
    <r>
      <rPr>
        <i/>
        <sz val="9"/>
        <rFont val="Arial"/>
        <family val="2"/>
      </rPr>
      <t>effective</t>
    </r>
    <r>
      <rPr>
        <sz val="9"/>
        <rFont val="Arial"/>
        <family val="2"/>
      </rPr>
      <t xml:space="preserve"> time increment between data points.</t>
    </r>
  </si>
  <si>
    <t>Motor Classification</t>
  </si>
  <si>
    <t>Output</t>
  </si>
  <si>
    <t>- New worksheet</t>
  </si>
  <si>
    <r>
      <t xml:space="preserve">Then click on the </t>
    </r>
    <r>
      <rPr>
        <b/>
        <u/>
        <sz val="10"/>
        <color indexed="10"/>
        <rFont val="Arial"/>
        <family val="2"/>
      </rPr>
      <t>Solve</t>
    </r>
    <r>
      <rPr>
        <b/>
        <u/>
        <sz val="10"/>
        <color indexed="16"/>
        <rFont val="Arial"/>
        <family val="2"/>
      </rPr>
      <t xml:space="preserve"> buttons (1-3)</t>
    </r>
  </si>
  <si>
    <t>- Text modified</t>
  </si>
  <si>
    <t>- Solve buttons edited &amp; arrow added.</t>
  </si>
  <si>
    <t>6 April 02</t>
  </si>
  <si>
    <t xml:space="preserve">R </t>
  </si>
  <si>
    <t>S</t>
  </si>
  <si>
    <t>T</t>
  </si>
  <si>
    <t>U</t>
  </si>
  <si>
    <t>V</t>
  </si>
  <si>
    <t>KNSB</t>
  </si>
  <si>
    <t>KNDX</t>
  </si>
  <si>
    <t>KNSU</t>
  </si>
  <si>
    <t xml:space="preserve">Exposed </t>
  </si>
  <si>
    <t>Inhibited</t>
  </si>
  <si>
    <t>Core surface:</t>
  </si>
  <si>
    <t>Ends surface:</t>
  </si>
  <si>
    <t>KNSB coarse</t>
  </si>
  <si>
    <t>KNSB fine</t>
  </si>
  <si>
    <t>See Note [1] below</t>
  </si>
  <si>
    <t>Note [1]</t>
  </si>
  <si>
    <t>KNDX = potassium nitrate/dextrose, 65/35 O/F ratio, oxidizer finely milled</t>
  </si>
  <si>
    <t>Max =&gt;</t>
  </si>
  <si>
    <t>9 MPa</t>
  </si>
  <si>
    <t>8 MPa</t>
  </si>
  <si>
    <t>7 MPa</t>
  </si>
  <si>
    <t>6 MPa</t>
  </si>
  <si>
    <t>5 MPa</t>
  </si>
  <si>
    <t>4 MPa</t>
  </si>
  <si>
    <t>3 MPa</t>
  </si>
  <si>
    <t>2 MPa</t>
  </si>
  <si>
    <t>1200 psi</t>
  </si>
  <si>
    <t>1100 psi</t>
  </si>
  <si>
    <t>1000 psi</t>
  </si>
  <si>
    <t>900 psi</t>
  </si>
  <si>
    <t>800 psi</t>
  </si>
  <si>
    <t>700 psi</t>
  </si>
  <si>
    <t>600 psi</t>
  </si>
  <si>
    <t>500 psi</t>
  </si>
  <si>
    <t>400 psi</t>
  </si>
  <si>
    <t>300 psi</t>
  </si>
  <si>
    <t>200 psi</t>
  </si>
  <si>
    <r>
      <t xml:space="preserve">Nozzle:         </t>
    </r>
    <r>
      <rPr>
        <sz val="10"/>
        <rFont val="Arial"/>
        <family val="2"/>
      </rPr>
      <t xml:space="preserve"> At</t>
    </r>
    <r>
      <rPr>
        <sz val="8"/>
        <rFont val="Arial"/>
        <family val="2"/>
      </rPr>
      <t>o</t>
    </r>
  </si>
  <si>
    <t>Maximum chamber pressure (target)</t>
  </si>
  <si>
    <t>KNDX = Potassium Nitrate/Dextrose, 65/35 O/F ratio</t>
  </si>
  <si>
    <t>KNSB = Potassium Nitrate/Sorbitol, 65/35 O/F ratio</t>
  </si>
  <si>
    <t>KNSU = Potassium Nitrate/Sucrose, 65/35 O/F ratio</t>
  </si>
  <si>
    <t>KNSB Fine</t>
  </si>
  <si>
    <t>KNSB Coarse</t>
  </si>
  <si>
    <t>Grain temperature 20C.</t>
  </si>
  <si>
    <t>[1]  Milled in electric coffee grinder for approx. 40 sec.</t>
  </si>
  <si>
    <t xml:space="preserve">[2]  As obtained (fine granular) or prills milled in electric </t>
  </si>
  <si>
    <t>Conditions for applicability of burn rate parameters:</t>
  </si>
  <si>
    <t>8.5 MPa</t>
  </si>
  <si>
    <t>7.5 MPa</t>
  </si>
  <si>
    <t>6.5 MPa</t>
  </si>
  <si>
    <t>5.5 MPa</t>
  </si>
  <si>
    <t>4.5 MPa</t>
  </si>
  <si>
    <t>3.5 MPa</t>
  </si>
  <si>
    <t>2.5 MPa</t>
  </si>
  <si>
    <t>1.5 MPa</t>
  </si>
  <si>
    <t>1 MPa</t>
  </si>
  <si>
    <t>1300 psi</t>
  </si>
  <si>
    <t>1150 psi</t>
  </si>
  <si>
    <t>1050 psi</t>
  </si>
  <si>
    <t>950 psi</t>
  </si>
  <si>
    <t>850 psi</t>
  </si>
  <si>
    <t>750 psi</t>
  </si>
  <si>
    <t>650 psi</t>
  </si>
  <si>
    <t>550 psi</t>
  </si>
  <si>
    <t>450 psi</t>
  </si>
  <si>
    <t>350 psi</t>
  </si>
  <si>
    <t>250 psi</t>
  </si>
  <si>
    <t>150 psi</t>
  </si>
  <si>
    <t>1250 psi</t>
  </si>
  <si>
    <r>
      <t xml:space="preserve"> </t>
    </r>
    <r>
      <rPr>
        <b/>
        <sz val="14"/>
        <color indexed="60"/>
        <rFont val="Arial"/>
        <family val="2"/>
      </rPr>
      <t>S</t>
    </r>
    <r>
      <rPr>
        <b/>
        <sz val="11"/>
        <color indexed="60"/>
        <rFont val="Arial"/>
        <family val="2"/>
      </rPr>
      <t>olid</t>
    </r>
    <r>
      <rPr>
        <b/>
        <sz val="12"/>
        <color indexed="60"/>
        <rFont val="Arial"/>
        <family val="2"/>
      </rPr>
      <t xml:space="preserve"> </t>
    </r>
    <r>
      <rPr>
        <b/>
        <sz val="14"/>
        <color indexed="60"/>
        <rFont val="Arial"/>
        <family val="2"/>
      </rPr>
      <t>R</t>
    </r>
    <r>
      <rPr>
        <b/>
        <sz val="11"/>
        <color indexed="60"/>
        <rFont val="Arial"/>
        <family val="2"/>
      </rPr>
      <t>ocket</t>
    </r>
    <r>
      <rPr>
        <b/>
        <sz val="12"/>
        <color indexed="60"/>
        <rFont val="Arial"/>
        <family val="2"/>
      </rPr>
      <t xml:space="preserve"> </t>
    </r>
    <r>
      <rPr>
        <b/>
        <sz val="14"/>
        <color indexed="60"/>
        <rFont val="Arial"/>
        <family val="2"/>
      </rPr>
      <t>M</t>
    </r>
    <r>
      <rPr>
        <b/>
        <sz val="11"/>
        <color indexed="60"/>
        <rFont val="Arial"/>
        <family val="2"/>
      </rPr>
      <t>otor</t>
    </r>
    <r>
      <rPr>
        <b/>
        <sz val="12"/>
        <color indexed="60"/>
        <rFont val="Arial"/>
        <family val="2"/>
      </rPr>
      <t xml:space="preserve"> Performance </t>
    </r>
  </si>
  <si>
    <r>
      <t xml:space="preserve">size (see "Conditions for Applicability", </t>
    </r>
    <r>
      <rPr>
        <i/>
        <sz val="10"/>
        <color indexed="17"/>
        <rFont val="Arial"/>
        <family val="2"/>
      </rPr>
      <t>Burnrate</t>
    </r>
    <r>
      <rPr>
        <sz val="10"/>
        <rFont val="Arial"/>
        <family val="2"/>
      </rPr>
      <t xml:space="preserve"> worksheet).  Good nozzle performance</t>
    </r>
  </si>
  <si>
    <t>can be achieved with use of proper geometry and enhanced  through careful contouring</t>
  </si>
  <si>
    <t>and polishing of flow surfaces.</t>
  </si>
  <si>
    <t>A key factor that leads to inaccuracy in prediction is that the analysis assumes that</t>
  </si>
  <si>
    <t>propellants. Sugar propellants generate a large amount of condensed-phase</t>
  </si>
  <si>
    <t>combustion products. The resulting "two-phase flow" has a significant effect upon</t>
  </si>
  <si>
    <t>motor performance and cannot be ignored. This spreadsheet accounts for two-</t>
  </si>
  <si>
    <t>phase flow by using suitably modified parameters and flow equations.</t>
  </si>
  <si>
    <r>
      <t xml:space="preserve">Oxidizer particle size 60-125 </t>
    </r>
    <r>
      <rPr>
        <sz val="10"/>
        <color indexed="16"/>
        <rFont val="Symbol"/>
        <family val="1"/>
        <charset val="2"/>
      </rPr>
      <t>m</t>
    </r>
    <r>
      <rPr>
        <sz val="10"/>
        <color indexed="16"/>
        <rFont val="Arial"/>
        <family val="2"/>
      </rPr>
      <t>m majority</t>
    </r>
    <r>
      <rPr>
        <sz val="10"/>
        <color indexed="36"/>
        <rFont val="Arial"/>
        <family val="2"/>
      </rPr>
      <t xml:space="preserve"> </t>
    </r>
    <r>
      <rPr>
        <sz val="10"/>
        <color indexed="18"/>
        <rFont val="Arial"/>
        <family val="2"/>
      </rPr>
      <t>[Note 1]</t>
    </r>
  </si>
  <si>
    <r>
      <t xml:space="preserve">Oxidizer particle size 150-250 </t>
    </r>
    <r>
      <rPr>
        <sz val="10"/>
        <color indexed="16"/>
        <rFont val="Symbol"/>
        <family val="1"/>
        <charset val="2"/>
      </rPr>
      <t>m</t>
    </r>
    <r>
      <rPr>
        <sz val="10"/>
        <color indexed="16"/>
        <rFont val="Arial"/>
        <family val="2"/>
      </rPr>
      <t>m majority</t>
    </r>
    <r>
      <rPr>
        <sz val="10"/>
        <color indexed="18"/>
        <rFont val="Arial"/>
        <family val="2"/>
      </rPr>
      <t xml:space="preserve"> [Note 2]</t>
    </r>
  </si>
  <si>
    <t>- Propellant choices enhanced.</t>
  </si>
  <si>
    <t>b</t>
  </si>
  <si>
    <t>c</t>
  </si>
  <si>
    <t>order</t>
  </si>
  <si>
    <t>e</t>
  </si>
  <si>
    <t>f</t>
  </si>
  <si>
    <t>g</t>
  </si>
  <si>
    <t>Kn init</t>
  </si>
  <si>
    <t>Ratio of Burning area / throat area  (max)</t>
  </si>
  <si>
    <t>where units of P is "MPa"</t>
  </si>
  <si>
    <t>Kn versus Pressure for  propellants.</t>
  </si>
  <si>
    <t>Target MEOP:</t>
  </si>
  <si>
    <t>Kn max:</t>
  </si>
  <si>
    <t>150-400 psi</t>
  </si>
  <si>
    <t>900-1300 psi</t>
  </si>
  <si>
    <t>450-850 psi</t>
  </si>
  <si>
    <t>Polynomial coefficients for Least Squares Fit of Kn as fcn of Pressure data</t>
  </si>
  <si>
    <t>select</t>
  </si>
  <si>
    <t>calc Kn</t>
  </si>
  <si>
    <r>
      <t>Kn = a + b*P + c*P</t>
    </r>
    <r>
      <rPr>
        <vertAlign val="superscript"/>
        <sz val="10"/>
        <color indexed="23"/>
        <rFont val="Arial"/>
        <family val="2"/>
      </rPr>
      <t>2</t>
    </r>
    <r>
      <rPr>
        <sz val="10"/>
        <color indexed="23"/>
        <rFont val="Arial"/>
        <family val="2"/>
      </rPr>
      <t xml:space="preserve"> + d*P</t>
    </r>
    <r>
      <rPr>
        <vertAlign val="superscript"/>
        <sz val="10"/>
        <color indexed="23"/>
        <rFont val="Arial"/>
        <family val="2"/>
      </rPr>
      <t>3</t>
    </r>
    <r>
      <rPr>
        <sz val="10"/>
        <color indexed="23"/>
        <rFont val="Arial"/>
        <family val="2"/>
      </rPr>
      <t xml:space="preserve"> + e*P</t>
    </r>
    <r>
      <rPr>
        <vertAlign val="superscript"/>
        <sz val="10"/>
        <color indexed="23"/>
        <rFont val="Arial"/>
        <family val="2"/>
      </rPr>
      <t>4</t>
    </r>
    <r>
      <rPr>
        <sz val="10"/>
        <color indexed="23"/>
        <rFont val="Arial"/>
        <family val="2"/>
      </rPr>
      <t xml:space="preserve"> + f*P</t>
    </r>
    <r>
      <rPr>
        <vertAlign val="superscript"/>
        <sz val="10"/>
        <color indexed="23"/>
        <rFont val="Arial"/>
        <family val="2"/>
      </rPr>
      <t>5</t>
    </r>
    <r>
      <rPr>
        <sz val="10"/>
        <color indexed="23"/>
        <rFont val="Arial"/>
        <family val="2"/>
      </rPr>
      <t xml:space="preserve"> + g*P</t>
    </r>
    <r>
      <rPr>
        <vertAlign val="superscript"/>
        <sz val="10"/>
        <color indexed="23"/>
        <rFont val="Arial"/>
        <family val="2"/>
      </rPr>
      <t>6</t>
    </r>
  </si>
  <si>
    <r>
      <t>P</t>
    </r>
    <r>
      <rPr>
        <sz val="8"/>
        <color indexed="23"/>
        <rFont val="Arial"/>
        <family val="2"/>
      </rPr>
      <t>target</t>
    </r>
    <r>
      <rPr>
        <sz val="10"/>
        <color indexed="23"/>
        <rFont val="Arial"/>
        <family val="2"/>
      </rPr>
      <t>:</t>
    </r>
  </si>
  <si>
    <t>0-1300 psi</t>
  </si>
  <si>
    <t>Range incr</t>
  </si>
  <si>
    <t>fueltype</t>
  </si>
  <si>
    <t xml:space="preserve">     coffee grinder approx. 5 sec.</t>
  </si>
  <si>
    <t>Dec.2013</t>
  </si>
  <si>
    <t>Note that some data cells have drop-down lists</t>
  </si>
  <si>
    <t>website: www.nakka-rocketry.net</t>
  </si>
  <si>
    <t>e-mail: richard.rocketry@gmail.com</t>
  </si>
  <si>
    <t>KNER coarse</t>
  </si>
  <si>
    <t>KNMN coarse</t>
  </si>
  <si>
    <t>KNER</t>
  </si>
  <si>
    <t>KNMN</t>
  </si>
  <si>
    <t>KNMN = Potassium Nitrate/Mannitol, 65/35 O/F ratio</t>
  </si>
  <si>
    <t>KNER = Potassium Nitrate/Erythritol, 65/35 O/F ratio</t>
  </si>
  <si>
    <r>
      <t xml:space="preserve">KNSB Coarse, KNMN Coarse </t>
    </r>
    <r>
      <rPr>
        <sz val="9"/>
        <color indexed="12"/>
        <rFont val="Arial"/>
        <family val="2"/>
      </rPr>
      <t xml:space="preserve"> Note [3]</t>
    </r>
  </si>
  <si>
    <r>
      <t xml:space="preserve">KNER Coarse </t>
    </r>
    <r>
      <rPr>
        <sz val="9"/>
        <color indexed="12"/>
        <rFont val="Arial"/>
        <family val="2"/>
      </rPr>
      <t xml:space="preserve"> Note [3]</t>
    </r>
  </si>
  <si>
    <t>KNER coarse = potassium nitrate/erythritol 65/35 O/F ratio, oxidizer granular or lightly milled prills</t>
  </si>
  <si>
    <t>KNSB coarse = potassium nitrate/sorbitol 65/35 O/F ratio, oxidizer granular or lightly milled prills</t>
  </si>
  <si>
    <t>KNSU= potassium nitrate/sucrose 65/35 O/F ratio, oxidizer finely milled</t>
  </si>
  <si>
    <t>KNMN coarse = potassium nitrate/mannitol 65/35 O/F ratio, oxidizer granular or lightly milled prills</t>
  </si>
  <si>
    <t>KNSB fine = potassium nitrate/sorbitol 65/35 O/F ratio, oxidizer finely milled</t>
  </si>
  <si>
    <t>"coarse", KNER "coarse" &amp; KNMN "coarse"). Fine and coarse refer to the oxidizer</t>
  </si>
  <si>
    <r>
      <t xml:space="preserve">disabled, if desired, via the </t>
    </r>
    <r>
      <rPr>
        <sz val="10"/>
        <color indexed="17"/>
        <rFont val="Arial"/>
        <family val="2"/>
      </rPr>
      <t>Tools/Options/View/Comments</t>
    </r>
    <r>
      <rPr>
        <sz val="10"/>
        <rFont val="Arial"/>
        <family val="2"/>
      </rPr>
      <t xml:space="preserve"> menu.</t>
    </r>
  </si>
  <si>
    <r>
      <t xml:space="preserve">Motor </t>
    </r>
    <r>
      <rPr>
        <sz val="10"/>
        <rFont val="Arial"/>
        <family val="2"/>
      </rPr>
      <t>(SRM). Although there are many factors which make a precise prediction</t>
    </r>
  </si>
  <si>
    <t>curve and a longer overall burn time.</t>
  </si>
  <si>
    <t>Erosive burning may generally be neglected in the design of a new motor without serious</t>
  </si>
  <si>
    <t>consequence.</t>
  </si>
  <si>
    <t>This spreadsheet is dedicated to the design of rocket motors that use "sugar"</t>
  </si>
  <si>
    <t>Note on chamber pressure calculation:</t>
  </si>
  <si>
    <t xml:space="preserve">chamber pressure may differ from the user-selected TARGET maximum chamber </t>
  </si>
  <si>
    <t>pressure by +/- 0.3 MPa (50 psi).</t>
  </si>
  <si>
    <t xml:space="preserve">Due to the algorithm that is utilized to compute chamber pressure, the maximum </t>
  </si>
  <si>
    <r>
      <t>Dt</t>
    </r>
    <r>
      <rPr>
        <b/>
        <sz val="8"/>
        <rFont val="Arial"/>
        <family val="2"/>
      </rPr>
      <t>o</t>
    </r>
  </si>
  <si>
    <r>
      <t>Throat diameter</t>
    </r>
    <r>
      <rPr>
        <sz val="10"/>
        <rFont val="Arial"/>
        <family val="2"/>
      </rPr>
      <t xml:space="preserve"> (initial)</t>
    </r>
  </si>
  <si>
    <t>Pt.</t>
  </si>
  <si>
    <t>X</t>
  </si>
  <si>
    <t>Y</t>
  </si>
  <si>
    <t>-Y</t>
  </si>
  <si>
    <t>- Added Nozzle Design worksheet</t>
  </si>
  <si>
    <t>Nozzle Design</t>
  </si>
  <si>
    <t>Chamber inside diameter</t>
  </si>
  <si>
    <t>Nozzle throat diameter</t>
  </si>
  <si>
    <r>
      <t>D</t>
    </r>
    <r>
      <rPr>
        <sz val="8"/>
        <rFont val="Arial"/>
        <family val="2"/>
      </rPr>
      <t>e</t>
    </r>
    <r>
      <rPr>
        <sz val="8"/>
        <rFont val="Arial"/>
        <family val="2"/>
      </rPr>
      <t xml:space="preserve"> opt</t>
    </r>
  </si>
  <si>
    <t>Optimum nozzle exit diameter</t>
  </si>
  <si>
    <t>alpha</t>
  </si>
  <si>
    <t>beta</t>
  </si>
  <si>
    <t>degrees</t>
  </si>
  <si>
    <t>Nozzle divergence half-angle</t>
  </si>
  <si>
    <t>Nozzle convergence half-angle</t>
  </si>
  <si>
    <t>Graphing:</t>
  </si>
  <si>
    <t>Ld</t>
  </si>
  <si>
    <t>Convergence length</t>
  </si>
  <si>
    <t>Divergence length</t>
  </si>
  <si>
    <t>Overall length</t>
  </si>
  <si>
    <r>
      <t>D</t>
    </r>
    <r>
      <rPr>
        <sz val="8"/>
        <rFont val="Arial"/>
        <family val="2"/>
      </rPr>
      <t>t</t>
    </r>
  </si>
  <si>
    <t>- Multiple changes to user interface and formating</t>
  </si>
  <si>
    <t>Reference worksheets:</t>
  </si>
  <si>
    <t>- Fixed issue with calculation failure (#NUM) when selecting low chamber pressure (caused by negative mass storage rate)</t>
  </si>
  <si>
    <t>KNPSB</t>
  </si>
  <si>
    <t>KNPSB = Potassium Nitrate/Potassium Perchlorate/Sorbitol 35/30/35 O/O/F ratio</t>
  </si>
  <si>
    <t>Mar. 2023</t>
  </si>
  <si>
    <t>May 2020</t>
  </si>
  <si>
    <r>
      <t>SRM</t>
    </r>
    <r>
      <rPr>
        <b/>
        <sz val="12"/>
        <color indexed="60"/>
        <rFont val="Lucida Console"/>
        <family val="3"/>
      </rPr>
      <t xml:space="preserve"> </t>
    </r>
    <r>
      <rPr>
        <b/>
        <sz val="14"/>
        <color indexed="60"/>
        <rFont val="Lucida Console"/>
        <family val="3"/>
      </rPr>
      <t>2023</t>
    </r>
    <r>
      <rPr>
        <b/>
        <sz val="16"/>
        <color indexed="60"/>
        <rFont val="Lucida Console"/>
        <family val="3"/>
      </rPr>
      <t>.XLS</t>
    </r>
  </si>
  <si>
    <t>Changes incorporated into SRM 2023 version</t>
  </si>
  <si>
    <t>Ref. ProPEP</t>
  </si>
  <si>
    <t>For the  gas-particle mixture.</t>
  </si>
  <si>
    <t>particle size. Burn rate parameters for KNPSB were obtained through BEM static</t>
  </si>
  <si>
    <t>tests.</t>
  </si>
  <si>
    <t>KNPSB propellant should be produced using the process described in the</t>
  </si>
  <si>
    <t>www.nakka-rocketry.net/knpsb.html</t>
  </si>
  <si>
    <t xml:space="preserve">following web page: </t>
  </si>
  <si>
    <t>KNPSB= potassium nitrate/potassium perchlorate/sorbitol 35/30/35 O/O/F ratio, oxidizers finely milled</t>
  </si>
  <si>
    <t>2023 (for free distribution). Supercedes SRM_2014.XLS version 1.1 (2014)</t>
  </si>
  <si>
    <t>- Fixed minor error with fuel type selection of k and To.</t>
  </si>
  <si>
    <t>KNFR</t>
  </si>
  <si>
    <t>KNFR = Potassium Nitrate/Fructose, 65/35 OF ratio</t>
  </si>
  <si>
    <t>six "sugar" propellants: KNDX, KNSB, KNSU, KNER, KNFR and KNMN. These burn</t>
  </si>
  <si>
    <t>rate parameters were obtained through careful strand burner measurements conducted</t>
  </si>
  <si>
    <t>by Richard Nakka (KNSB "fine", KNDX, KNFR &amp; KNSU) and Magnus Gudnasen (KNSB</t>
  </si>
  <si>
    <t>KNPSB and KNFR have been added to the choice of propellants. All propellant properties have been</t>
  </si>
  <si>
    <t>- Removed 2-phase value for "k" (replaced with "k" for mixture)</t>
  </si>
  <si>
    <t>- Updated for revisions</t>
  </si>
  <si>
    <t>KNFR = potassium nitrate/fructose, 65/35 O/F ratio, oxidizer finely milled</t>
  </si>
  <si>
    <t>- Table expanded to "V-Class"</t>
  </si>
  <si>
    <t>overall effect of these updated property values is a small reduction in predicted performance (thrust, total</t>
  </si>
  <si>
    <t>impulse &amp; specific impulse) compared to SRM_2014. Motor performance up to "V" class is now supported.</t>
  </si>
  <si>
    <t>tweaked based on revised two-phase flow analysis. The value of "k" is corrected to a single value. The</t>
  </si>
  <si>
    <t>KNSB Fine, KNDX, KNFR and KNSU :</t>
  </si>
  <si>
    <t>KNSB Coarse, KNMN Coarse &amp; KNER Coarse :</t>
  </si>
  <si>
    <t>[3]  Coarse burn rate parameters courtesy Magnus Gudnasen.</t>
  </si>
  <si>
    <t>Burnrate</t>
  </si>
  <si>
    <t>- Added parameters for KNPSB and KNFR</t>
  </si>
  <si>
    <t>- Added KNFR and KNPSB propellants</t>
  </si>
  <si>
    <t>- Updated graph titles</t>
  </si>
  <si>
    <t xml:space="preserve">Simplified rocket performance </t>
  </si>
  <si>
    <t>Propellant mass</t>
  </si>
  <si>
    <t>This sheet pretends to determine the rocket off design points for motor design simplifying the analysis to a one dimension proyectile</t>
  </si>
  <si>
    <t>Later corrections are made with more complexes simulations</t>
  </si>
  <si>
    <t>Considered variables:</t>
  </si>
  <si>
    <t>Total mass of rocket</t>
  </si>
  <si>
    <t>Rocket Drag coefficient</t>
  </si>
  <si>
    <t>Thrust to weight ratio</t>
  </si>
  <si>
    <t>Min rod velocity gained &lt;20 m/s</t>
  </si>
  <si>
    <t>Min touchdown velocity 8-5 m/s</t>
  </si>
  <si>
    <t>Min drag recovery velocity 10-15 m/s</t>
  </si>
  <si>
    <t>Main parachute Drag coefficient</t>
  </si>
  <si>
    <t>Drag parachute Drag coefficient</t>
  </si>
  <si>
    <t>Rod length 1-2 m</t>
  </si>
  <si>
    <t>Burn time 0.4-5 sec</t>
  </si>
  <si>
    <t>y</t>
  </si>
  <si>
    <t>Constant thrust:</t>
  </si>
  <si>
    <t>T/W ratio:</t>
  </si>
  <si>
    <t>SL gravity reference</t>
  </si>
  <si>
    <t>N SL gravity reference</t>
  </si>
  <si>
    <t>Burn time:</t>
  </si>
  <si>
    <t>Sec</t>
  </si>
  <si>
    <t>Total impulse:</t>
  </si>
  <si>
    <t>Final rocket mass:</t>
  </si>
  <si>
    <t>For altitude determination</t>
  </si>
  <si>
    <t>Km</t>
  </si>
  <si>
    <t>Forces analysis</t>
  </si>
  <si>
    <t>For velocity and altitude analysis</t>
  </si>
  <si>
    <t>Overall dimensions:</t>
  </si>
  <si>
    <t>Length (m)</t>
  </si>
  <si>
    <t>Transversal area (m^2)</t>
  </si>
  <si>
    <r>
      <t xml:space="preserve">Diameter (m) </t>
    </r>
    <r>
      <rPr>
        <u/>
        <sz val="10"/>
        <rFont val="Arial"/>
        <family val="2"/>
      </rPr>
      <t>for inches multiply by 0.0254 m</t>
    </r>
  </si>
  <si>
    <t>sec</t>
  </si>
  <si>
    <t>Iteration time step</t>
  </si>
  <si>
    <t>Mass flux:</t>
  </si>
  <si>
    <t>Kg/s</t>
  </si>
  <si>
    <t>z in meters Altitude</t>
  </si>
  <si>
    <t>Temperature difference across altitude:</t>
  </si>
  <si>
    <t>°C/m</t>
  </si>
  <si>
    <t>Ideal gas constant for air:</t>
  </si>
  <si>
    <t>°C measured</t>
  </si>
  <si>
    <t>Pa</t>
  </si>
  <si>
    <t>°C corrected</t>
  </si>
  <si>
    <t>Motor class:</t>
  </si>
  <si>
    <t>Maximum velocity:</t>
  </si>
  <si>
    <t>Measured pressure At launchsite:</t>
  </si>
  <si>
    <t>Measured/Corrected temp. At launchsite:</t>
  </si>
  <si>
    <t>Coordinates of launch:</t>
  </si>
  <si>
    <t>Propellant mass:</t>
  </si>
  <si>
    <t>Initial total rocket mass with motor:</t>
  </si>
  <si>
    <t>Rocket mass:</t>
  </si>
  <si>
    <t>Constant rocket Drag Coefficient:</t>
  </si>
  <si>
    <r>
      <t xml:space="preserve">kg </t>
    </r>
    <r>
      <rPr>
        <b/>
        <u/>
        <sz val="10"/>
        <rFont val="Arial"/>
        <family val="2"/>
      </rPr>
      <t>Assimilation of lineal loss of mass</t>
    </r>
  </si>
  <si>
    <t>Non Variable drag coef with Mach</t>
  </si>
  <si>
    <t>Time step:</t>
  </si>
  <si>
    <t>Time powered flight:</t>
  </si>
  <si>
    <t>Sequences:</t>
  </si>
  <si>
    <t>Time free flight:</t>
  </si>
  <si>
    <t>Velocity at rod launch:</t>
  </si>
  <si>
    <t>Maximum absolute apogee:</t>
  </si>
  <si>
    <t>Sequence</t>
  </si>
  <si>
    <t>time (sec)</t>
  </si>
  <si>
    <t>Drag (N)</t>
  </si>
  <si>
    <t>Gravity (N)</t>
  </si>
  <si>
    <t>Thrust (N)</t>
  </si>
  <si>
    <t>Acceleration m/s^2</t>
  </si>
  <si>
    <t>Velocity m/s</t>
  </si>
  <si>
    <t>Altitude (m)</t>
  </si>
  <si>
    <t>Mass (kg)</t>
  </si>
  <si>
    <t>rho (kg/m^3)</t>
  </si>
  <si>
    <t>Pressure (Pa)</t>
  </si>
  <si>
    <t>Temperature (K)</t>
  </si>
  <si>
    <t xml:space="preserve">Ns SL </t>
  </si>
  <si>
    <t>Abs altitude (Km)</t>
  </si>
  <si>
    <t xml:space="preserve"> </t>
  </si>
  <si>
    <t>Rocket motor</t>
  </si>
  <si>
    <t>Type</t>
  </si>
  <si>
    <t>Reference</t>
  </si>
  <si>
    <t>H135W-14A</t>
  </si>
  <si>
    <t>DMS</t>
  </si>
  <si>
    <t>Burn time (sec)</t>
  </si>
  <si>
    <t>Diameter (mm)</t>
  </si>
  <si>
    <t>Length (mm)</t>
  </si>
  <si>
    <t>Impulse (Ns)</t>
  </si>
  <si>
    <t>Peak thrust (N)</t>
  </si>
  <si>
    <t>Propellant weight (gr)</t>
  </si>
  <si>
    <t>Total weight (gr)</t>
  </si>
  <si>
    <t>https://aerotech-rocketry.com/products/product_4849de95-78fa-23c5-8ae3-26a723a04d23</t>
  </si>
  <si>
    <t>https://aerotech-rocketry.com/products/product_97224fda-20dd-220a-a5cf-1c8147e3fd2a</t>
  </si>
  <si>
    <t>time step</t>
  </si>
  <si>
    <t>Motor Thrust corrected</t>
  </si>
  <si>
    <t>Case weight (gr)</t>
  </si>
  <si>
    <t>Rocket motor mass:</t>
  </si>
  <si>
    <t>point</t>
  </si>
  <si>
    <t>Payload mass</t>
  </si>
  <si>
    <t>For: +</t>
  </si>
  <si>
    <t>Cf</t>
  </si>
  <si>
    <t>For Klemmung</t>
  </si>
  <si>
    <t>Design of "H" class</t>
  </si>
  <si>
    <t>Dt</t>
  </si>
  <si>
    <t>Dgrain</t>
  </si>
  <si>
    <t>time burn</t>
  </si>
  <si>
    <t>P MEOP</t>
  </si>
  <si>
    <t>dgrain</t>
  </si>
  <si>
    <t>Lcartuche</t>
  </si>
  <si>
    <t>Ab,init</t>
  </si>
  <si>
    <t>Ab,max</t>
  </si>
  <si>
    <t>L due x</t>
  </si>
  <si>
    <t>d due x</t>
  </si>
  <si>
    <t>N needed</t>
  </si>
  <si>
    <t>Ab,needed</t>
  </si>
  <si>
    <t>k avg</t>
  </si>
  <si>
    <t>Patm</t>
  </si>
  <si>
    <t>Nozzle eff</t>
  </si>
  <si>
    <t>Kn due MEOP</t>
  </si>
  <si>
    <t>For KNSU</t>
  </si>
  <si>
    <t>mm/sec</t>
  </si>
  <si>
    <t>rho grain</t>
  </si>
  <si>
    <t>rho corrected</t>
  </si>
  <si>
    <t>gr/cm^3</t>
  </si>
  <si>
    <t>kg/m^3</t>
  </si>
  <si>
    <t>m/sec</t>
  </si>
  <si>
    <t>alfa</t>
  </si>
  <si>
    <t>Kn=117</t>
  </si>
  <si>
    <t>rho</t>
  </si>
  <si>
    <t>tot</t>
  </si>
  <si>
    <t>Kn=77</t>
  </si>
  <si>
    <t>2 mpa</t>
  </si>
  <si>
    <t>Desired thrust:</t>
  </si>
  <si>
    <t>Mass lifted:</t>
  </si>
  <si>
    <t>T/W ratio</t>
  </si>
  <si>
    <t>Ns</t>
  </si>
  <si>
    <t>mm2</t>
  </si>
  <si>
    <t>Catalogue of low carbon steel tubes</t>
  </si>
  <si>
    <t>ID</t>
  </si>
  <si>
    <t>Catalogue of alloyed steel</t>
  </si>
  <si>
    <t>Catalogue of inox steel</t>
  </si>
  <si>
    <t>Catalogue of ablative protection</t>
  </si>
  <si>
    <t>Volume of case</t>
  </si>
  <si>
    <t>Inner space of grain</t>
  </si>
  <si>
    <t>depends on ablative and inner case Diam.</t>
  </si>
  <si>
    <t>ROUND UP</t>
  </si>
  <si>
    <t>Length of chamber</t>
  </si>
  <si>
    <t>Inner diam. of chamber</t>
  </si>
  <si>
    <t>Case 1</t>
  </si>
  <si>
    <t>Case 2</t>
  </si>
  <si>
    <t>Ab,given</t>
  </si>
  <si>
    <t>Kn,given</t>
  </si>
  <si>
    <t>Pchamber,given</t>
  </si>
  <si>
    <t>for max Kn</t>
  </si>
  <si>
    <t>For</t>
  </si>
  <si>
    <r>
      <t>g/cm</t>
    </r>
    <r>
      <rPr>
        <vertAlign val="superscript"/>
        <sz val="10"/>
        <color indexed="16"/>
        <rFont val="Arial"/>
        <family val="2"/>
      </rPr>
      <t>3</t>
    </r>
  </si>
  <si>
    <r>
      <t>C</t>
    </r>
    <r>
      <rPr>
        <sz val="8"/>
        <color indexed="12"/>
        <rFont val="Arial"/>
        <family val="2"/>
      </rPr>
      <t>s</t>
    </r>
  </si>
  <si>
    <t>J/g-K</t>
  </si>
  <si>
    <t>Thermal Properties of Various Materials</t>
  </si>
  <si>
    <t>Aluminum</t>
  </si>
  <si>
    <t>Brass</t>
  </si>
  <si>
    <t>Mild steel</t>
  </si>
  <si>
    <t>Alloy steel</t>
  </si>
  <si>
    <t>Stain.steel</t>
  </si>
  <si>
    <t>Titanium</t>
  </si>
  <si>
    <t>Epoxy/</t>
  </si>
  <si>
    <t>Paper</t>
  </si>
  <si>
    <t>Rubber</t>
  </si>
  <si>
    <t>PVC</t>
  </si>
  <si>
    <t>Polyester</t>
  </si>
  <si>
    <t>Dow Corning</t>
  </si>
  <si>
    <t xml:space="preserve"> Cotronics 740</t>
  </si>
  <si>
    <t xml:space="preserve"> Cotronics 750</t>
  </si>
  <si>
    <t>Grafoil</t>
  </si>
  <si>
    <t>Property at</t>
  </si>
  <si>
    <t>pure</t>
  </si>
  <si>
    <t>2024-TXX</t>
  </si>
  <si>
    <t>6061-T6</t>
  </si>
  <si>
    <t>70Cu/30Zn</t>
  </si>
  <si>
    <t>AISI 1010</t>
  </si>
  <si>
    <t>AISI 304</t>
  </si>
  <si>
    <t>Ti-6Al-4V</t>
  </si>
  <si>
    <t>graphite</t>
  </si>
  <si>
    <t>hard vulc.</t>
  </si>
  <si>
    <t>93-104</t>
  </si>
  <si>
    <r>
      <t>Al</t>
    </r>
    <r>
      <rPr>
        <vertAlign val="subscript"/>
        <sz val="9"/>
        <rFont val="Arial"/>
        <family val="2"/>
      </rPr>
      <t>2</t>
    </r>
    <r>
      <rPr>
        <sz val="9"/>
        <rFont val="Arial"/>
        <family val="2"/>
      </rPr>
      <t>O</t>
    </r>
    <r>
      <rPr>
        <vertAlign val="subscript"/>
        <sz val="9"/>
        <rFont val="Arial"/>
        <family val="2"/>
      </rPr>
      <t xml:space="preserve">3 </t>
    </r>
    <r>
      <rPr>
        <sz val="9"/>
        <rFont val="Arial"/>
        <family val="2"/>
      </rPr>
      <t>-SiO</t>
    </r>
    <r>
      <rPr>
        <vertAlign val="subscript"/>
        <sz val="9"/>
        <rFont val="Arial"/>
        <family val="2"/>
      </rPr>
      <t>2</t>
    </r>
  </si>
  <si>
    <r>
      <t>SiO</t>
    </r>
    <r>
      <rPr>
        <vertAlign val="subscript"/>
        <sz val="9"/>
        <rFont val="Arial"/>
        <family val="2"/>
      </rPr>
      <t>2</t>
    </r>
  </si>
  <si>
    <t>Phenolic</t>
  </si>
  <si>
    <t>Property</t>
  </si>
  <si>
    <t>Symbol</t>
  </si>
  <si>
    <t>Units</t>
  </si>
  <si>
    <t>temp. (C.)</t>
  </si>
  <si>
    <t>[1] [7]</t>
  </si>
  <si>
    <t>[1] [2] [10]</t>
  </si>
  <si>
    <t>[9]</t>
  </si>
  <si>
    <t>[1] [3]</t>
  </si>
  <si>
    <t>[5] [6]</t>
  </si>
  <si>
    <t xml:space="preserve"> [4]</t>
  </si>
  <si>
    <t>[8]</t>
  </si>
  <si>
    <t>[11]</t>
  </si>
  <si>
    <t>[12]</t>
  </si>
  <si>
    <t>[13]</t>
  </si>
  <si>
    <t>[14]</t>
  </si>
  <si>
    <t>Melting pt.</t>
  </si>
  <si>
    <r>
      <t>T</t>
    </r>
    <r>
      <rPr>
        <sz val="8"/>
        <color indexed="10"/>
        <rFont val="Arial"/>
        <family val="2"/>
      </rPr>
      <t>m</t>
    </r>
  </si>
  <si>
    <t>C.</t>
  </si>
  <si>
    <t>Specific heat</t>
  </si>
  <si>
    <t>Conductivity:</t>
  </si>
  <si>
    <t>W/m-K</t>
  </si>
  <si>
    <t>Diffusivity</t>
  </si>
  <si>
    <r>
      <t>m</t>
    </r>
    <r>
      <rPr>
        <vertAlign val="superscript"/>
        <sz val="10"/>
        <color indexed="18"/>
        <rFont val="Arial"/>
        <family val="2"/>
      </rPr>
      <t>2</t>
    </r>
    <r>
      <rPr>
        <sz val="10"/>
        <color indexed="18"/>
        <rFont val="Arial"/>
        <family val="2"/>
      </rPr>
      <t>/sec (x10</t>
    </r>
    <r>
      <rPr>
        <vertAlign val="superscript"/>
        <sz val="10"/>
        <color indexed="18"/>
        <rFont val="Arial"/>
        <family val="2"/>
      </rPr>
      <t>7</t>
    </r>
    <r>
      <rPr>
        <sz val="10"/>
        <color indexed="18"/>
        <rFont val="Arial"/>
        <family val="2"/>
      </rPr>
      <t>)</t>
    </r>
  </si>
  <si>
    <t>Ref. F.P.Incropera/D.deWitt, "Fundamentals of Heat Transfer", Wiley Publ.</t>
  </si>
  <si>
    <t>1%&lt;Mn&lt;1.65%, 0.1%&lt;Si&lt;0.6%</t>
  </si>
  <si>
    <t>The above table has a lot of</t>
  </si>
  <si>
    <t>Heat flow perpendicular to fibres.</t>
  </si>
  <si>
    <t>blank cells…help fill in these</t>
  </si>
  <si>
    <t>Ref. www.matweb.com</t>
  </si>
  <si>
    <t>empty cells for future releases</t>
  </si>
  <si>
    <t>[5]</t>
  </si>
  <si>
    <t>Ref. www.harvel.com</t>
  </si>
  <si>
    <t xml:space="preserve">of this spreadsheet. Please </t>
  </si>
  <si>
    <t>[6]</t>
  </si>
  <si>
    <t>PVC carbonizes at Tm. shown</t>
  </si>
  <si>
    <r>
      <t xml:space="preserve">send data </t>
    </r>
    <r>
      <rPr>
        <b/>
        <sz val="9"/>
        <color indexed="16"/>
        <rFont val="Arial"/>
        <family val="2"/>
      </rPr>
      <t>and reference</t>
    </r>
  </si>
  <si>
    <t>[7]</t>
  </si>
  <si>
    <t>Ref. G.Sutton, "Rocket Propulsion Elements", 4th ed., Wiley Publ.</t>
  </si>
  <si>
    <r>
      <t>source(s)</t>
    </r>
    <r>
      <rPr>
        <sz val="9"/>
        <color indexed="16"/>
        <rFont val="Arial"/>
        <family val="2"/>
      </rPr>
      <t xml:space="preserve"> to the author</t>
    </r>
  </si>
  <si>
    <t>Dow-Corning specification sheet</t>
  </si>
  <si>
    <t>riccnakk@aol.com</t>
  </si>
  <si>
    <t>Ref. MIL-HDBK-5G, Fig.5.4.1.0 (values for k@727,927C. extrapolated)</t>
  </si>
  <si>
    <t>[10]</t>
  </si>
  <si>
    <t>Ref. MIL-HDBK-5G, Fig.2.3.1.0 (values @927C. extrapolated)</t>
  </si>
  <si>
    <t>Conversions:</t>
  </si>
  <si>
    <t>COTRONICS data sheet Recor 740 insulating foam</t>
  </si>
  <si>
    <t>lb/in3</t>
  </si>
  <si>
    <r>
      <t>COTRONICS data sheet Recor 750 shock resistant SiO</t>
    </r>
    <r>
      <rPr>
        <vertAlign val="subscript"/>
        <sz val="8"/>
        <rFont val="Arial"/>
        <family val="2"/>
      </rPr>
      <t>2</t>
    </r>
  </si>
  <si>
    <t>BTU/lb-F</t>
  </si>
  <si>
    <t xml:space="preserve"> J/g-K</t>
  </si>
  <si>
    <t>Grafoil flexible graphite sheet: http://www.usseal.com/grafoilspecs.htm</t>
  </si>
  <si>
    <t xml:space="preserve">BTU/hr-ft-F </t>
  </si>
  <si>
    <t>thermal conductivity along length &amp; width</t>
  </si>
  <si>
    <t>thermal conductivity through thickness</t>
  </si>
  <si>
    <t>Ab,last,sym</t>
  </si>
  <si>
    <t>Ab,0</t>
  </si>
  <si>
    <t>Parameters (Case)</t>
  </si>
  <si>
    <t>Value</t>
  </si>
  <si>
    <t>Unit</t>
  </si>
  <si>
    <t>Unit (2)</t>
  </si>
  <si>
    <t>°C</t>
  </si>
  <si>
    <t>Atmosphere temperature</t>
  </si>
  <si>
    <t>Thickness of chamber</t>
  </si>
  <si>
    <t>m</t>
  </si>
  <si>
    <t>Material</t>
  </si>
  <si>
    <t xml:space="preserve">density </t>
  </si>
  <si>
    <t>kg/m3</t>
  </si>
  <si>
    <t xml:space="preserve">heat capacity </t>
  </si>
  <si>
    <t>J/kgG</t>
  </si>
  <si>
    <t xml:space="preserve">conductivity </t>
  </si>
  <si>
    <t>W/mK</t>
  </si>
  <si>
    <t>Convective coef. Comb.</t>
  </si>
  <si>
    <t>W/m2K</t>
  </si>
  <si>
    <t xml:space="preserve">Diffusivity </t>
  </si>
  <si>
    <t>m2/sec</t>
  </si>
  <si>
    <t xml:space="preserve">Fourier numb. </t>
  </si>
  <si>
    <t>Biot numb. Comb.</t>
  </si>
  <si>
    <t>Convective coef. Atm</t>
  </si>
  <si>
    <t>Biot numb. Atm.</t>
  </si>
  <si>
    <t>Parameters (Ablative)</t>
  </si>
  <si>
    <t>Thickness of ablative</t>
  </si>
  <si>
    <t>Diffusivity – ablative</t>
  </si>
  <si>
    <t>Fourier numb. Ablative</t>
  </si>
  <si>
    <t>Biot numb. Ablative comb.</t>
  </si>
  <si>
    <t>Mesh configuration</t>
  </si>
  <si>
    <t>Case nodes</t>
  </si>
  <si>
    <t>Interfase node</t>
  </si>
  <si>
    <t>Ablative nodes</t>
  </si>
  <si>
    <t>Case mesh length</t>
  </si>
  <si>
    <t>Ablative mesh length</t>
  </si>
  <si>
    <t>Case min dt</t>
  </si>
  <si>
    <t>Ablative min dt</t>
  </si>
  <si>
    <t>Interfase min dt</t>
  </si>
  <si>
    <t>Onedimensional Heat Transfer on plane wall (symmetric)</t>
  </si>
  <si>
    <t>Onedimensional Analytical solution on plane Wall</t>
  </si>
  <si>
    <t>Time Points (dt)</t>
  </si>
  <si>
    <t xml:space="preserve">Nodes </t>
  </si>
  <si>
    <t xml:space="preserve"> Mechanical properties for typical motor casing materials</t>
  </si>
  <si>
    <t>Room temperature (80 F.) material mechanical properties</t>
  </si>
  <si>
    <t>Yield Strength</t>
  </si>
  <si>
    <t>Ultimate Strength</t>
  </si>
  <si>
    <t>Specification</t>
  </si>
  <si>
    <t>Typical usage</t>
  </si>
  <si>
    <t>Fty</t>
  </si>
  <si>
    <t>Ftu</t>
  </si>
  <si>
    <t>ksi</t>
  </si>
  <si>
    <t>Msi</t>
  </si>
  <si>
    <t>Steel, low carbon</t>
  </si>
  <si>
    <t>C 1010 Hot rolled  tubing</t>
  </si>
  <si>
    <t>General purpose</t>
  </si>
  <si>
    <t>C 1010 Cold drawn seamless tubing</t>
  </si>
  <si>
    <t>C 1015 Hot rolled  tubing</t>
  </si>
  <si>
    <t>C 1015 Normalized  tubing</t>
  </si>
  <si>
    <t>C 1015 Cold drawn seamless tubing</t>
  </si>
  <si>
    <t>C 1025 Hot Rolled  tubing</t>
  </si>
  <si>
    <t>C 1025 Normalized  tubing</t>
  </si>
  <si>
    <t>C 1025 Cold drawn seamless tubing</t>
  </si>
  <si>
    <t>Stainless steel</t>
  </si>
  <si>
    <t>SAE 30304 tubing</t>
  </si>
  <si>
    <t>Hydraulics</t>
  </si>
  <si>
    <t>SAE 301, 1/4 hard, tubing</t>
  </si>
  <si>
    <t>Steel, low alloy</t>
  </si>
  <si>
    <t>AISI 4130 Normalized  (MIL-T-6736) tubing</t>
  </si>
  <si>
    <t>Aerospace</t>
  </si>
  <si>
    <t>AISI 4130 Cold drawn  (MIL-T-6736) tubing</t>
  </si>
  <si>
    <t>Aluminum alloy</t>
  </si>
  <si>
    <t>6061-T4  drawn tubing</t>
  </si>
  <si>
    <t>6061-T6  drawn tubing</t>
  </si>
  <si>
    <t>6061-T6511 extruded tubing</t>
  </si>
  <si>
    <t>2024-T3  drawn tubing</t>
  </si>
  <si>
    <t>2024-T42  drawn tubing</t>
  </si>
  <si>
    <t>7075-T6 (ww-T-700) drawn tubing</t>
  </si>
  <si>
    <t>7075-T73 (ww-T-700) drawn tubing</t>
  </si>
  <si>
    <t>Polyvinyl chloride (PVC)</t>
  </si>
  <si>
    <t>Rigid pipe, schedule 40</t>
  </si>
  <si>
    <t>Water pipe</t>
  </si>
  <si>
    <t>Acrylonitrile Butadiene Styrene (ABS)</t>
  </si>
  <si>
    <t xml:space="preserve">Rigid pipe </t>
  </si>
  <si>
    <t>Drain pipe</t>
  </si>
  <si>
    <t>Paperboard</t>
  </si>
  <si>
    <t>Spiral wound tube</t>
  </si>
  <si>
    <t>Carpet roll</t>
  </si>
  <si>
    <r>
      <t xml:space="preserve">EMT, </t>
    </r>
    <r>
      <rPr>
        <sz val="8"/>
        <rFont val="Arial"/>
        <family val="2"/>
      </rPr>
      <t>see note [1]</t>
    </r>
  </si>
  <si>
    <t>Similar to C1015 annealed</t>
  </si>
  <si>
    <t>Electrical conduit</t>
  </si>
  <si>
    <r>
      <t xml:space="preserve">EMT, </t>
    </r>
    <r>
      <rPr>
        <sz val="8"/>
        <rFont val="Arial"/>
        <family val="2"/>
      </rPr>
      <t>see note [2]</t>
    </r>
  </si>
  <si>
    <t>Similar to C1015 as-rolled</t>
  </si>
  <si>
    <r>
      <t>ksi = psi (lb/in</t>
    </r>
    <r>
      <rPr>
        <vertAlign val="superscript"/>
        <sz val="9"/>
        <rFont val="Arial"/>
        <family val="2"/>
      </rPr>
      <t>2</t>
    </r>
    <r>
      <rPr>
        <sz val="9"/>
        <rFont val="Arial"/>
        <family val="2"/>
      </rPr>
      <t>) x 1000</t>
    </r>
  </si>
  <si>
    <r>
      <t>Msi = psi (lb/in</t>
    </r>
    <r>
      <rPr>
        <vertAlign val="superscript"/>
        <sz val="9"/>
        <rFont val="Arial"/>
        <family val="2"/>
      </rPr>
      <t>2</t>
    </r>
    <r>
      <rPr>
        <sz val="9"/>
        <rFont val="Arial"/>
        <family val="2"/>
      </rPr>
      <t>) x 10</t>
    </r>
    <r>
      <rPr>
        <vertAlign val="superscript"/>
        <sz val="9"/>
        <rFont val="Arial"/>
        <family val="2"/>
      </rPr>
      <t>6</t>
    </r>
  </si>
  <si>
    <r>
      <t>MPa = Pascal (N/m</t>
    </r>
    <r>
      <rPr>
        <vertAlign val="superscript"/>
        <sz val="9"/>
        <rFont val="Arial"/>
        <family val="2"/>
      </rPr>
      <t>2</t>
    </r>
    <r>
      <rPr>
        <sz val="9"/>
        <rFont val="Arial"/>
        <family val="2"/>
      </rPr>
      <t>) x 10</t>
    </r>
    <r>
      <rPr>
        <vertAlign val="superscript"/>
        <sz val="9"/>
        <rFont val="Arial"/>
        <family val="2"/>
      </rPr>
      <t>6</t>
    </r>
  </si>
  <si>
    <r>
      <t xml:space="preserve">[1] Values shown are based on Brinnell hardness tests performed on samples of </t>
    </r>
    <r>
      <rPr>
        <i/>
        <sz val="9"/>
        <rFont val="Arial"/>
        <family val="2"/>
      </rPr>
      <t>brand</t>
    </r>
    <r>
      <rPr>
        <sz val="9"/>
        <rFont val="Arial"/>
        <family val="2"/>
      </rPr>
      <t xml:space="preserve"> </t>
    </r>
    <r>
      <rPr>
        <i/>
        <sz val="9"/>
        <rFont val="Arial"/>
        <family val="2"/>
      </rPr>
      <t>x</t>
    </r>
    <r>
      <rPr>
        <sz val="9"/>
        <rFont val="Arial"/>
        <family val="2"/>
      </rPr>
      <t xml:space="preserve"> EMT.</t>
    </r>
  </si>
  <si>
    <r>
      <t xml:space="preserve">[2] Values shown are based on Brinnell hardness tests performed on samples of </t>
    </r>
    <r>
      <rPr>
        <i/>
        <sz val="9"/>
        <rFont val="Arial"/>
        <family val="2"/>
      </rPr>
      <t>brand</t>
    </r>
    <r>
      <rPr>
        <sz val="9"/>
        <rFont val="Arial"/>
        <family val="2"/>
      </rPr>
      <t xml:space="preserve"> </t>
    </r>
    <r>
      <rPr>
        <i/>
        <sz val="9"/>
        <rFont val="Arial"/>
        <family val="2"/>
      </rPr>
      <t>y</t>
    </r>
    <r>
      <rPr>
        <sz val="9"/>
        <rFont val="Arial"/>
        <family val="2"/>
      </rPr>
      <t xml:space="preserve"> EMT.</t>
    </r>
  </si>
  <si>
    <t xml:space="preserve"> Properties are typical and may deviate significantly from that shown.</t>
  </si>
  <si>
    <t>References:</t>
  </si>
  <si>
    <t>1. MIL-HDBK-5G</t>
  </si>
  <si>
    <t>2. et al</t>
  </si>
  <si>
    <t>Effect of Elevated Temperature on Material Strength</t>
  </si>
  <si>
    <t>In Fig.1 and Fig.2, the effect of temperature upon the strength of different materials is shown.</t>
  </si>
  <si>
    <t>As can be seen, both the Yield Strength (Fty) and the Ultimate Strength (Ftu) are greatly reduced</t>
  </si>
  <si>
    <t>at elevated temperature, especially true for aluminum alloys.</t>
  </si>
  <si>
    <r>
      <t xml:space="preserve">Strength reduction is, however, a  function of both </t>
    </r>
    <r>
      <rPr>
        <i/>
        <sz val="10"/>
        <rFont val="Arial"/>
        <family val="2"/>
      </rPr>
      <t>temperature</t>
    </r>
    <r>
      <rPr>
        <sz val="10"/>
        <rFont val="Arial"/>
        <family val="2"/>
      </rPr>
      <t xml:space="preserve"> and </t>
    </r>
    <r>
      <rPr>
        <i/>
        <sz val="10"/>
        <rFont val="Arial"/>
        <family val="2"/>
      </rPr>
      <t>time.</t>
    </r>
    <r>
      <rPr>
        <sz val="10"/>
        <rFont val="Arial"/>
        <family val="2"/>
      </rPr>
      <t xml:space="preserve">The </t>
    </r>
    <r>
      <rPr>
        <sz val="10"/>
        <rFont val="Arial"/>
        <family val="2"/>
      </rPr>
      <t>strength reductions</t>
    </r>
  </si>
  <si>
    <t>shown in Fig.1 and Fig.2 are for materials exposed to elevated temperatures for 1/2 hour.</t>
  </si>
  <si>
    <r>
      <t xml:space="preserve">If a material is </t>
    </r>
    <r>
      <rPr>
        <i/>
        <sz val="10"/>
        <rFont val="Arial"/>
        <family val="2"/>
      </rPr>
      <t>rapidly heated</t>
    </r>
    <r>
      <rPr>
        <sz val="10"/>
        <rFont val="Arial"/>
        <family val="2"/>
      </rPr>
      <t xml:space="preserve"> (as with a rocket casing),  the strength reduction is less</t>
    </r>
  </si>
  <si>
    <t>pronounced. A comparison of material strengths at 1/2 hour exposure versus rapid rate of</t>
  </si>
  <si>
    <t>heating is shown in Fig.3 and Fig.4, for 2024-T3 aluminum (although this is true for most</t>
  </si>
  <si>
    <t>materials).</t>
  </si>
  <si>
    <t>For a rocket motor casing that will experience significant heating, as with a non case-bonded</t>
  </si>
  <si>
    <t>(unresticted burning) grain, temperature effects must be taken into consideration. It is therefore</t>
  </si>
  <si>
    <t>conservative to use Fig.1 and Fig.2 to obtain Fty and Ftu reductions in the design.</t>
  </si>
  <si>
    <t>Since the strength reduction for aluminum alloys is particularly severe, a solution to this</t>
  </si>
  <si>
    <t>problem would be to have the casing insulated, for example, with an ablative material, to</t>
  </si>
  <si>
    <t>achieve greatly reduced casing temperature.</t>
  </si>
  <si>
    <t>Plotting data:</t>
  </si>
  <si>
    <t>Ref. MIL-HDBK-5G</t>
  </si>
  <si>
    <t>steel, AISI</t>
  </si>
  <si>
    <t>s.s. AISI</t>
  </si>
  <si>
    <t>Alum</t>
  </si>
  <si>
    <t>low-alloy</t>
  </si>
  <si>
    <t>301, 1/2hd</t>
  </si>
  <si>
    <t>2024-T3</t>
  </si>
  <si>
    <t>T (F)</t>
  </si>
  <si>
    <t>2024-T3 alum</t>
  </si>
  <si>
    <t xml:space="preserve">Fty </t>
  </si>
  <si>
    <t>1/2 hr.</t>
  </si>
  <si>
    <t>percent</t>
  </si>
  <si>
    <t>100 F/s</t>
  </si>
  <si>
    <t>Steel</t>
  </si>
  <si>
    <t>SAE 1020</t>
  </si>
  <si>
    <t>Fty/FtyRT</t>
  </si>
  <si>
    <t>Ftu/FtuRT</t>
  </si>
  <si>
    <t>Rho – cp combined int.</t>
  </si>
  <si>
    <t>alfa combined Ablative (1)</t>
  </si>
  <si>
    <t>alfa combined Case (2)</t>
  </si>
  <si>
    <t>Fourier numb. Ablative (1)</t>
  </si>
  <si>
    <t>Fourier numb. Case (2)</t>
  </si>
  <si>
    <t>Overall min dt</t>
  </si>
  <si>
    <t>Corrector</t>
  </si>
  <si>
    <t xml:space="preserve">Case-only convective analysis </t>
  </si>
  <si>
    <t>Pipe - Monterrey Pipes</t>
  </si>
  <si>
    <t>TUBOREY – MONTERREY</t>
  </si>
  <si>
    <t>Tubería de Acero en Todo México | MMTubería</t>
  </si>
  <si>
    <t>Aluminext – Proveedor de piezas y perfiles de aluminio</t>
  </si>
  <si>
    <t>Manufacturer of tubing and alum. profiles</t>
  </si>
  <si>
    <t>Tubos de acero en Monterrey</t>
  </si>
  <si>
    <t>Equations used in Analysis</t>
  </si>
  <si>
    <t>Material Strength Ratio</t>
  </si>
  <si>
    <t>Design Pressure</t>
  </si>
  <si>
    <t>Burst Pressure</t>
  </si>
  <si>
    <t>Burst Safety Factor</t>
  </si>
  <si>
    <t>Delta Diameter</t>
  </si>
  <si>
    <t>Delta Circumference</t>
  </si>
  <si>
    <r>
      <t xml:space="preserve">1. Formulas for Stress and Strain, </t>
    </r>
    <r>
      <rPr>
        <i/>
        <sz val="10"/>
        <rFont val="Arial"/>
        <family val="2"/>
      </rPr>
      <t>Roark</t>
    </r>
  </si>
  <si>
    <r>
      <t xml:space="preserve">2. Practical Stress Analysis in Engineering Design, </t>
    </r>
    <r>
      <rPr>
        <i/>
        <sz val="10"/>
        <rFont val="Arial"/>
        <family val="2"/>
      </rPr>
      <t>A.Blake</t>
    </r>
  </si>
  <si>
    <r>
      <t xml:space="preserve">[ Input data in </t>
    </r>
    <r>
      <rPr>
        <i/>
        <sz val="10"/>
        <color indexed="12"/>
        <rFont val="Arial"/>
        <family val="2"/>
      </rPr>
      <t>blue</t>
    </r>
    <r>
      <rPr>
        <i/>
        <sz val="10"/>
        <rFont val="Arial"/>
        <family val="2"/>
      </rPr>
      <t xml:space="preserve"> text, English or (SI) units]</t>
    </r>
  </si>
  <si>
    <t>Casing Dimensions and Design Factors</t>
  </si>
  <si>
    <t>Do =</t>
  </si>
  <si>
    <t>in. (mm)</t>
  </si>
  <si>
    <t>Diameter, outside</t>
  </si>
  <si>
    <t>t =</t>
  </si>
  <si>
    <t>wall thickness</t>
  </si>
  <si>
    <r>
      <t>S</t>
    </r>
    <r>
      <rPr>
        <vertAlign val="subscript"/>
        <sz val="10"/>
        <rFont val="Arial"/>
        <family val="2"/>
      </rPr>
      <t>D</t>
    </r>
    <r>
      <rPr>
        <sz val="10"/>
        <rFont val="Arial"/>
        <family val="2"/>
      </rPr>
      <t xml:space="preserve"> =</t>
    </r>
  </si>
  <si>
    <t>Design Safety factor</t>
  </si>
  <si>
    <t>Material Properties</t>
  </si>
  <si>
    <t>Fty =</t>
  </si>
  <si>
    <t>ksi (MPa)</t>
  </si>
  <si>
    <t>Ftu =</t>
  </si>
  <si>
    <t>E =</t>
  </si>
  <si>
    <t>Msi (MPa)</t>
  </si>
  <si>
    <t>Modulus of Elasticity</t>
  </si>
  <si>
    <r>
      <t>n</t>
    </r>
    <r>
      <rPr>
        <sz val="10"/>
        <rFont val="Arial"/>
        <family val="2"/>
      </rPr>
      <t xml:space="preserve"> =</t>
    </r>
  </si>
  <si>
    <t>Poisson Ratio</t>
  </si>
  <si>
    <t>b =</t>
  </si>
  <si>
    <t>Fty/Ftu</t>
  </si>
  <si>
    <t>B =</t>
  </si>
  <si>
    <t>Burst factor</t>
  </si>
  <si>
    <t>Design and Burst Pressures</t>
  </si>
  <si>
    <t>Fitted Polynomial coefficients</t>
  </si>
  <si>
    <r>
      <t>P</t>
    </r>
    <r>
      <rPr>
        <b/>
        <vertAlign val="subscript"/>
        <sz val="10"/>
        <rFont val="Arial"/>
        <family val="2"/>
      </rPr>
      <t>D</t>
    </r>
    <r>
      <rPr>
        <b/>
        <sz val="10"/>
        <rFont val="Arial"/>
        <family val="2"/>
      </rPr>
      <t xml:space="preserve"> =</t>
    </r>
  </si>
  <si>
    <t>psi (kPa)</t>
  </si>
  <si>
    <t>Design pressure</t>
  </si>
  <si>
    <r>
      <t>P</t>
    </r>
    <r>
      <rPr>
        <b/>
        <vertAlign val="subscript"/>
        <sz val="10"/>
        <rFont val="Arial"/>
        <family val="2"/>
      </rPr>
      <t>U</t>
    </r>
    <r>
      <rPr>
        <b/>
        <sz val="10"/>
        <rFont val="Arial"/>
        <family val="2"/>
      </rPr>
      <t xml:space="preserve"> =</t>
    </r>
  </si>
  <si>
    <t>Burst pressure</t>
  </si>
  <si>
    <r>
      <t>S</t>
    </r>
    <r>
      <rPr>
        <b/>
        <vertAlign val="subscript"/>
        <sz val="10"/>
        <rFont val="Arial"/>
        <family val="2"/>
      </rPr>
      <t>U</t>
    </r>
    <r>
      <rPr>
        <b/>
        <sz val="10"/>
        <rFont val="Arial"/>
        <family val="2"/>
      </rPr>
      <t xml:space="preserve"> =</t>
    </r>
  </si>
  <si>
    <t>Elastic Deformation under Pressure *</t>
  </si>
  <si>
    <r>
      <t>D</t>
    </r>
    <r>
      <rPr>
        <b/>
        <sz val="10"/>
        <rFont val="Arial"/>
        <family val="2"/>
      </rPr>
      <t>D =</t>
    </r>
  </si>
  <si>
    <t>in. (m.)</t>
  </si>
  <si>
    <r>
      <t>Change in casing diameter, at P</t>
    </r>
    <r>
      <rPr>
        <b/>
        <vertAlign val="subscript"/>
        <sz val="10"/>
        <rFont val="Arial"/>
        <family val="2"/>
      </rPr>
      <t>D</t>
    </r>
  </si>
  <si>
    <r>
      <t>D</t>
    </r>
    <r>
      <rPr>
        <b/>
        <sz val="10"/>
        <rFont val="Arial"/>
        <family val="2"/>
      </rPr>
      <t>c =</t>
    </r>
  </si>
  <si>
    <r>
      <t>Change in casing circumference, at P</t>
    </r>
    <r>
      <rPr>
        <b/>
        <vertAlign val="subscript"/>
        <sz val="10"/>
        <rFont val="Arial"/>
        <family val="2"/>
      </rPr>
      <t>D</t>
    </r>
  </si>
  <si>
    <t>* Non-permanent deformation. For comparison purpose, a sheet of standard grade writing paper is about 0.004 in. (0.10 mm) thick.</t>
  </si>
  <si>
    <r>
      <t xml:space="preserve">See </t>
    </r>
    <r>
      <rPr>
        <i/>
        <sz val="10"/>
        <rFont val="Arial"/>
        <family val="2"/>
      </rPr>
      <t>Material Properties</t>
    </r>
    <r>
      <rPr>
        <sz val="10"/>
        <rFont val="Arial"/>
        <family val="2"/>
      </rPr>
      <t xml:space="preserve"> worksheet for Fty, Ftu, E, </t>
    </r>
    <r>
      <rPr>
        <sz val="10"/>
        <rFont val="Symbol"/>
        <family val="1"/>
        <charset val="2"/>
      </rPr>
      <t>n</t>
    </r>
  </si>
  <si>
    <t>for various materials.</t>
  </si>
  <si>
    <r>
      <t xml:space="preserve">See </t>
    </r>
    <r>
      <rPr>
        <i/>
        <sz val="10"/>
        <rFont val="Arial"/>
        <family val="2"/>
      </rPr>
      <t>Elevated Temperature</t>
    </r>
    <r>
      <rPr>
        <sz val="10"/>
        <rFont val="Arial"/>
        <family val="2"/>
      </rPr>
      <t xml:space="preserve"> worksheet for strength</t>
    </r>
  </si>
  <si>
    <t>reduction due to heating of casing walls.</t>
  </si>
  <si>
    <t>2. NACA-TN-3462</t>
  </si>
  <si>
    <r>
      <t>CASING.XLS</t>
    </r>
    <r>
      <rPr>
        <sz val="10"/>
        <rFont val="courier"/>
      </rPr>
      <t xml:space="preserve">  </t>
    </r>
    <r>
      <rPr>
        <sz val="9"/>
        <rFont val="Arial"/>
        <family val="2"/>
      </rPr>
      <t>(EXCEL 5.0 spreadsheet)</t>
    </r>
  </si>
  <si>
    <t>Version 1.03 (1-01)</t>
  </si>
  <si>
    <t>Motor Casing Design for Amateur Rockets</t>
  </si>
  <si>
    <t>by R.A.Nakka</t>
  </si>
  <si>
    <t>Note: Contents of this spreadsheet are password protected to maintain the integrity of the original file.</t>
  </si>
  <si>
    <t>For free distribution</t>
  </si>
  <si>
    <r>
      <t xml:space="preserve">This EXCEL 5.0 spreadsheet can be used to determine the </t>
    </r>
    <r>
      <rPr>
        <sz val="10"/>
        <rFont val="Arial"/>
        <family val="2"/>
      </rPr>
      <t>Design Pressure</t>
    </r>
    <r>
      <rPr>
        <sz val="10"/>
        <rFont val="Arial"/>
        <family val="2"/>
      </rPr>
      <t xml:space="preserve"> for a </t>
    </r>
  </si>
  <si>
    <r>
      <t xml:space="preserve">solid rocket motor casing, as well as the </t>
    </r>
    <r>
      <rPr>
        <sz val="10"/>
        <rFont val="Arial"/>
        <family val="2"/>
      </rPr>
      <t>Burst Pressure.</t>
    </r>
    <r>
      <rPr>
        <sz val="10"/>
        <rFont val="Arial"/>
        <family val="2"/>
      </rPr>
      <t xml:space="preserve"> Also determined is</t>
    </r>
  </si>
  <si>
    <r>
      <t xml:space="preserve">the </t>
    </r>
    <r>
      <rPr>
        <sz val="10"/>
        <rFont val="Arial"/>
        <family val="2"/>
      </rPr>
      <t>radial expansion</t>
    </r>
    <r>
      <rPr>
        <sz val="10"/>
        <rFont val="Arial"/>
        <family val="2"/>
      </rPr>
      <t xml:space="preserve"> (change in diameter) of the casing due to combustion chamber</t>
    </r>
  </si>
  <si>
    <t>pressure, an imporant consideration for case bonded designs.</t>
  </si>
  <si>
    <r>
      <t xml:space="preserve">The </t>
    </r>
    <r>
      <rPr>
        <i/>
        <sz val="10"/>
        <rFont val="Arial"/>
        <family val="2"/>
      </rPr>
      <t>Design Pressure</t>
    </r>
    <r>
      <rPr>
        <sz val="10"/>
        <rFont val="Arial"/>
        <family val="2"/>
      </rPr>
      <t xml:space="preserve"> is considered to be the Maximum Expected Operating </t>
    </r>
  </si>
  <si>
    <t xml:space="preserve">Pressure (MEOP), that is, the pressure not normally expected to be exceeded </t>
  </si>
  <si>
    <t xml:space="preserve">during the operation of the motor. The design criterion is absence of permanent </t>
  </si>
  <si>
    <t xml:space="preserve">deformation of the casing under this operating condition, that is, the Yield </t>
  </si>
  <si>
    <t>Strength of the casing material is not exceeded.</t>
  </si>
  <si>
    <r>
      <t xml:space="preserve">A </t>
    </r>
    <r>
      <rPr>
        <i/>
        <sz val="10"/>
        <rFont val="Arial"/>
        <family val="2"/>
      </rPr>
      <t>Design Safety Factor</t>
    </r>
    <r>
      <rPr>
        <sz val="10"/>
        <rFont val="Arial"/>
        <family val="2"/>
      </rPr>
      <t xml:space="preserve"> is specified, based on the Yield Strength criterion, with the  </t>
    </r>
  </si>
  <si>
    <t>value typically being between 1.5 and 2.0 depending on how conservative the design</t>
  </si>
  <si>
    <t>is chosen to be. Casing materials with unspecified strength properties should employ</t>
  </si>
  <si>
    <t>a higher Safety Factor.</t>
  </si>
  <si>
    <r>
      <t xml:space="preserve">The </t>
    </r>
    <r>
      <rPr>
        <i/>
        <sz val="10"/>
        <rFont val="Arial"/>
        <family val="2"/>
      </rPr>
      <t>Burst Pressure</t>
    </r>
    <r>
      <rPr>
        <sz val="10"/>
        <rFont val="Arial"/>
        <family val="2"/>
      </rPr>
      <t xml:space="preserve"> is the chamber pressure at which the casing is likely to </t>
    </r>
  </si>
  <si>
    <r>
      <t xml:space="preserve">catastrophically fail. The </t>
    </r>
    <r>
      <rPr>
        <i/>
        <sz val="10"/>
        <rFont val="Arial"/>
        <family val="2"/>
      </rPr>
      <t>Burst Safety Factor</t>
    </r>
    <r>
      <rPr>
        <sz val="10"/>
        <rFont val="Arial"/>
        <family val="2"/>
      </rPr>
      <t xml:space="preserve"> is given as the ratio of the Burst</t>
    </r>
  </si>
  <si>
    <t>Pressure to the Design Pressure (a motor must be fitted with a pressure limiting</t>
  </si>
  <si>
    <t>device, such as shear pins to retain the nozzle or head, or a burst plug; the purpose</t>
  </si>
  <si>
    <t>of such is to provide for a controlled release of pressure before it reaches this critical</t>
  </si>
  <si>
    <t>value).</t>
  </si>
  <si>
    <r>
      <t xml:space="preserve">Values for material </t>
    </r>
    <r>
      <rPr>
        <i/>
        <sz val="10"/>
        <rFont val="Arial"/>
        <family val="2"/>
      </rPr>
      <t>Yield Strength</t>
    </r>
    <r>
      <rPr>
        <sz val="10"/>
        <rFont val="Arial"/>
        <family val="2"/>
      </rPr>
      <t xml:space="preserve"> (stress at which permanent deformation</t>
    </r>
  </si>
  <si>
    <r>
      <t xml:space="preserve">occurs) and </t>
    </r>
    <r>
      <rPr>
        <i/>
        <sz val="10"/>
        <rFont val="Arial"/>
        <family val="2"/>
      </rPr>
      <t>Ultimate Strength</t>
    </r>
    <r>
      <rPr>
        <sz val="10"/>
        <rFont val="Arial"/>
        <family val="2"/>
      </rPr>
      <t xml:space="preserve"> (stress at which material ruptures) are given for </t>
    </r>
  </si>
  <si>
    <t>various materials typically used for amateur rocket motor casings.</t>
  </si>
  <si>
    <t>The detrimental effect of heating of the casing under operating conditions can be taken</t>
  </si>
  <si>
    <t>into account by use of material strength reduction curves at elevated temperatures.</t>
  </si>
  <si>
    <t>Cedula</t>
  </si>
  <si>
    <t>Espesor</t>
  </si>
  <si>
    <t>40 std</t>
  </si>
  <si>
    <t>80 xs</t>
  </si>
  <si>
    <t>xxs</t>
  </si>
  <si>
    <t>Standarized diam. (mm) | (in)</t>
  </si>
  <si>
    <t>config 1</t>
  </si>
  <si>
    <t>config 2</t>
  </si>
  <si>
    <t>IDEAL</t>
  </si>
  <si>
    <t>Espesor corr</t>
  </si>
  <si>
    <t>Clasification</t>
  </si>
  <si>
    <t>Demostration of pressure variation</t>
  </si>
  <si>
    <t>Thrust Ns</t>
  </si>
  <si>
    <t>Ath fixed mm2</t>
  </si>
  <si>
    <t>P0</t>
  </si>
  <si>
    <t>Fixed k</t>
  </si>
  <si>
    <t>mm3</t>
  </si>
  <si>
    <t>m3</t>
  </si>
  <si>
    <t>gr</t>
  </si>
  <si>
    <t>gr fuel:</t>
  </si>
  <si>
    <t>Real propellant needed (kg):</t>
  </si>
  <si>
    <t>Ideal propellant needed (kg):</t>
  </si>
  <si>
    <t>L/D</t>
  </si>
  <si>
    <t>2 Mpa</t>
  </si>
  <si>
    <t>6 Mpa</t>
  </si>
  <si>
    <t>15 Mpa</t>
  </si>
  <si>
    <t>Casing dimensions</t>
  </si>
  <si>
    <t>D =</t>
  </si>
  <si>
    <t>Safety fact.</t>
  </si>
  <si>
    <t>Material properties</t>
  </si>
  <si>
    <r>
      <t>D</t>
    </r>
    <r>
      <rPr>
        <sz val="10"/>
        <rFont val="Arial"/>
        <family val="2"/>
      </rPr>
      <t>D =</t>
    </r>
  </si>
  <si>
    <r>
      <t>D</t>
    </r>
    <r>
      <rPr>
        <sz val="10"/>
        <rFont val="Arial"/>
        <family val="2"/>
      </rPr>
      <t>c =</t>
    </r>
  </si>
  <si>
    <r>
      <t>P</t>
    </r>
    <r>
      <rPr>
        <vertAlign val="subscript"/>
        <sz val="10"/>
        <rFont val="Arial"/>
        <family val="2"/>
      </rPr>
      <t>D</t>
    </r>
    <r>
      <rPr>
        <sz val="10"/>
        <rFont val="Arial"/>
        <family val="2"/>
      </rPr>
      <t xml:space="preserve"> =</t>
    </r>
  </si>
  <si>
    <r>
      <t>P</t>
    </r>
    <r>
      <rPr>
        <vertAlign val="subscript"/>
        <sz val="10"/>
        <rFont val="Arial"/>
        <family val="2"/>
      </rPr>
      <t>U</t>
    </r>
    <r>
      <rPr>
        <sz val="10"/>
        <rFont val="Arial"/>
        <family val="2"/>
      </rPr>
      <t xml:space="preserve"> =</t>
    </r>
  </si>
  <si>
    <r>
      <t>S</t>
    </r>
    <r>
      <rPr>
        <vertAlign val="subscript"/>
        <sz val="10"/>
        <rFont val="Arial"/>
        <family val="2"/>
      </rPr>
      <t>U</t>
    </r>
    <r>
      <rPr>
        <sz val="10"/>
        <rFont val="Arial"/>
        <family val="2"/>
      </rPr>
      <t xml:space="preserve"> =</t>
    </r>
  </si>
  <si>
    <t>ASTM A53 propertier</t>
  </si>
  <si>
    <t>Hardness brinell HB</t>
  </si>
  <si>
    <t>v</t>
  </si>
  <si>
    <t>k_expansion</t>
  </si>
  <si>
    <t>Tmelt</t>
  </si>
  <si>
    <t>Max. Work temp</t>
  </si>
  <si>
    <t>density</t>
  </si>
  <si>
    <t>126 - 163</t>
  </si>
  <si>
    <t>200 Gpa</t>
  </si>
  <si>
    <t>k_thermal W/mK</t>
  </si>
  <si>
    <t>12x10^-6 /degC</t>
  </si>
  <si>
    <t>c_solid J/kgK</t>
  </si>
  <si>
    <t>1425 - 1540</t>
  </si>
  <si>
    <t>400 - 540</t>
  </si>
  <si>
    <t>Inner lenght (d) =</t>
  </si>
  <si>
    <t>Design and burst prresure reduction due temperature</t>
  </si>
  <si>
    <t>Max Temp Reached</t>
  </si>
  <si>
    <t>Material properties reduction due temperature</t>
  </si>
  <si>
    <t>Fty % red. =</t>
  </si>
  <si>
    <t>Ftu % red. =</t>
  </si>
  <si>
    <t>d inner =</t>
  </si>
  <si>
    <t>Ablative dimensions</t>
  </si>
  <si>
    <t>Mechanical first iteration</t>
  </si>
  <si>
    <t>Ablative mechanical analysis</t>
  </si>
  <si>
    <t>Material =</t>
  </si>
  <si>
    <t>ASTM A53</t>
  </si>
  <si>
    <t>Or chamber diameter</t>
  </si>
  <si>
    <t>Chamber length &amp; weight</t>
  </si>
  <si>
    <t>Weight</t>
  </si>
  <si>
    <t>Volume</t>
  </si>
  <si>
    <t>Mat. Density</t>
  </si>
  <si>
    <t>Outer surfaces and core</t>
  </si>
  <si>
    <t>Core and ends</t>
  </si>
  <si>
    <t>No surfaces inhibited</t>
  </si>
  <si>
    <t>Burning conditioners equations</t>
  </si>
  <si>
    <t xml:space="preserve">H412 sample test </t>
  </si>
  <si>
    <t>Diameter chamber</t>
  </si>
  <si>
    <t>Diameter throat</t>
  </si>
  <si>
    <t>Diameter exit plane</t>
  </si>
  <si>
    <t>Nozzle parameters</t>
  </si>
  <si>
    <t>Temp. Chamber</t>
  </si>
  <si>
    <t>Pressure chamber</t>
  </si>
  <si>
    <t>Area chamber</t>
  </si>
  <si>
    <t>Area throat</t>
  </si>
  <si>
    <t>Area exit plane</t>
  </si>
  <si>
    <t>Mach numb</t>
  </si>
  <si>
    <t>iteration Mach</t>
  </si>
  <si>
    <t>Temperature Celsius</t>
  </si>
  <si>
    <t>Pressure Mpa</t>
  </si>
  <si>
    <t>k mixture</t>
  </si>
  <si>
    <t>Max Mach at exit</t>
  </si>
  <si>
    <t>Diameter across</t>
  </si>
  <si>
    <t>m1</t>
  </si>
  <si>
    <t>m2</t>
  </si>
  <si>
    <t>Nozzle exp ratio</t>
  </si>
  <si>
    <t>T/W RocktE</t>
  </si>
  <si>
    <t>Avg opt ExpRatio</t>
  </si>
  <si>
    <t>Thrust max</t>
  </si>
  <si>
    <t>Dexit plane</t>
  </si>
  <si>
    <t>Length chamber real</t>
  </si>
  <si>
    <t>dif</t>
  </si>
  <si>
    <t>Weight of case:</t>
  </si>
  <si>
    <t>OVAWeight</t>
  </si>
  <si>
    <t>OVAWeight - nozzle</t>
  </si>
  <si>
    <t>Engine weight</t>
  </si>
  <si>
    <t>d(T/W)/dEXPr</t>
  </si>
  <si>
    <t>Nozzle mass (ASTM A53) gr</t>
  </si>
  <si>
    <t>4.5 expR</t>
  </si>
  <si>
    <t>PLA</t>
  </si>
  <si>
    <t>Mpa sel.</t>
  </si>
  <si>
    <t xml:space="preserve">Ablative-case convective analysis </t>
  </si>
  <si>
    <t>Engine mass kg</t>
  </si>
  <si>
    <t>t mod</t>
  </si>
  <si>
    <t>Mechanical iteration for chamber modification on thickness</t>
  </si>
  <si>
    <r>
      <t>S</t>
    </r>
    <r>
      <rPr>
        <u/>
        <vertAlign val="subscript"/>
        <sz val="10"/>
        <rFont val="Arial"/>
        <family val="2"/>
      </rPr>
      <t>U</t>
    </r>
    <r>
      <rPr>
        <u/>
        <sz val="10"/>
        <rFont val="Arial"/>
        <family val="2"/>
      </rPr>
      <t xml:space="preserve"> =</t>
    </r>
  </si>
  <si>
    <t>Mechanical analysis of joints</t>
  </si>
  <si>
    <t>We have two main load acting on head and nozzle</t>
  </si>
  <si>
    <t>Head load due to transversal area and MEOP:</t>
  </si>
  <si>
    <t>Phead (N)</t>
  </si>
  <si>
    <t>non ablative</t>
  </si>
  <si>
    <t>ablative</t>
  </si>
  <si>
    <t>Load in nozzle region is thrust equivalent</t>
  </si>
  <si>
    <t>Pnozzle (N)</t>
  </si>
  <si>
    <t>Considering a safety factor of :</t>
  </si>
  <si>
    <t>Sf</t>
  </si>
  <si>
    <t>Number of bolts could be a variable that we want to look for considering:</t>
  </si>
  <si>
    <t>Diameter of bolt</t>
  </si>
  <si>
    <t>Quality (material) of bolt</t>
  </si>
  <si>
    <t>Type of bolt</t>
  </si>
  <si>
    <t>Safety factor of bolt</t>
  </si>
  <si>
    <r>
      <t xml:space="preserve">Head case due </t>
    </r>
    <r>
      <rPr>
        <i/>
        <sz val="10"/>
        <rFont val="Arial"/>
        <family val="2"/>
      </rPr>
      <t>n</t>
    </r>
    <r>
      <rPr>
        <sz val="10"/>
        <rFont val="Arial"/>
        <family val="2"/>
      </rPr>
      <t xml:space="preserve"> bolts</t>
    </r>
  </si>
  <si>
    <t>N bolts</t>
  </si>
  <si>
    <r>
      <t xml:space="preserve">Nozzle region due </t>
    </r>
    <r>
      <rPr>
        <i/>
        <sz val="10"/>
        <rFont val="Arial"/>
        <family val="2"/>
      </rPr>
      <t>n</t>
    </r>
    <r>
      <rPr>
        <sz val="10"/>
        <rFont val="Arial"/>
        <family val="2"/>
      </rPr>
      <t xml:space="preserve"> bolts</t>
    </r>
  </si>
  <si>
    <t>Pload (N)</t>
  </si>
  <si>
    <t>Failure cases</t>
  </si>
  <si>
    <t xml:space="preserve">Due internal pressure and material selection we can have multiple </t>
  </si>
  <si>
    <t>cases in which the motor case could fail</t>
  </si>
  <si>
    <t>a) Bearing failure due to local pressure around bolt</t>
  </si>
  <si>
    <t>b) Extended bearing failure or crushing</t>
  </si>
  <si>
    <t>c) Tensile failure in connected plates</t>
  </si>
  <si>
    <t>d) Shear failure in bolts</t>
  </si>
  <si>
    <t>a:</t>
  </si>
  <si>
    <t>r:</t>
  </si>
  <si>
    <t>d:</t>
  </si>
  <si>
    <t>b:</t>
  </si>
  <si>
    <t>d/b:</t>
  </si>
  <si>
    <t>Case thickns</t>
  </si>
  <si>
    <t>Quality (material) of case</t>
  </si>
  <si>
    <t>c) Tensile failure in connected plates (non-ablative)</t>
  </si>
  <si>
    <t>a) &amp; b) Bearing failure</t>
  </si>
  <si>
    <t>c/d:</t>
  </si>
  <si>
    <t>c:</t>
  </si>
  <si>
    <t>IT MUST BE  below Sf of chamber pressure case (1.5 usually)</t>
  </si>
  <si>
    <t>P_d</t>
  </si>
  <si>
    <t>P_u</t>
  </si>
  <si>
    <t>P_d L</t>
  </si>
  <si>
    <t>P_u L</t>
  </si>
  <si>
    <t>All labels are in mm</t>
  </si>
  <si>
    <t>FAILURE</t>
  </si>
  <si>
    <t>Radial failure</t>
  </si>
  <si>
    <t>Axial failure</t>
  </si>
  <si>
    <t>https://www.mcmaster.com/</t>
  </si>
  <si>
    <t>First digit</t>
  </si>
  <si>
    <t>Last digit</t>
  </si>
  <si>
    <t>90° countersink angle</t>
  </si>
  <si>
    <t>Hex drive flat head screws</t>
  </si>
  <si>
    <t>Black oxide</t>
  </si>
  <si>
    <t>Thread pitch</t>
  </si>
  <si>
    <t>Para consulta de tornilleria</t>
  </si>
  <si>
    <t>Proveedores de tornilleria en MTY</t>
  </si>
  <si>
    <t>https://www.tyamsa.com.mx/?q=es/productos/tornillos-socket</t>
  </si>
  <si>
    <t>https://www.logoimpulsoradetornillos.com/</t>
  </si>
  <si>
    <t>https://www.google.com.mx/maps/place/PG+TORNILLERIA/@25.7559063,-100.3059348,15z/data=!4m10!1m2!2m1!1stornilleria!3m6!1s0x86629496d57f3837:0x91394b052e8cfb2b!8m2!3d25.7558974!4d-100.2879082!15sCgt0b3JuaWxsZXJpYVoNIgt0b3JuaWxsZXJpYZIBDnNjcmV3X3N1cHBsaWVymgEkQ2hkRFNVaE5NRzluUzBWSlEwRm5TVVJ4TUc5RVJucFJSUkFCqgFPCggvbS8wYzM3ehABKg8iC3Rvcm5pbGxlcmlhKA4yHxABIhuy80UB2wRUZWU5_DjeBIEqvIfM80JCP37hPLEyDxACIgt0b3JuaWxsZXJpYeABAPoBBAgAEDs!16s%2Fg%2F1ptwd_7q3?hl=es&amp;entry=ttu&amp;g_ep=EgoyMDI1MDUyNy4wIKXMDSoASAFQAw%3D%3D</t>
  </si>
  <si>
    <t>pg tornilleria</t>
  </si>
  <si>
    <t>https://www.google.com.mx/maps/place/Tornillos+Gonz%C3%A1lez/@25.7559063,-100.3059348,15z/data=!4m10!1m2!2m1!1stornilleria!3m6!1s0x8662949056fe4b81:0x1ceef1a83cd3bb1d!8m2!3d25.7537345!4d-100.2902371!15sCgt0b3JuaWxsZXJpYVoNIgt0b3JuaWxsZXJpYZIBDnNjcmV3X3N1cHBsaWVymgEjQ2haRFNVaE5NRzluUzBWSlEwRm5TVVJpT1dWTWFHRm5FQUWqAU8KCC9tLzBjMzd6EAEqDyILdG9ybmlsbGVyaWEoDjIfEAEiG7LzRQHbBFRlZTn8ON4EgSq8h8zzQkI_fuE8sTIPEAIiC3Rvcm5pbGxlcmlh4AEA-gEECAAQKg!16s%2Fg%2F1ptwybb8p?hl=es&amp;entry=ttu&amp;g_ep=EgoyMDI1MDUyNy4wIKXMDSoASAFQAw%3D%3D</t>
  </si>
  <si>
    <t>tornillos glz</t>
  </si>
  <si>
    <t>https://bytnsa.com/</t>
  </si>
  <si>
    <t>birlos y torn</t>
  </si>
  <si>
    <t>O/F</t>
  </si>
  <si>
    <t>65/35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</si>
</sst>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0.0"/>
    <numFmt numFmtId="165" formatCode="0.000"/>
    <numFmt numFmtId="166" formatCode="0.0000"/>
    <numFmt numFmtId="167" formatCode="0.00000"/>
    <numFmt numFmtId="168" formatCode="0.000000"/>
    <numFmt numFmtId="169" formatCode="0.0000E+00"/>
    <numFmt numFmtId="170" formatCode="0.000E+00"/>
    <numFmt numFmtId="171" formatCode="0.0%"/>
  </numFmts>
  <fonts count="130">
    <font>
      <sz val="10"/>
      <name val="Arial"/>
    </font>
    <font>
      <sz val="10"/>
      <name val="Arial"/>
      <family val="2"/>
    </font>
    <font>
      <b/>
      <sz val="10"/>
      <color indexed="10"/>
      <name val="Arial"/>
      <family val="2"/>
    </font>
    <font>
      <b/>
      <sz val="10"/>
      <color indexed="8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vertAlign val="superscript"/>
      <sz val="10"/>
      <name val="Arial"/>
      <family val="2"/>
    </font>
    <font>
      <b/>
      <sz val="10"/>
      <color indexed="16"/>
      <name val="Arial"/>
      <family val="2"/>
    </font>
    <font>
      <sz val="10"/>
      <color indexed="48"/>
      <name val="Arial"/>
      <family val="2"/>
    </font>
    <font>
      <sz val="10"/>
      <name val="Symbol"/>
      <family val="1"/>
      <charset val="2"/>
    </font>
    <font>
      <sz val="10"/>
      <name val="Arial"/>
      <family val="2"/>
    </font>
    <font>
      <sz val="7"/>
      <name val="Arial"/>
      <family val="2"/>
    </font>
    <font>
      <sz val="10"/>
      <color indexed="10"/>
      <name val="Arial"/>
      <family val="2"/>
    </font>
    <font>
      <sz val="8"/>
      <color indexed="10"/>
      <name val="Arial"/>
      <family val="2"/>
    </font>
    <font>
      <b/>
      <sz val="10"/>
      <color indexed="48"/>
      <name val="Arial"/>
      <family val="2"/>
    </font>
    <font>
      <sz val="10"/>
      <color indexed="53"/>
      <name val="Arial"/>
      <family val="2"/>
    </font>
    <font>
      <b/>
      <sz val="8"/>
      <color indexed="10"/>
      <name val="Arial"/>
      <family val="2"/>
    </font>
    <font>
      <b/>
      <sz val="10"/>
      <color indexed="12"/>
      <name val="Arial"/>
      <family val="2"/>
    </font>
    <font>
      <vertAlign val="subscript"/>
      <sz val="10"/>
      <name val="Arial"/>
      <family val="2"/>
    </font>
    <font>
      <vertAlign val="subscript"/>
      <sz val="9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sz val="10"/>
      <color indexed="23"/>
      <name val="Arial"/>
      <family val="2"/>
    </font>
    <font>
      <sz val="8"/>
      <color indexed="23"/>
      <name val="Arial"/>
      <family val="2"/>
    </font>
    <font>
      <sz val="8"/>
      <color indexed="53"/>
      <name val="Arial"/>
      <family val="2"/>
    </font>
    <font>
      <sz val="10"/>
      <color indexed="55"/>
      <name val="Arial"/>
      <family val="2"/>
    </font>
    <font>
      <sz val="10"/>
      <color indexed="15"/>
      <name val="Arial"/>
      <family val="2"/>
    </font>
    <font>
      <sz val="10"/>
      <color indexed="57"/>
      <name val="Arial"/>
      <family val="2"/>
    </font>
    <font>
      <sz val="10"/>
      <name val="Times New Roman"/>
      <family val="1"/>
    </font>
    <font>
      <b/>
      <sz val="10"/>
      <color indexed="10"/>
      <name val="Arial"/>
      <family val="2"/>
    </font>
    <font>
      <b/>
      <sz val="10"/>
      <color indexed="10"/>
      <name val="Times New Roman"/>
      <family val="1"/>
    </font>
    <font>
      <sz val="10"/>
      <color indexed="22"/>
      <name val="Arial"/>
      <family val="2"/>
    </font>
    <font>
      <sz val="9"/>
      <color indexed="54"/>
      <name val="Arial"/>
      <family val="2"/>
    </font>
    <font>
      <sz val="12"/>
      <name val="Arial"/>
      <family val="2"/>
    </font>
    <font>
      <sz val="10"/>
      <color indexed="10"/>
      <name val="Arial"/>
      <family val="2"/>
    </font>
    <font>
      <sz val="10"/>
      <color indexed="10"/>
      <name val="Times New Roman"/>
      <family val="1"/>
    </font>
    <font>
      <b/>
      <u/>
      <sz val="10"/>
      <color indexed="16"/>
      <name val="Arial"/>
      <family val="2"/>
    </font>
    <font>
      <b/>
      <u/>
      <sz val="8"/>
      <color indexed="16"/>
      <name val="Arial"/>
      <family val="2"/>
    </font>
    <font>
      <i/>
      <sz val="1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i/>
      <sz val="10"/>
      <name val="Arial"/>
      <family val="2"/>
    </font>
    <font>
      <b/>
      <i/>
      <sz val="9"/>
      <name val="Arial"/>
      <family val="2"/>
    </font>
    <font>
      <sz val="10"/>
      <color indexed="16"/>
      <name val="Arial"/>
      <family val="2"/>
    </font>
    <font>
      <sz val="10"/>
      <color indexed="62"/>
      <name val="Arial"/>
      <family val="2"/>
    </font>
    <font>
      <u/>
      <sz val="10"/>
      <color indexed="16"/>
      <name val="Arial"/>
      <family val="2"/>
    </font>
    <font>
      <sz val="10"/>
      <color indexed="17"/>
      <name val="Arial"/>
      <family val="2"/>
    </font>
    <font>
      <i/>
      <sz val="10"/>
      <color indexed="16"/>
      <name val="Arial"/>
      <family val="2"/>
    </font>
    <font>
      <sz val="10"/>
      <color indexed="16"/>
      <name val="Arial"/>
      <family val="2"/>
    </font>
    <font>
      <sz val="10"/>
      <color indexed="16"/>
      <name val="Symbol"/>
      <family val="1"/>
      <charset val="2"/>
    </font>
    <font>
      <i/>
      <sz val="10"/>
      <color indexed="17"/>
      <name val="Arial"/>
      <family val="2"/>
    </font>
    <font>
      <sz val="6"/>
      <name val="Arial"/>
      <family val="2"/>
    </font>
    <font>
      <sz val="10"/>
      <name val="Script"/>
      <family val="4"/>
      <charset val="255"/>
    </font>
    <font>
      <u/>
      <sz val="10"/>
      <name val="Arial"/>
      <family val="2"/>
    </font>
    <font>
      <i/>
      <sz val="9"/>
      <name val="Arial"/>
      <family val="2"/>
    </font>
    <font>
      <sz val="11"/>
      <color indexed="8"/>
      <name val="Arial"/>
      <family val="2"/>
    </font>
    <font>
      <b/>
      <sz val="11"/>
      <color indexed="10"/>
      <name val="Arial"/>
      <family val="2"/>
    </font>
    <font>
      <b/>
      <sz val="11"/>
      <color indexed="10"/>
      <name val="motorclass"/>
    </font>
    <font>
      <u/>
      <sz val="10"/>
      <color indexed="12"/>
      <name val="Arial"/>
      <family val="2"/>
    </font>
    <font>
      <i/>
      <sz val="8"/>
      <color indexed="12"/>
      <name val="Arial"/>
      <family val="2"/>
    </font>
    <font>
      <sz val="10"/>
      <color indexed="20"/>
      <name val="Arial"/>
      <family val="2"/>
    </font>
    <font>
      <b/>
      <u/>
      <sz val="10"/>
      <color indexed="10"/>
      <name val="Arial"/>
      <family val="2"/>
    </font>
    <font>
      <i/>
      <u/>
      <sz val="10"/>
      <color indexed="12"/>
      <name val="Arial"/>
      <family val="2"/>
    </font>
    <font>
      <sz val="9"/>
      <color indexed="16"/>
      <name val="Arial"/>
      <family val="2"/>
    </font>
    <font>
      <sz val="9"/>
      <color indexed="12"/>
      <name val="Arial"/>
      <family val="2"/>
    </font>
    <font>
      <b/>
      <i/>
      <sz val="10"/>
      <color indexed="16"/>
      <name val="Arial"/>
      <family val="2"/>
    </font>
    <font>
      <b/>
      <sz val="12"/>
      <color indexed="60"/>
      <name val="Arial"/>
      <family val="2"/>
    </font>
    <font>
      <b/>
      <sz val="14"/>
      <color indexed="60"/>
      <name val="Arial"/>
      <family val="2"/>
    </font>
    <font>
      <b/>
      <sz val="11"/>
      <color indexed="60"/>
      <name val="Arial"/>
      <family val="2"/>
    </font>
    <font>
      <sz val="10"/>
      <color indexed="36"/>
      <name val="Arial"/>
      <family val="2"/>
    </font>
    <font>
      <sz val="10"/>
      <color indexed="18"/>
      <name val="Arial"/>
      <family val="2"/>
    </font>
    <font>
      <vertAlign val="superscript"/>
      <sz val="10"/>
      <color indexed="23"/>
      <name val="Arial"/>
      <family val="2"/>
    </font>
    <font>
      <b/>
      <i/>
      <u/>
      <sz val="10"/>
      <color indexed="16"/>
      <name val="Arial"/>
      <family val="2"/>
    </font>
    <font>
      <b/>
      <sz val="14"/>
      <color indexed="60"/>
      <name val="Lucida Console"/>
      <family val="3"/>
    </font>
    <font>
      <b/>
      <sz val="16"/>
      <color indexed="60"/>
      <name val="Lucida Console"/>
      <family val="3"/>
    </font>
    <font>
      <b/>
      <sz val="12"/>
      <color indexed="60"/>
      <name val="Lucida Console"/>
      <family val="3"/>
    </font>
    <font>
      <b/>
      <sz val="8"/>
      <name val="Arial"/>
      <family val="2"/>
    </font>
    <font>
      <sz val="11"/>
      <color indexed="60"/>
      <name val="Lucida Console"/>
      <family val="3"/>
    </font>
    <font>
      <b/>
      <sz val="12"/>
      <color indexed="60"/>
      <name val="Arial"/>
      <family val="2"/>
    </font>
    <font>
      <sz val="9"/>
      <color indexed="18"/>
      <name val="Arial"/>
      <family val="2"/>
    </font>
    <font>
      <i/>
      <sz val="8"/>
      <color indexed="23"/>
      <name val="Arial"/>
      <family val="2"/>
    </font>
    <font>
      <sz val="10"/>
      <color indexed="23"/>
      <name val="Arial"/>
      <family val="2"/>
    </font>
    <font>
      <i/>
      <sz val="10"/>
      <color indexed="23"/>
      <name val="Arial"/>
      <family val="2"/>
    </font>
    <font>
      <sz val="10"/>
      <color indexed="12"/>
      <name val="Arial"/>
      <family val="2"/>
    </font>
    <font>
      <b/>
      <sz val="10"/>
      <color indexed="36"/>
      <name val="Arial"/>
      <family val="2"/>
    </font>
    <font>
      <sz val="9"/>
      <color indexed="22"/>
      <name val="Arial"/>
      <family val="2"/>
    </font>
    <font>
      <sz val="10"/>
      <color indexed="22"/>
      <name val="Arial"/>
      <family val="2"/>
    </font>
    <font>
      <b/>
      <sz val="10"/>
      <color indexed="22"/>
      <name val="Arial"/>
      <family val="2"/>
    </font>
    <font>
      <sz val="10"/>
      <color indexed="55"/>
      <name val="Arial"/>
      <family val="2"/>
    </font>
    <font>
      <i/>
      <sz val="10"/>
      <color indexed="55"/>
      <name val="Arial"/>
      <family val="2"/>
    </font>
    <font>
      <i/>
      <sz val="10"/>
      <color indexed="53"/>
      <name val="Arial"/>
      <family val="2"/>
    </font>
    <font>
      <b/>
      <i/>
      <sz val="10"/>
      <color indexed="53"/>
      <name val="Arial"/>
      <family val="2"/>
    </font>
    <font>
      <sz val="9"/>
      <color indexed="81"/>
      <name val="Tahoma"/>
      <family val="2"/>
    </font>
    <font>
      <b/>
      <u/>
      <sz val="10"/>
      <name val="Arial"/>
      <family val="2"/>
    </font>
    <font>
      <b/>
      <sz val="9"/>
      <color indexed="81"/>
      <name val="Tahoma"/>
      <family val="2"/>
    </font>
    <font>
      <vertAlign val="superscript"/>
      <sz val="10"/>
      <color indexed="16"/>
      <name val="Arial"/>
      <family val="2"/>
    </font>
    <font>
      <sz val="8"/>
      <color indexed="12"/>
      <name val="Arial"/>
      <family val="2"/>
    </font>
    <font>
      <sz val="10"/>
      <color indexed="18"/>
      <name val="Symbol"/>
      <family val="1"/>
      <charset val="2"/>
    </font>
    <font>
      <vertAlign val="superscript"/>
      <sz val="10"/>
      <color indexed="18"/>
      <name val="Arial"/>
      <family val="2"/>
    </font>
    <font>
      <b/>
      <sz val="9"/>
      <color indexed="16"/>
      <name val="Arial"/>
      <family val="2"/>
    </font>
    <font>
      <i/>
      <sz val="9"/>
      <color indexed="16"/>
      <name val="Arial"/>
      <family val="2"/>
    </font>
    <font>
      <vertAlign val="subscript"/>
      <sz val="8"/>
      <name val="Arial"/>
      <family val="2"/>
    </font>
    <font>
      <i/>
      <sz val="8"/>
      <name val="Arial"/>
      <family val="2"/>
    </font>
    <font>
      <b/>
      <sz val="10"/>
      <name val="Arial"/>
      <family val="2"/>
    </font>
    <font>
      <sz val="10"/>
      <name val="Noto Sans"/>
      <family val="2"/>
    </font>
    <font>
      <i/>
      <sz val="10"/>
      <name val="Arial"/>
      <family val="2"/>
    </font>
    <font>
      <b/>
      <sz val="9"/>
      <name val="Arial"/>
      <family val="2"/>
    </font>
    <font>
      <b/>
      <sz val="12"/>
      <name val="symbol"/>
      <family val="1"/>
      <charset val="2"/>
    </font>
    <font>
      <sz val="10"/>
      <name val="Arial"/>
      <family val="2"/>
    </font>
    <font>
      <u/>
      <sz val="9"/>
      <name val="Arial"/>
      <family val="2"/>
    </font>
    <font>
      <vertAlign val="superscript"/>
      <sz val="9"/>
      <name val="Arial"/>
      <family val="2"/>
    </font>
    <font>
      <i/>
      <sz val="8"/>
      <name val="Arial"/>
      <family val="2"/>
    </font>
    <font>
      <i/>
      <sz val="10"/>
      <color indexed="12"/>
      <name val="Arial"/>
      <family val="2"/>
    </font>
    <font>
      <b/>
      <sz val="10"/>
      <color indexed="12"/>
      <name val="Arial"/>
      <family val="2"/>
    </font>
    <font>
      <sz val="8"/>
      <name val="Arial"/>
      <family val="2"/>
    </font>
    <font>
      <b/>
      <vertAlign val="subscript"/>
      <sz val="10"/>
      <name val="Arial"/>
      <family val="2"/>
    </font>
    <font>
      <sz val="8"/>
      <name val="symbol"/>
      <family val="1"/>
      <charset val="2"/>
    </font>
    <font>
      <b/>
      <sz val="10"/>
      <name val="symbol"/>
      <family val="1"/>
      <charset val="2"/>
    </font>
    <font>
      <b/>
      <sz val="12"/>
      <name val="Arial"/>
      <family val="2"/>
    </font>
    <font>
      <sz val="10"/>
      <name val="courier"/>
    </font>
    <font>
      <sz val="10"/>
      <color rgb="FFFF0000"/>
      <name val="Arial"/>
      <family val="2"/>
    </font>
    <font>
      <sz val="10"/>
      <color theme="0"/>
      <name val="Arial"/>
      <family val="2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u/>
      <sz val="10"/>
      <color rgb="FFC00000"/>
      <name val="Calibri"/>
      <family val="2"/>
      <scheme val="minor"/>
    </font>
    <font>
      <b/>
      <u/>
      <sz val="10"/>
      <color rgb="FF920000"/>
      <name val="Arial"/>
      <family val="2"/>
    </font>
    <font>
      <sz val="10"/>
      <color rgb="FF000000"/>
      <name val="Arial"/>
      <family val="2"/>
    </font>
    <font>
      <b/>
      <sz val="10"/>
      <color rgb="FFFF0000"/>
      <name val="Arial"/>
      <family val="2"/>
    </font>
    <font>
      <b/>
      <u/>
      <sz val="10"/>
      <color rgb="FFC00000"/>
      <name val="Arial"/>
      <family val="2"/>
    </font>
    <font>
      <u/>
      <vertAlign val="subscript"/>
      <sz val="10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5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22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79998168889431442"/>
        <bgColor indexed="64"/>
      </patternFill>
    </fill>
  </fills>
  <borders count="17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12"/>
      </left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/>
      <right/>
      <top style="thin">
        <color indexed="16"/>
      </top>
      <bottom/>
      <diagonal/>
    </border>
    <border>
      <left/>
      <right style="thin">
        <color indexed="16"/>
      </right>
      <top style="thin">
        <color indexed="16"/>
      </top>
      <bottom/>
      <diagonal/>
    </border>
    <border>
      <left/>
      <right/>
      <top/>
      <bottom style="thin">
        <color indexed="16"/>
      </bottom>
      <diagonal/>
    </border>
    <border>
      <left/>
      <right style="thin">
        <color indexed="16"/>
      </right>
      <top/>
      <bottom style="thin">
        <color indexed="16"/>
      </bottom>
      <diagonal/>
    </border>
    <border>
      <left style="thin">
        <color indexed="16"/>
      </left>
      <right/>
      <top style="thin">
        <color indexed="16"/>
      </top>
      <bottom/>
      <diagonal/>
    </border>
    <border>
      <left/>
      <right style="thin">
        <color indexed="16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12"/>
      </left>
      <right/>
      <top style="thin">
        <color indexed="12"/>
      </top>
      <bottom/>
      <diagonal/>
    </border>
    <border>
      <left/>
      <right/>
      <top style="thin">
        <color indexed="12"/>
      </top>
      <bottom/>
      <diagonal/>
    </border>
    <border>
      <left/>
      <right style="thin">
        <color indexed="12"/>
      </right>
      <top style="thin">
        <color indexed="12"/>
      </top>
      <bottom/>
      <diagonal/>
    </border>
    <border>
      <left style="thin">
        <color indexed="12"/>
      </left>
      <right/>
      <top/>
      <bottom style="thin">
        <color indexed="12"/>
      </bottom>
      <diagonal/>
    </border>
    <border>
      <left/>
      <right/>
      <top/>
      <bottom style="thin">
        <color indexed="12"/>
      </bottom>
      <diagonal/>
    </border>
    <border>
      <left/>
      <right style="thin">
        <color indexed="12"/>
      </right>
      <top/>
      <bottom style="thin">
        <color indexed="12"/>
      </bottom>
      <diagonal/>
    </border>
    <border>
      <left style="thin">
        <color indexed="55"/>
      </left>
      <right/>
      <top style="thin">
        <color indexed="55"/>
      </top>
      <bottom/>
      <diagonal/>
    </border>
    <border>
      <left/>
      <right/>
      <top style="thin">
        <color indexed="55"/>
      </top>
      <bottom/>
      <diagonal/>
    </border>
    <border>
      <left/>
      <right style="thin">
        <color indexed="55"/>
      </right>
      <top style="thin">
        <color indexed="55"/>
      </top>
      <bottom/>
      <diagonal/>
    </border>
    <border>
      <left style="thin">
        <color indexed="55"/>
      </left>
      <right/>
      <top/>
      <bottom style="thin">
        <color indexed="55"/>
      </bottom>
      <diagonal/>
    </border>
    <border>
      <left/>
      <right/>
      <top/>
      <bottom style="thin">
        <color indexed="55"/>
      </bottom>
      <diagonal/>
    </border>
    <border>
      <left/>
      <right style="thin">
        <color indexed="55"/>
      </right>
      <top/>
      <bottom style="thin">
        <color indexed="55"/>
      </bottom>
      <diagonal/>
    </border>
    <border>
      <left style="thin">
        <color indexed="55"/>
      </left>
      <right/>
      <top style="thin">
        <color indexed="55"/>
      </top>
      <bottom style="thin">
        <color indexed="55"/>
      </bottom>
      <diagonal/>
    </border>
    <border>
      <left/>
      <right/>
      <top style="thin">
        <color indexed="55"/>
      </top>
      <bottom style="thin">
        <color indexed="55"/>
      </bottom>
      <diagonal/>
    </border>
    <border>
      <left/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/>
      <bottom style="thin">
        <color indexed="23"/>
      </bottom>
      <diagonal/>
    </border>
    <border>
      <left style="thin">
        <color indexed="23"/>
      </left>
      <right/>
      <top/>
      <bottom/>
      <diagonal/>
    </border>
    <border>
      <left/>
      <right style="thin">
        <color indexed="23"/>
      </right>
      <top/>
      <bottom/>
      <diagonal/>
    </border>
    <border>
      <left style="thin">
        <color indexed="23"/>
      </left>
      <right/>
      <top/>
      <bottom style="thin">
        <color indexed="23"/>
      </bottom>
      <diagonal/>
    </border>
    <border>
      <left/>
      <right/>
      <top/>
      <bottom style="thin">
        <color indexed="23"/>
      </bottom>
      <diagonal/>
    </border>
    <border>
      <left/>
      <right style="thin">
        <color indexed="23"/>
      </right>
      <top/>
      <bottom style="thin">
        <color indexed="23"/>
      </bottom>
      <diagonal/>
    </border>
    <border>
      <left style="thin">
        <color indexed="16"/>
      </left>
      <right/>
      <top/>
      <bottom style="thin">
        <color indexed="16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0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0"/>
      </bottom>
      <diagonal/>
    </border>
    <border>
      <left/>
      <right style="medium">
        <color indexed="64"/>
      </right>
      <top/>
      <bottom style="thin">
        <color indexed="60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16"/>
      </left>
      <right/>
      <top/>
      <bottom/>
      <diagonal/>
    </border>
    <border>
      <left/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thin">
        <color indexed="64"/>
      </left>
      <right style="thin">
        <color indexed="64"/>
      </right>
      <top style="thin">
        <color indexed="12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55"/>
      </left>
      <right/>
      <top/>
      <bottom/>
      <diagonal/>
    </border>
    <border>
      <left/>
      <right style="thin">
        <color indexed="55"/>
      </right>
      <top/>
      <bottom/>
      <diagonal/>
    </border>
    <border>
      <left style="thin">
        <color indexed="36"/>
      </left>
      <right/>
      <top style="thin">
        <color indexed="36"/>
      </top>
      <bottom/>
      <diagonal/>
    </border>
    <border>
      <left/>
      <right/>
      <top style="thin">
        <color indexed="36"/>
      </top>
      <bottom/>
      <diagonal/>
    </border>
    <border>
      <left/>
      <right style="thin">
        <color indexed="36"/>
      </right>
      <top style="thin">
        <color indexed="36"/>
      </top>
      <bottom/>
      <diagonal/>
    </border>
    <border>
      <left style="thin">
        <color indexed="36"/>
      </left>
      <right/>
      <top/>
      <bottom/>
      <diagonal/>
    </border>
    <border>
      <left/>
      <right style="thin">
        <color indexed="36"/>
      </right>
      <top/>
      <bottom/>
      <diagonal/>
    </border>
    <border>
      <left style="thin">
        <color indexed="36"/>
      </left>
      <right/>
      <top/>
      <bottom style="thin">
        <color indexed="36"/>
      </bottom>
      <diagonal/>
    </border>
    <border>
      <left/>
      <right/>
      <top/>
      <bottom style="thin">
        <color indexed="36"/>
      </bottom>
      <diagonal/>
    </border>
    <border>
      <left/>
      <right style="thin">
        <color indexed="36"/>
      </right>
      <top/>
      <bottom style="thin">
        <color indexed="36"/>
      </bottom>
      <diagonal/>
    </border>
    <border>
      <left style="thin">
        <color indexed="52"/>
      </left>
      <right style="thin">
        <color indexed="52"/>
      </right>
      <top style="thin">
        <color indexed="52"/>
      </top>
      <bottom/>
      <diagonal/>
    </border>
    <border>
      <left style="thin">
        <color indexed="52"/>
      </left>
      <right style="thin">
        <color indexed="52"/>
      </right>
      <top style="thin">
        <color indexed="52"/>
      </top>
      <bottom style="thin">
        <color indexed="52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/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/>
      <right/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hair">
        <color indexed="64"/>
      </left>
      <right/>
      <top style="double">
        <color indexed="64"/>
      </top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8"/>
      </bottom>
      <diagonal/>
    </border>
    <border>
      <left style="medium">
        <color indexed="64"/>
      </left>
      <right style="medium">
        <color indexed="64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 style="medium">
        <color indexed="64"/>
      </right>
      <top style="thin">
        <color indexed="8"/>
      </top>
      <bottom style="medium">
        <color indexed="64"/>
      </bottom>
      <diagonal/>
    </border>
    <border>
      <left style="medium">
        <color indexed="64"/>
      </left>
      <right/>
      <top style="thin">
        <color indexed="8"/>
      </top>
      <bottom style="thin">
        <color indexed="8"/>
      </bottom>
      <diagonal/>
    </border>
    <border>
      <left/>
      <right style="medium">
        <color indexed="64"/>
      </right>
      <top style="thin">
        <color indexed="8"/>
      </top>
      <bottom style="thin">
        <color indexed="8"/>
      </bottom>
      <diagonal/>
    </border>
    <border>
      <left/>
      <right style="medium">
        <color indexed="64"/>
      </right>
      <top style="thin">
        <color indexed="8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8"/>
      </bottom>
      <diagonal/>
    </border>
    <border>
      <left/>
      <right style="medium">
        <color indexed="64"/>
      </right>
      <top style="medium">
        <color indexed="64"/>
      </top>
      <bottom style="thin">
        <color indexed="8"/>
      </bottom>
      <diagonal/>
    </border>
    <border>
      <left style="medium">
        <color indexed="64"/>
      </left>
      <right/>
      <top/>
      <bottom style="thin">
        <color indexed="8"/>
      </bottom>
      <diagonal/>
    </border>
    <border>
      <left/>
      <right style="medium">
        <color indexed="64"/>
      </right>
      <top/>
      <bottom style="thin">
        <color indexed="8"/>
      </bottom>
      <diagonal/>
    </border>
    <border>
      <left style="medium">
        <color indexed="64"/>
      </left>
      <right style="medium">
        <color indexed="64"/>
      </right>
      <top/>
      <bottom style="thin">
        <color indexed="8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8"/>
      </top>
      <bottom/>
      <diagonal/>
    </border>
    <border>
      <left style="medium">
        <color indexed="64"/>
      </left>
      <right/>
      <top style="thin">
        <color indexed="8"/>
      </top>
      <bottom/>
      <diagonal/>
    </border>
    <border>
      <left/>
      <right style="medium">
        <color indexed="64"/>
      </right>
      <top style="thin">
        <color indexed="8"/>
      </top>
      <bottom/>
      <diagonal/>
    </border>
    <border>
      <left style="medium">
        <color indexed="64"/>
      </left>
      <right/>
      <top style="thin">
        <color indexed="8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23"/>
      </left>
      <right/>
      <top style="thin">
        <color indexed="23"/>
      </top>
      <bottom/>
      <diagonal/>
    </border>
    <border>
      <left/>
      <right/>
      <top style="thin">
        <color indexed="23"/>
      </top>
      <bottom/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</borders>
  <cellStyleXfs count="3">
    <xf numFmtId="0" fontId="0" fillId="0" borderId="0"/>
    <xf numFmtId="0" fontId="58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</cellStyleXfs>
  <cellXfs count="833">
    <xf numFmtId="0" fontId="0" fillId="0" borderId="0" xfId="0"/>
    <xf numFmtId="0" fontId="2" fillId="0" borderId="0" xfId="0" applyFont="1"/>
    <xf numFmtId="0" fontId="0" fillId="0" borderId="0" xfId="0" applyAlignment="1">
      <alignment horizontal="right"/>
    </xf>
    <xf numFmtId="164" fontId="0" fillId="0" borderId="0" xfId="0" applyNumberFormat="1"/>
    <xf numFmtId="1" fontId="0" fillId="0" borderId="0" xfId="0" applyNumberFormat="1"/>
    <xf numFmtId="0" fontId="7" fillId="0" borderId="0" xfId="0" applyFont="1" applyAlignment="1">
      <alignment horizontal="right"/>
    </xf>
    <xf numFmtId="0" fontId="8" fillId="0" borderId="0" xfId="0" applyFont="1"/>
    <xf numFmtId="0" fontId="9" fillId="0" borderId="0" xfId="0" applyFont="1" applyAlignment="1">
      <alignment horizontal="right"/>
    </xf>
    <xf numFmtId="0" fontId="10" fillId="0" borderId="0" xfId="0" applyFont="1"/>
    <xf numFmtId="1" fontId="10" fillId="0" borderId="0" xfId="0" applyNumberFormat="1" applyFont="1"/>
    <xf numFmtId="165" fontId="0" fillId="0" borderId="0" xfId="0" applyNumberFormat="1"/>
    <xf numFmtId="0" fontId="7" fillId="0" borderId="0" xfId="0" applyFont="1"/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164" fontId="0" fillId="0" borderId="2" xfId="0" applyNumberFormat="1" applyBorder="1"/>
    <xf numFmtId="1" fontId="0" fillId="0" borderId="2" xfId="0" applyNumberFormat="1" applyBorder="1"/>
    <xf numFmtId="2" fontId="0" fillId="0" borderId="3" xfId="0" applyNumberFormat="1" applyBorder="1"/>
    <xf numFmtId="0" fontId="15" fillId="0" borderId="0" xfId="0" applyFont="1"/>
    <xf numFmtId="0" fontId="16" fillId="0" borderId="0" xfId="0" applyFont="1"/>
    <xf numFmtId="0" fontId="5" fillId="0" borderId="0" xfId="0" applyFont="1"/>
    <xf numFmtId="0" fontId="12" fillId="0" borderId="0" xfId="0" applyFont="1"/>
    <xf numFmtId="0" fontId="10" fillId="0" borderId="0" xfId="0" applyFont="1" applyProtection="1">
      <protection locked="0" hidden="1"/>
    </xf>
    <xf numFmtId="0" fontId="0" fillId="0" borderId="3" xfId="0" applyBorder="1" applyAlignment="1">
      <alignment horizontal="right"/>
    </xf>
    <xf numFmtId="0" fontId="0" fillId="0" borderId="7" xfId="0" applyBorder="1"/>
    <xf numFmtId="0" fontId="0" fillId="0" borderId="8" xfId="0" applyBorder="1" applyAlignment="1">
      <alignment horizontal="center"/>
    </xf>
    <xf numFmtId="0" fontId="0" fillId="0" borderId="9" xfId="0" applyBorder="1"/>
    <xf numFmtId="165" fontId="0" fillId="0" borderId="2" xfId="0" applyNumberFormat="1" applyBorder="1"/>
    <xf numFmtId="165" fontId="0" fillId="0" borderId="7" xfId="0" applyNumberFormat="1" applyBorder="1"/>
    <xf numFmtId="165" fontId="0" fillId="0" borderId="9" xfId="0" applyNumberFormat="1" applyBorder="1"/>
    <xf numFmtId="0" fontId="0" fillId="0" borderId="10" xfId="0" applyBorder="1"/>
    <xf numFmtId="0" fontId="0" fillId="0" borderId="11" xfId="0" applyBorder="1" applyAlignment="1">
      <alignment horizontal="center"/>
    </xf>
    <xf numFmtId="0" fontId="0" fillId="0" borderId="12" xfId="0" applyBorder="1"/>
    <xf numFmtId="165" fontId="0" fillId="0" borderId="3" xfId="0" applyNumberFormat="1" applyBorder="1"/>
    <xf numFmtId="165" fontId="0" fillId="0" borderId="10" xfId="0" applyNumberFormat="1" applyBorder="1"/>
    <xf numFmtId="165" fontId="0" fillId="0" borderId="12" xfId="0" applyNumberFormat="1" applyBorder="1"/>
    <xf numFmtId="2" fontId="0" fillId="0" borderId="9" xfId="0" applyNumberFormat="1" applyBorder="1"/>
    <xf numFmtId="0" fontId="0" fillId="0" borderId="0" xfId="0" applyAlignment="1">
      <alignment horizontal="center"/>
    </xf>
    <xf numFmtId="2" fontId="0" fillId="0" borderId="0" xfId="0" applyNumberFormat="1"/>
    <xf numFmtId="167" fontId="0" fillId="0" borderId="0" xfId="0" applyNumberFormat="1"/>
    <xf numFmtId="166" fontId="0" fillId="0" borderId="0" xfId="0" applyNumberFormat="1"/>
    <xf numFmtId="0" fontId="0" fillId="0" borderId="13" xfId="0" applyBorder="1" applyAlignment="1">
      <alignment horizontal="center"/>
    </xf>
    <xf numFmtId="0" fontId="0" fillId="0" borderId="3" xfId="0" quotePrefix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21" fillId="0" borderId="6" xfId="0" applyFont="1" applyBorder="1" applyAlignment="1">
      <alignment horizontal="center"/>
    </xf>
    <xf numFmtId="0" fontId="21" fillId="0" borderId="3" xfId="0" applyFont="1" applyBorder="1" applyAlignment="1">
      <alignment horizontal="center"/>
    </xf>
    <xf numFmtId="0" fontId="21" fillId="0" borderId="2" xfId="0" applyFont="1" applyBorder="1" applyAlignment="1">
      <alignment horizontal="center"/>
    </xf>
    <xf numFmtId="0" fontId="4" fillId="0" borderId="0" xfId="0" applyFont="1"/>
    <xf numFmtId="0" fontId="22" fillId="0" borderId="0" xfId="0" applyFont="1"/>
    <xf numFmtId="0" fontId="22" fillId="0" borderId="0" xfId="0" applyFont="1" applyAlignment="1">
      <alignment horizontal="right"/>
    </xf>
    <xf numFmtId="165" fontId="22" fillId="0" borderId="11" xfId="0" applyNumberFormat="1" applyFont="1" applyBorder="1" applyProtection="1">
      <protection locked="0"/>
    </xf>
    <xf numFmtId="0" fontId="22" fillId="0" borderId="12" xfId="0" applyFont="1" applyBorder="1"/>
    <xf numFmtId="0" fontId="22" fillId="0" borderId="10" xfId="0" applyFont="1" applyBorder="1" applyAlignment="1">
      <alignment horizontal="right"/>
    </xf>
    <xf numFmtId="0" fontId="0" fillId="0" borderId="0" xfId="0" applyAlignment="1">
      <alignment horizontal="left"/>
    </xf>
    <xf numFmtId="0" fontId="15" fillId="0" borderId="0" xfId="0" applyFont="1" applyAlignment="1">
      <alignment horizontal="right"/>
    </xf>
    <xf numFmtId="0" fontId="25" fillId="0" borderId="0" xfId="0" applyFont="1"/>
    <xf numFmtId="166" fontId="26" fillId="0" borderId="0" xfId="0" applyNumberFormat="1" applyFont="1"/>
    <xf numFmtId="165" fontId="27" fillId="0" borderId="0" xfId="0" applyNumberFormat="1" applyFont="1"/>
    <xf numFmtId="164" fontId="27" fillId="0" borderId="0" xfId="0" applyNumberFormat="1" applyFont="1"/>
    <xf numFmtId="0" fontId="0" fillId="0" borderId="7" xfId="0" applyBorder="1" applyAlignment="1">
      <alignment horizontal="center"/>
    </xf>
    <xf numFmtId="0" fontId="0" fillId="0" borderId="10" xfId="0" applyBorder="1" applyAlignment="1">
      <alignment horizontal="center"/>
    </xf>
    <xf numFmtId="0" fontId="4" fillId="0" borderId="14" xfId="0" applyFont="1" applyBorder="1" applyProtection="1">
      <protection locked="0"/>
    </xf>
    <xf numFmtId="164" fontId="4" fillId="0" borderId="14" xfId="0" applyNumberFormat="1" applyFont="1" applyBorder="1" applyProtection="1">
      <protection locked="0"/>
    </xf>
    <xf numFmtId="1" fontId="29" fillId="0" borderId="0" xfId="0" applyNumberFormat="1" applyFont="1"/>
    <xf numFmtId="164" fontId="29" fillId="0" borderId="0" xfId="0" applyNumberFormat="1" applyFont="1"/>
    <xf numFmtId="0" fontId="9" fillId="0" borderId="3" xfId="0" applyFont="1" applyBorder="1" applyAlignment="1">
      <alignment horizontal="center"/>
    </xf>
    <xf numFmtId="0" fontId="28" fillId="0" borderId="3" xfId="0" applyFont="1" applyBorder="1" applyAlignment="1">
      <alignment horizontal="center"/>
    </xf>
    <xf numFmtId="0" fontId="3" fillId="0" borderId="0" xfId="0" applyFont="1"/>
    <xf numFmtId="0" fontId="33" fillId="0" borderId="0" xfId="0" applyFont="1"/>
    <xf numFmtId="0" fontId="34" fillId="0" borderId="0" xfId="0" applyFont="1" applyAlignment="1">
      <alignment horizontal="right"/>
    </xf>
    <xf numFmtId="0" fontId="34" fillId="0" borderId="0" xfId="0" applyFont="1" applyAlignment="1">
      <alignment horizontal="left"/>
    </xf>
    <xf numFmtId="0" fontId="35" fillId="0" borderId="0" xfId="0" applyFont="1" applyAlignment="1">
      <alignment horizontal="right"/>
    </xf>
    <xf numFmtId="0" fontId="34" fillId="0" borderId="0" xfId="0" applyFont="1"/>
    <xf numFmtId="0" fontId="36" fillId="0" borderId="0" xfId="0" applyFont="1" applyAlignment="1">
      <alignment horizontal="left"/>
    </xf>
    <xf numFmtId="0" fontId="36" fillId="0" borderId="0" xfId="0" applyFont="1"/>
    <xf numFmtId="2" fontId="0" fillId="0" borderId="2" xfId="0" applyNumberFormat="1" applyBorder="1"/>
    <xf numFmtId="168" fontId="0" fillId="0" borderId="0" xfId="0" applyNumberFormat="1"/>
    <xf numFmtId="168" fontId="26" fillId="0" borderId="0" xfId="0" applyNumberFormat="1" applyFont="1"/>
    <xf numFmtId="168" fontId="27" fillId="0" borderId="0" xfId="0" applyNumberFormat="1" applyFont="1"/>
    <xf numFmtId="0" fontId="8" fillId="0" borderId="14" xfId="0" applyFont="1" applyBorder="1" applyProtection="1">
      <protection locked="0"/>
    </xf>
    <xf numFmtId="0" fontId="4" fillId="0" borderId="15" xfId="0" applyFont="1" applyBorder="1" applyProtection="1">
      <protection locked="0"/>
    </xf>
    <xf numFmtId="165" fontId="0" fillId="0" borderId="0" xfId="0" applyNumberFormat="1" applyProtection="1">
      <protection locked="0"/>
    </xf>
    <xf numFmtId="166" fontId="22" fillId="0" borderId="0" xfId="0" applyNumberFormat="1" applyFont="1" applyProtection="1">
      <protection locked="0"/>
    </xf>
    <xf numFmtId="2" fontId="4" fillId="0" borderId="15" xfId="0" applyNumberFormat="1" applyFont="1" applyBorder="1" applyProtection="1">
      <protection locked="0"/>
    </xf>
    <xf numFmtId="0" fontId="17" fillId="0" borderId="15" xfId="0" applyFont="1" applyBorder="1" applyProtection="1">
      <protection locked="0"/>
    </xf>
    <xf numFmtId="2" fontId="4" fillId="0" borderId="14" xfId="0" applyNumberFormat="1" applyFont="1" applyBorder="1" applyProtection="1">
      <protection locked="0"/>
    </xf>
    <xf numFmtId="0" fontId="0" fillId="0" borderId="3" xfId="0" applyBorder="1"/>
    <xf numFmtId="0" fontId="25" fillId="0" borderId="0" xfId="0" applyFont="1" applyAlignment="1">
      <alignment horizontal="right"/>
    </xf>
    <xf numFmtId="165" fontId="25" fillId="0" borderId="0" xfId="0" applyNumberFormat="1" applyFont="1"/>
    <xf numFmtId="0" fontId="30" fillId="0" borderId="0" xfId="0" applyFont="1" applyAlignment="1">
      <alignment horizontal="center"/>
    </xf>
    <xf numFmtId="0" fontId="25" fillId="0" borderId="0" xfId="0" applyFont="1" applyProtection="1">
      <protection hidden="1"/>
    </xf>
    <xf numFmtId="0" fontId="0" fillId="0" borderId="0" xfId="0" applyProtection="1">
      <protection hidden="1"/>
    </xf>
    <xf numFmtId="166" fontId="25" fillId="0" borderId="0" xfId="0" applyNumberFormat="1" applyFont="1"/>
    <xf numFmtId="0" fontId="41" fillId="0" borderId="0" xfId="0" applyFont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45" fillId="0" borderId="20" xfId="0" applyFont="1" applyBorder="1"/>
    <xf numFmtId="0" fontId="44" fillId="0" borderId="0" xfId="0" applyFont="1"/>
    <xf numFmtId="0" fontId="0" fillId="0" borderId="21" xfId="0" applyBorder="1"/>
    <xf numFmtId="0" fontId="21" fillId="0" borderId="0" xfId="0" applyFont="1"/>
    <xf numFmtId="0" fontId="0" fillId="0" borderId="8" xfId="0" applyBorder="1"/>
    <xf numFmtId="165" fontId="10" fillId="0" borderId="0" xfId="0" applyNumberFormat="1" applyFont="1"/>
    <xf numFmtId="167" fontId="10" fillId="0" borderId="0" xfId="0" applyNumberFormat="1" applyFont="1"/>
    <xf numFmtId="164" fontId="10" fillId="0" borderId="0" xfId="0" applyNumberFormat="1" applyFont="1"/>
    <xf numFmtId="2" fontId="31" fillId="2" borderId="3" xfId="0" applyNumberFormat="1" applyFont="1" applyFill="1" applyBorder="1" applyAlignment="1">
      <alignment horizontal="center"/>
    </xf>
    <xf numFmtId="2" fontId="31" fillId="2" borderId="3" xfId="0" applyNumberFormat="1" applyFont="1" applyFill="1" applyBorder="1" applyAlignment="1" applyProtection="1">
      <alignment horizontal="center"/>
      <protection locked="0"/>
    </xf>
    <xf numFmtId="2" fontId="31" fillId="2" borderId="3" xfId="0" applyNumberFormat="1" applyFont="1" applyFill="1" applyBorder="1" applyAlignment="1" applyProtection="1">
      <alignment horizontal="left"/>
      <protection locked="0"/>
    </xf>
    <xf numFmtId="2" fontId="26" fillId="0" borderId="0" xfId="0" applyNumberFormat="1" applyFont="1"/>
    <xf numFmtId="2" fontId="12" fillId="0" borderId="0" xfId="0" applyNumberFormat="1" applyFont="1"/>
    <xf numFmtId="165" fontId="12" fillId="0" borderId="0" xfId="0" applyNumberFormat="1" applyFont="1"/>
    <xf numFmtId="1" fontId="26" fillId="0" borderId="0" xfId="0" applyNumberFormat="1" applyFont="1"/>
    <xf numFmtId="165" fontId="12" fillId="0" borderId="3" xfId="0" applyNumberFormat="1" applyFont="1" applyBorder="1"/>
    <xf numFmtId="0" fontId="0" fillId="0" borderId="22" xfId="0" applyBorder="1"/>
    <xf numFmtId="17" fontId="0" fillId="0" borderId="13" xfId="0" applyNumberFormat="1" applyBorder="1"/>
    <xf numFmtId="0" fontId="0" fillId="0" borderId="23" xfId="0" applyBorder="1"/>
    <xf numFmtId="0" fontId="53" fillId="0" borderId="22" xfId="0" applyFont="1" applyBorder="1" applyAlignment="1">
      <alignment horizontal="right"/>
    </xf>
    <xf numFmtId="0" fontId="53" fillId="0" borderId="13" xfId="0" applyFont="1" applyBorder="1" applyAlignment="1">
      <alignment horizontal="right"/>
    </xf>
    <xf numFmtId="0" fontId="53" fillId="0" borderId="13" xfId="0" applyFont="1" applyBorder="1" applyAlignment="1">
      <alignment horizontal="center"/>
    </xf>
    <xf numFmtId="0" fontId="53" fillId="0" borderId="24" xfId="0" applyFont="1" applyBorder="1" applyAlignment="1">
      <alignment horizontal="center"/>
    </xf>
    <xf numFmtId="0" fontId="0" fillId="0" borderId="24" xfId="0" quotePrefix="1" applyBorder="1"/>
    <xf numFmtId="0" fontId="0" fillId="0" borderId="25" xfId="0" quotePrefix="1" applyBorder="1"/>
    <xf numFmtId="0" fontId="0" fillId="0" borderId="9" xfId="0" quotePrefix="1" applyBorder="1"/>
    <xf numFmtId="17" fontId="0" fillId="0" borderId="11" xfId="0" applyNumberFormat="1" applyBorder="1"/>
    <xf numFmtId="0" fontId="0" fillId="0" borderId="12" xfId="0" quotePrefix="1" applyBorder="1"/>
    <xf numFmtId="0" fontId="21" fillId="0" borderId="0" xfId="0" applyFont="1" applyAlignment="1">
      <alignment horizontal="center"/>
    </xf>
    <xf numFmtId="0" fontId="21" fillId="0" borderId="0" xfId="0" applyFont="1" applyAlignment="1">
      <alignment horizontal="left"/>
    </xf>
    <xf numFmtId="0" fontId="21" fillId="0" borderId="0" xfId="0" applyFont="1" applyAlignment="1">
      <alignment horizontal="right"/>
    </xf>
    <xf numFmtId="0" fontId="12" fillId="3" borderId="22" xfId="0" applyFont="1" applyFill="1" applyBorder="1" applyAlignment="1">
      <alignment horizontal="right"/>
    </xf>
    <xf numFmtId="1" fontId="12" fillId="3" borderId="13" xfId="0" applyNumberFormat="1" applyFont="1" applyFill="1" applyBorder="1"/>
    <xf numFmtId="0" fontId="12" fillId="3" borderId="24" xfId="0" applyFont="1" applyFill="1" applyBorder="1"/>
    <xf numFmtId="0" fontId="12" fillId="3" borderId="23" xfId="0" applyFont="1" applyFill="1" applyBorder="1" applyAlignment="1">
      <alignment horizontal="right"/>
    </xf>
    <xf numFmtId="1" fontId="12" fillId="3" borderId="0" xfId="0" applyNumberFormat="1" applyFont="1" applyFill="1"/>
    <xf numFmtId="0" fontId="12" fillId="3" borderId="25" xfId="0" applyFont="1" applyFill="1" applyBorder="1"/>
    <xf numFmtId="0" fontId="12" fillId="3" borderId="7" xfId="0" applyFont="1" applyFill="1" applyBorder="1" applyAlignment="1">
      <alignment horizontal="right"/>
    </xf>
    <xf numFmtId="165" fontId="12" fillId="3" borderId="8" xfId="0" applyNumberFormat="1" applyFont="1" applyFill="1" applyBorder="1"/>
    <xf numFmtId="0" fontId="12" fillId="3" borderId="9" xfId="0" applyFont="1" applyFill="1" applyBorder="1"/>
    <xf numFmtId="2" fontId="12" fillId="3" borderId="13" xfId="0" applyNumberFormat="1" applyFont="1" applyFill="1" applyBorder="1"/>
    <xf numFmtId="165" fontId="12" fillId="3" borderId="0" xfId="0" applyNumberFormat="1" applyFont="1" applyFill="1"/>
    <xf numFmtId="0" fontId="0" fillId="3" borderId="0" xfId="0" applyFill="1"/>
    <xf numFmtId="0" fontId="58" fillId="0" borderId="0" xfId="1" applyAlignment="1" applyProtection="1"/>
    <xf numFmtId="0" fontId="16" fillId="3" borderId="0" xfId="0" applyFont="1" applyFill="1"/>
    <xf numFmtId="0" fontId="12" fillId="3" borderId="22" xfId="0" applyFont="1" applyFill="1" applyBorder="1" applyAlignment="1">
      <alignment horizontal="center"/>
    </xf>
    <xf numFmtId="1" fontId="12" fillId="3" borderId="24" xfId="0" applyNumberFormat="1" applyFont="1" applyFill="1" applyBorder="1" applyAlignment="1">
      <alignment horizontal="left"/>
    </xf>
    <xf numFmtId="0" fontId="12" fillId="3" borderId="23" xfId="0" applyFont="1" applyFill="1" applyBorder="1" applyAlignment="1">
      <alignment horizontal="center"/>
    </xf>
    <xf numFmtId="1" fontId="12" fillId="3" borderId="25" xfId="0" applyNumberFormat="1" applyFont="1" applyFill="1" applyBorder="1" applyAlignment="1">
      <alignment horizontal="left"/>
    </xf>
    <xf numFmtId="0" fontId="12" fillId="3" borderId="7" xfId="0" applyFont="1" applyFill="1" applyBorder="1" applyAlignment="1">
      <alignment horizontal="center"/>
    </xf>
    <xf numFmtId="1" fontId="12" fillId="3" borderId="9" xfId="0" applyNumberFormat="1" applyFont="1" applyFill="1" applyBorder="1" applyAlignment="1">
      <alignment horizontal="left"/>
    </xf>
    <xf numFmtId="0" fontId="20" fillId="0" borderId="0" xfId="0" applyFont="1"/>
    <xf numFmtId="0" fontId="0" fillId="0" borderId="22" xfId="0" quotePrefix="1" applyBorder="1"/>
    <xf numFmtId="0" fontId="0" fillId="0" borderId="13" xfId="0" quotePrefix="1" applyBorder="1"/>
    <xf numFmtId="0" fontId="4" fillId="0" borderId="26" xfId="0" applyFont="1" applyBorder="1" applyProtection="1">
      <protection locked="0"/>
    </xf>
    <xf numFmtId="0" fontId="4" fillId="0" borderId="27" xfId="0" applyFont="1" applyBorder="1" applyProtection="1">
      <protection locked="0"/>
    </xf>
    <xf numFmtId="0" fontId="4" fillId="0" borderId="28" xfId="0" applyFont="1" applyBorder="1" applyProtection="1">
      <protection locked="0"/>
    </xf>
    <xf numFmtId="0" fontId="4" fillId="0" borderId="29" xfId="0" applyFont="1" applyBorder="1" applyProtection="1">
      <protection locked="0"/>
    </xf>
    <xf numFmtId="0" fontId="4" fillId="0" borderId="30" xfId="0" applyFont="1" applyBorder="1" applyProtection="1">
      <protection locked="0"/>
    </xf>
    <xf numFmtId="0" fontId="4" fillId="0" borderId="31" xfId="0" applyFont="1" applyBorder="1" applyProtection="1">
      <protection locked="0"/>
    </xf>
    <xf numFmtId="0" fontId="0" fillId="0" borderId="32" xfId="0" applyBorder="1"/>
    <xf numFmtId="0" fontId="0" fillId="0" borderId="33" xfId="0" applyBorder="1" applyAlignment="1">
      <alignment horizontal="right"/>
    </xf>
    <xf numFmtId="165" fontId="20" fillId="0" borderId="33" xfId="0" applyNumberFormat="1" applyFont="1" applyBorder="1"/>
    <xf numFmtId="0" fontId="0" fillId="0" borderId="34" xfId="0" applyBorder="1"/>
    <xf numFmtId="0" fontId="0" fillId="0" borderId="35" xfId="0" applyBorder="1"/>
    <xf numFmtId="0" fontId="0" fillId="0" borderId="36" xfId="0" applyBorder="1" applyAlignment="1">
      <alignment horizontal="right"/>
    </xf>
    <xf numFmtId="165" fontId="20" fillId="0" borderId="36" xfId="0" applyNumberFormat="1" applyFont="1" applyBorder="1"/>
    <xf numFmtId="0" fontId="0" fillId="0" borderId="37" xfId="0" applyBorder="1"/>
    <xf numFmtId="164" fontId="20" fillId="0" borderId="33" xfId="0" applyNumberFormat="1" applyFont="1" applyBorder="1"/>
    <xf numFmtId="164" fontId="20" fillId="0" borderId="36" xfId="0" applyNumberFormat="1" applyFont="1" applyBorder="1"/>
    <xf numFmtId="0" fontId="0" fillId="0" borderId="36" xfId="0" applyBorder="1"/>
    <xf numFmtId="0" fontId="0" fillId="0" borderId="38" xfId="0" applyBorder="1"/>
    <xf numFmtId="0" fontId="0" fillId="0" borderId="39" xfId="0" applyBorder="1" applyAlignment="1">
      <alignment horizontal="right"/>
    </xf>
    <xf numFmtId="165" fontId="20" fillId="0" borderId="39" xfId="0" applyNumberFormat="1" applyFont="1" applyBorder="1"/>
    <xf numFmtId="0" fontId="0" fillId="0" borderId="40" xfId="0" applyBorder="1"/>
    <xf numFmtId="164" fontId="20" fillId="0" borderId="39" xfId="0" applyNumberFormat="1" applyFont="1" applyBorder="1"/>
    <xf numFmtId="0" fontId="10" fillId="0" borderId="41" xfId="0" applyFont="1" applyBorder="1" applyAlignment="1">
      <alignment horizontal="right"/>
    </xf>
    <xf numFmtId="0" fontId="10" fillId="0" borderId="42" xfId="0" applyFont="1" applyBorder="1" applyAlignment="1">
      <alignment horizontal="right"/>
    </xf>
    <xf numFmtId="0" fontId="12" fillId="0" borderId="41" xfId="0" applyFont="1" applyBorder="1" applyAlignment="1">
      <alignment horizontal="right"/>
    </xf>
    <xf numFmtId="0" fontId="12" fillId="0" borderId="42" xfId="0" applyFont="1" applyBorder="1" applyAlignment="1">
      <alignment horizontal="right"/>
    </xf>
    <xf numFmtId="0" fontId="4" fillId="0" borderId="41" xfId="0" applyFont="1" applyBorder="1" applyAlignment="1">
      <alignment horizontal="right"/>
    </xf>
    <xf numFmtId="0" fontId="4" fillId="0" borderId="42" xfId="0" applyFont="1" applyBorder="1" applyAlignment="1">
      <alignment horizontal="right"/>
    </xf>
    <xf numFmtId="0" fontId="60" fillId="0" borderId="41" xfId="0" applyFont="1" applyBorder="1" applyAlignment="1">
      <alignment horizontal="right"/>
    </xf>
    <xf numFmtId="0" fontId="60" fillId="0" borderId="42" xfId="0" applyFont="1" applyBorder="1" applyAlignment="1">
      <alignment horizontal="right"/>
    </xf>
    <xf numFmtId="0" fontId="10" fillId="0" borderId="1" xfId="0" applyFont="1" applyBorder="1"/>
    <xf numFmtId="165" fontId="12" fillId="0" borderId="1" xfId="0" applyNumberFormat="1" applyFont="1" applyBorder="1"/>
    <xf numFmtId="1" fontId="4" fillId="0" borderId="1" xfId="0" applyNumberFormat="1" applyFont="1" applyBorder="1"/>
    <xf numFmtId="1" fontId="60" fillId="0" borderId="1" xfId="0" applyNumberFormat="1" applyFont="1" applyBorder="1"/>
    <xf numFmtId="0" fontId="0" fillId="0" borderId="43" xfId="0" applyBorder="1" applyAlignment="1">
      <alignment horizontal="right"/>
    </xf>
    <xf numFmtId="166" fontId="20" fillId="0" borderId="0" xfId="0" applyNumberFormat="1" applyFont="1"/>
    <xf numFmtId="0" fontId="0" fillId="0" borderId="44" xfId="0" applyBorder="1"/>
    <xf numFmtId="0" fontId="0" fillId="0" borderId="45" xfId="0" applyBorder="1" applyAlignment="1">
      <alignment horizontal="right"/>
    </xf>
    <xf numFmtId="0" fontId="0" fillId="0" borderId="46" xfId="0" applyBorder="1"/>
    <xf numFmtId="0" fontId="0" fillId="0" borderId="47" xfId="0" applyBorder="1"/>
    <xf numFmtId="0" fontId="47" fillId="0" borderId="0" xfId="0" applyFont="1"/>
    <xf numFmtId="0" fontId="0" fillId="0" borderId="33" xfId="0" applyBorder="1"/>
    <xf numFmtId="0" fontId="38" fillId="0" borderId="32" xfId="0" applyFont="1" applyBorder="1"/>
    <xf numFmtId="0" fontId="10" fillId="0" borderId="33" xfId="0" applyFont="1" applyBorder="1"/>
    <xf numFmtId="0" fontId="38" fillId="0" borderId="35" xfId="0" applyFont="1" applyBorder="1"/>
    <xf numFmtId="0" fontId="10" fillId="0" borderId="36" xfId="0" applyFont="1" applyBorder="1"/>
    <xf numFmtId="164" fontId="20" fillId="0" borderId="39" xfId="0" applyNumberFormat="1" applyFont="1" applyBorder="1" applyAlignment="1">
      <alignment horizontal="right"/>
    </xf>
    <xf numFmtId="1" fontId="20" fillId="0" borderId="40" xfId="0" applyNumberFormat="1" applyFont="1" applyBorder="1" applyAlignment="1">
      <alignment horizontal="left"/>
    </xf>
    <xf numFmtId="0" fontId="36" fillId="0" borderId="48" xfId="0" applyFont="1" applyBorder="1"/>
    <xf numFmtId="0" fontId="10" fillId="0" borderId="0" xfId="0" applyFont="1" applyAlignment="1">
      <alignment horizontal="right"/>
    </xf>
    <xf numFmtId="0" fontId="38" fillId="0" borderId="0" xfId="0" applyFont="1"/>
    <xf numFmtId="0" fontId="62" fillId="0" borderId="0" xfId="1" applyFont="1" applyAlignment="1" applyProtection="1"/>
    <xf numFmtId="1" fontId="0" fillId="0" borderId="49" xfId="0" applyNumberFormat="1" applyBorder="1"/>
    <xf numFmtId="1" fontId="20" fillId="0" borderId="50" xfId="0" applyNumberFormat="1" applyFont="1" applyBorder="1"/>
    <xf numFmtId="0" fontId="10" fillId="0" borderId="0" xfId="0" applyFont="1" applyAlignment="1">
      <alignment horizontal="left"/>
    </xf>
    <xf numFmtId="1" fontId="10" fillId="0" borderId="0" xfId="0" applyNumberFormat="1" applyFont="1" applyAlignment="1">
      <alignment horizontal="left"/>
    </xf>
    <xf numFmtId="1" fontId="0" fillId="0" borderId="0" xfId="0" applyNumberFormat="1" applyAlignment="1">
      <alignment horizontal="left"/>
    </xf>
    <xf numFmtId="0" fontId="10" fillId="0" borderId="5" xfId="0" applyFont="1" applyBorder="1" applyAlignment="1">
      <alignment horizontal="center"/>
    </xf>
    <xf numFmtId="0" fontId="63" fillId="0" borderId="0" xfId="0" applyFont="1"/>
    <xf numFmtId="0" fontId="0" fillId="0" borderId="51" xfId="0" applyBorder="1"/>
    <xf numFmtId="0" fontId="7" fillId="0" borderId="52" xfId="0" applyFont="1" applyBorder="1"/>
    <xf numFmtId="0" fontId="0" fillId="0" borderId="53" xfId="0" applyBorder="1"/>
    <xf numFmtId="0" fontId="43" fillId="0" borderId="52" xfId="0" applyFont="1" applyBorder="1"/>
    <xf numFmtId="0" fontId="48" fillId="0" borderId="52" xfId="0" applyFont="1" applyBorder="1"/>
    <xf numFmtId="0" fontId="43" fillId="0" borderId="54" xfId="0" applyFont="1" applyBorder="1"/>
    <xf numFmtId="0" fontId="0" fillId="0" borderId="55" xfId="0" applyBorder="1"/>
    <xf numFmtId="0" fontId="0" fillId="0" borderId="56" xfId="0" applyBorder="1"/>
    <xf numFmtId="0" fontId="0" fillId="0" borderId="57" xfId="0" applyBorder="1"/>
    <xf numFmtId="0" fontId="65" fillId="0" borderId="58" xfId="0" applyFont="1" applyBorder="1"/>
    <xf numFmtId="0" fontId="20" fillId="0" borderId="59" xfId="0" applyFont="1" applyBorder="1"/>
    <xf numFmtId="0" fontId="20" fillId="0" borderId="60" xfId="0" applyFont="1" applyBorder="1"/>
    <xf numFmtId="0" fontId="25" fillId="0" borderId="0" xfId="0" applyFont="1" applyAlignment="1" applyProtection="1">
      <alignment horizontal="right"/>
      <protection hidden="1"/>
    </xf>
    <xf numFmtId="0" fontId="77" fillId="0" borderId="0" xfId="0" applyFont="1"/>
    <xf numFmtId="0" fontId="78" fillId="4" borderId="61" xfId="0" applyFont="1" applyFill="1" applyBorder="1"/>
    <xf numFmtId="0" fontId="32" fillId="0" borderId="22" xfId="0" applyFont="1" applyBorder="1"/>
    <xf numFmtId="0" fontId="32" fillId="0" borderId="23" xfId="0" applyFont="1" applyBorder="1"/>
    <xf numFmtId="0" fontId="32" fillId="0" borderId="7" xfId="0" applyFont="1" applyBorder="1"/>
    <xf numFmtId="0" fontId="79" fillId="0" borderId="52" xfId="0" applyFont="1" applyBorder="1"/>
    <xf numFmtId="0" fontId="79" fillId="0" borderId="62" xfId="0" applyFont="1" applyBorder="1"/>
    <xf numFmtId="0" fontId="10" fillId="0" borderId="7" xfId="0" applyFont="1" applyBorder="1" applyAlignment="1">
      <alignment horizontal="center"/>
    </xf>
    <xf numFmtId="11" fontId="0" fillId="0" borderId="0" xfId="0" applyNumberFormat="1" applyAlignment="1">
      <alignment horizontal="center"/>
    </xf>
    <xf numFmtId="11" fontId="0" fillId="0" borderId="0" xfId="0" applyNumberFormat="1"/>
    <xf numFmtId="164" fontId="0" fillId="0" borderId="49" xfId="0" applyNumberFormat="1" applyBorder="1"/>
    <xf numFmtId="164" fontId="20" fillId="0" borderId="50" xfId="0" applyNumberFormat="1" applyFont="1" applyBorder="1"/>
    <xf numFmtId="2" fontId="4" fillId="5" borderId="14" xfId="0" applyNumberFormat="1" applyFont="1" applyFill="1" applyBorder="1" applyAlignment="1" applyProtection="1">
      <alignment horizontal="right"/>
      <protection locked="0"/>
    </xf>
    <xf numFmtId="2" fontId="4" fillId="5" borderId="14" xfId="0" applyNumberFormat="1" applyFont="1" applyFill="1" applyBorder="1" applyAlignment="1" applyProtection="1">
      <alignment horizontal="center"/>
      <protection locked="0"/>
    </xf>
    <xf numFmtId="0" fontId="4" fillId="5" borderId="14" xfId="0" applyFont="1" applyFill="1" applyBorder="1" applyAlignment="1" applyProtection="1">
      <alignment horizontal="center"/>
      <protection locked="0"/>
    </xf>
    <xf numFmtId="1" fontId="10" fillId="0" borderId="0" xfId="0" applyNumberFormat="1" applyFont="1" applyProtection="1">
      <protection locked="0"/>
    </xf>
    <xf numFmtId="0" fontId="80" fillId="0" borderId="0" xfId="0" applyFont="1"/>
    <xf numFmtId="0" fontId="81" fillId="0" borderId="3" xfId="0" applyFont="1" applyBorder="1" applyAlignment="1">
      <alignment horizontal="center"/>
    </xf>
    <xf numFmtId="165" fontId="81" fillId="0" borderId="3" xfId="0" applyNumberFormat="1" applyFont="1" applyBorder="1" applyAlignment="1">
      <alignment horizontal="right"/>
    </xf>
    <xf numFmtId="167" fontId="81" fillId="0" borderId="3" xfId="0" applyNumberFormat="1" applyFont="1" applyBorder="1" applyAlignment="1">
      <alignment horizontal="right"/>
    </xf>
    <xf numFmtId="166" fontId="81" fillId="0" borderId="3" xfId="0" applyNumberFormat="1" applyFont="1" applyBorder="1" applyAlignment="1">
      <alignment horizontal="right"/>
    </xf>
    <xf numFmtId="169" fontId="81" fillId="0" borderId="3" xfId="0" applyNumberFormat="1" applyFont="1" applyBorder="1" applyAlignment="1">
      <alignment horizontal="right"/>
    </xf>
    <xf numFmtId="2" fontId="81" fillId="0" borderId="3" xfId="0" applyNumberFormat="1" applyFont="1" applyBorder="1" applyAlignment="1">
      <alignment horizontal="right"/>
    </xf>
    <xf numFmtId="168" fontId="81" fillId="0" borderId="3" xfId="0" applyNumberFormat="1" applyFont="1" applyBorder="1" applyAlignment="1">
      <alignment horizontal="right"/>
    </xf>
    <xf numFmtId="0" fontId="81" fillId="0" borderId="3" xfId="0" applyFont="1" applyBorder="1" applyAlignment="1">
      <alignment horizontal="right"/>
    </xf>
    <xf numFmtId="164" fontId="81" fillId="0" borderId="3" xfId="0" applyNumberFormat="1" applyFont="1" applyBorder="1" applyAlignment="1">
      <alignment horizontal="right"/>
    </xf>
    <xf numFmtId="11" fontId="81" fillId="0" borderId="3" xfId="0" applyNumberFormat="1" applyFont="1" applyBorder="1" applyAlignment="1">
      <alignment horizontal="right"/>
    </xf>
    <xf numFmtId="0" fontId="81" fillId="0" borderId="0" xfId="0" applyFont="1"/>
    <xf numFmtId="0" fontId="82" fillId="0" borderId="0" xfId="0" applyFont="1"/>
    <xf numFmtId="0" fontId="81" fillId="0" borderId="3" xfId="0" applyFont="1" applyBorder="1"/>
    <xf numFmtId="0" fontId="81" fillId="0" borderId="10" xfId="0" applyFont="1" applyBorder="1"/>
    <xf numFmtId="0" fontId="81" fillId="0" borderId="11" xfId="0" applyFont="1" applyBorder="1"/>
    <xf numFmtId="0" fontId="81" fillId="0" borderId="12" xfId="0" applyFont="1" applyBorder="1"/>
    <xf numFmtId="0" fontId="81" fillId="0" borderId="2" xfId="0" applyFont="1" applyBorder="1" applyAlignment="1">
      <alignment horizontal="center"/>
    </xf>
    <xf numFmtId="0" fontId="82" fillId="0" borderId="3" xfId="0" applyFont="1" applyBorder="1" applyAlignment="1">
      <alignment horizontal="center"/>
    </xf>
    <xf numFmtId="1" fontId="81" fillId="0" borderId="3" xfId="0" applyNumberFormat="1" applyFont="1" applyBorder="1"/>
    <xf numFmtId="0" fontId="81" fillId="0" borderId="3" xfId="0" quotePrefix="1" applyFont="1" applyBorder="1"/>
    <xf numFmtId="0" fontId="81" fillId="0" borderId="4" xfId="0" applyFont="1" applyBorder="1"/>
    <xf numFmtId="1" fontId="81" fillId="0" borderId="2" xfId="0" applyNumberFormat="1" applyFont="1" applyBorder="1"/>
    <xf numFmtId="165" fontId="81" fillId="0" borderId="0" xfId="0" applyNumberFormat="1" applyFont="1"/>
    <xf numFmtId="170" fontId="81" fillId="0" borderId="3" xfId="0" applyNumberFormat="1" applyFont="1" applyBorder="1" applyAlignment="1">
      <alignment horizontal="right"/>
    </xf>
    <xf numFmtId="1" fontId="81" fillId="0" borderId="3" xfId="0" applyNumberFormat="1" applyFont="1" applyBorder="1" applyAlignment="1">
      <alignment horizontal="right"/>
    </xf>
    <xf numFmtId="0" fontId="83" fillId="0" borderId="63" xfId="0" applyFont="1" applyBorder="1"/>
    <xf numFmtId="0" fontId="0" fillId="0" borderId="13" xfId="0" applyBorder="1"/>
    <xf numFmtId="0" fontId="0" fillId="0" borderId="24" xfId="0" applyBorder="1"/>
    <xf numFmtId="0" fontId="0" fillId="0" borderId="25" xfId="0" applyBorder="1"/>
    <xf numFmtId="0" fontId="84" fillId="0" borderId="0" xfId="0" applyFont="1"/>
    <xf numFmtId="0" fontId="4" fillId="0" borderId="64" xfId="0" applyFont="1" applyBorder="1" applyAlignment="1" applyProtection="1">
      <alignment horizontal="center"/>
      <protection locked="0"/>
    </xf>
    <xf numFmtId="0" fontId="10" fillId="0" borderId="4" xfId="0" applyFont="1" applyBorder="1"/>
    <xf numFmtId="0" fontId="10" fillId="0" borderId="49" xfId="0" applyFont="1" applyBorder="1"/>
    <xf numFmtId="0" fontId="0" fillId="0" borderId="49" xfId="0" applyBorder="1"/>
    <xf numFmtId="0" fontId="14" fillId="0" borderId="65" xfId="0" applyFont="1" applyBorder="1" applyAlignment="1" applyProtection="1">
      <alignment horizontal="center"/>
      <protection locked="0"/>
    </xf>
    <xf numFmtId="0" fontId="10" fillId="0" borderId="66" xfId="0" applyFont="1" applyBorder="1" applyAlignment="1">
      <alignment horizontal="center"/>
    </xf>
    <xf numFmtId="2" fontId="0" fillId="0" borderId="10" xfId="0" applyNumberFormat="1" applyBorder="1" applyAlignment="1">
      <alignment horizontal="center"/>
    </xf>
    <xf numFmtId="165" fontId="81" fillId="0" borderId="0" xfId="0" applyNumberFormat="1" applyFont="1" applyAlignment="1">
      <alignment horizontal="right"/>
    </xf>
    <xf numFmtId="2" fontId="81" fillId="0" borderId="0" xfId="0" applyNumberFormat="1" applyFont="1" applyAlignment="1">
      <alignment horizontal="right"/>
    </xf>
    <xf numFmtId="164" fontId="81" fillId="0" borderId="0" xfId="0" applyNumberFormat="1" applyFont="1" applyAlignment="1">
      <alignment horizontal="right"/>
    </xf>
    <xf numFmtId="0" fontId="0" fillId="0" borderId="67" xfId="0" applyBorder="1" applyAlignment="1">
      <alignment horizontal="right"/>
    </xf>
    <xf numFmtId="0" fontId="0" fillId="0" borderId="68" xfId="0" applyBorder="1" applyAlignment="1">
      <alignment horizontal="right"/>
    </xf>
    <xf numFmtId="0" fontId="10" fillId="0" borderId="69" xfId="0" applyFont="1" applyBorder="1" applyAlignment="1">
      <alignment horizontal="center"/>
    </xf>
    <xf numFmtId="0" fontId="0" fillId="0" borderId="70" xfId="0" applyBorder="1" applyAlignment="1">
      <alignment horizontal="right"/>
    </xf>
    <xf numFmtId="0" fontId="10" fillId="0" borderId="71" xfId="0" applyFont="1" applyBorder="1" applyAlignment="1">
      <alignment horizontal="center"/>
    </xf>
    <xf numFmtId="0" fontId="0" fillId="0" borderId="72" xfId="0" applyBorder="1" applyAlignment="1">
      <alignment horizontal="right"/>
    </xf>
    <xf numFmtId="0" fontId="0" fillId="0" borderId="73" xfId="0" applyBorder="1" applyAlignment="1">
      <alignment horizontal="right"/>
    </xf>
    <xf numFmtId="0" fontId="0" fillId="0" borderId="74" xfId="0" applyBorder="1" applyAlignment="1">
      <alignment horizontal="center"/>
    </xf>
    <xf numFmtId="0" fontId="0" fillId="0" borderId="75" xfId="0" applyBorder="1" applyAlignment="1">
      <alignment horizontal="center"/>
    </xf>
    <xf numFmtId="165" fontId="10" fillId="0" borderId="7" xfId="0" applyNumberFormat="1" applyFont="1" applyBorder="1" applyAlignment="1">
      <alignment horizontal="center"/>
    </xf>
    <xf numFmtId="165" fontId="0" fillId="0" borderId="71" xfId="0" applyNumberFormat="1" applyBorder="1" applyAlignment="1">
      <alignment horizontal="center"/>
    </xf>
    <xf numFmtId="165" fontId="0" fillId="0" borderId="10" xfId="0" applyNumberFormat="1" applyBorder="1" applyAlignment="1">
      <alignment horizontal="center"/>
    </xf>
    <xf numFmtId="165" fontId="0" fillId="0" borderId="3" xfId="0" applyNumberFormat="1" applyBorder="1" applyAlignment="1">
      <alignment horizontal="center"/>
    </xf>
    <xf numFmtId="2" fontId="0" fillId="0" borderId="71" xfId="0" applyNumberFormat="1" applyBorder="1" applyAlignment="1">
      <alignment horizontal="center"/>
    </xf>
    <xf numFmtId="164" fontId="22" fillId="0" borderId="0" xfId="0" applyNumberFormat="1" applyFont="1"/>
    <xf numFmtId="0" fontId="22" fillId="0" borderId="0" xfId="0" applyFont="1" applyAlignment="1">
      <alignment horizontal="center"/>
    </xf>
    <xf numFmtId="2" fontId="22" fillId="0" borderId="0" xfId="0" applyNumberFormat="1" applyFont="1"/>
    <xf numFmtId="165" fontId="22" fillId="0" borderId="0" xfId="0" applyNumberFormat="1" applyFont="1"/>
    <xf numFmtId="165" fontId="4" fillId="0" borderId="0" xfId="0" applyNumberFormat="1" applyFont="1" applyProtection="1">
      <protection locked="0"/>
    </xf>
    <xf numFmtId="0" fontId="0" fillId="0" borderId="76" xfId="0" applyBorder="1"/>
    <xf numFmtId="0" fontId="0" fillId="0" borderId="77" xfId="0" applyBorder="1" applyAlignment="1">
      <alignment horizontal="center"/>
    </xf>
    <xf numFmtId="0" fontId="0" fillId="0" borderId="78" xfId="0" applyBorder="1"/>
    <xf numFmtId="165" fontId="0" fillId="0" borderId="79" xfId="0" applyNumberFormat="1" applyBorder="1"/>
    <xf numFmtId="165" fontId="0" fillId="0" borderId="76" xfId="0" applyNumberFormat="1" applyBorder="1"/>
    <xf numFmtId="165" fontId="0" fillId="0" borderId="78" xfId="0" applyNumberFormat="1" applyBorder="1"/>
    <xf numFmtId="0" fontId="4" fillId="0" borderId="0" xfId="0" applyFont="1" applyProtection="1">
      <protection locked="0"/>
    </xf>
    <xf numFmtId="166" fontId="4" fillId="0" borderId="0" xfId="0" applyNumberFormat="1" applyFont="1" applyProtection="1">
      <protection locked="0"/>
    </xf>
    <xf numFmtId="1" fontId="4" fillId="0" borderId="0" xfId="0" applyNumberFormat="1" applyFont="1" applyProtection="1">
      <protection locked="0"/>
    </xf>
    <xf numFmtId="166" fontId="0" fillId="0" borderId="79" xfId="0" applyNumberFormat="1" applyBorder="1"/>
    <xf numFmtId="166" fontId="0" fillId="0" borderId="2" xfId="0" applyNumberFormat="1" applyBorder="1"/>
    <xf numFmtId="166" fontId="0" fillId="0" borderId="3" xfId="0" applyNumberFormat="1" applyBorder="1"/>
    <xf numFmtId="2" fontId="85" fillId="0" borderId="0" xfId="0" applyNumberFormat="1" applyFont="1" applyAlignment="1">
      <alignment horizontal="left"/>
    </xf>
    <xf numFmtId="0" fontId="32" fillId="0" borderId="0" xfId="0" applyFont="1"/>
    <xf numFmtId="0" fontId="32" fillId="0" borderId="13" xfId="0" applyFont="1" applyBorder="1"/>
    <xf numFmtId="0" fontId="0" fillId="0" borderId="22" xfId="0" applyBorder="1" applyAlignment="1">
      <alignment horizontal="left"/>
    </xf>
    <xf numFmtId="0" fontId="10" fillId="0" borderId="13" xfId="0" applyFont="1" applyBorder="1"/>
    <xf numFmtId="0" fontId="10" fillId="0" borderId="9" xfId="0" quotePrefix="1" applyFont="1" applyBorder="1"/>
    <xf numFmtId="0" fontId="20" fillId="0" borderId="0" xfId="0" applyFont="1" applyAlignment="1">
      <alignment horizontal="right"/>
    </xf>
    <xf numFmtId="165" fontId="20" fillId="0" borderId="0" xfId="0" applyNumberFormat="1" applyFont="1"/>
    <xf numFmtId="166" fontId="86" fillId="0" borderId="0" xfId="0" applyNumberFormat="1" applyFont="1"/>
    <xf numFmtId="166" fontId="86" fillId="0" borderId="0" xfId="0" applyNumberFormat="1" applyFont="1" applyProtection="1">
      <protection hidden="1"/>
    </xf>
    <xf numFmtId="166" fontId="87" fillId="0" borderId="0" xfId="0" applyNumberFormat="1" applyFont="1" applyProtection="1">
      <protection hidden="1"/>
    </xf>
    <xf numFmtId="0" fontId="0" fillId="0" borderId="23" xfId="0" applyBorder="1" applyAlignment="1">
      <alignment horizontal="left"/>
    </xf>
    <xf numFmtId="0" fontId="10" fillId="0" borderId="25" xfId="0" quotePrefix="1" applyFont="1" applyBorder="1"/>
    <xf numFmtId="164" fontId="4" fillId="0" borderId="15" xfId="0" applyNumberFormat="1" applyFont="1" applyBorder="1" applyProtection="1">
      <protection locked="0"/>
    </xf>
    <xf numFmtId="0" fontId="88" fillId="0" borderId="32" xfId="0" applyFont="1" applyBorder="1"/>
    <xf numFmtId="166" fontId="88" fillId="0" borderId="33" xfId="0" applyNumberFormat="1" applyFont="1" applyBorder="1"/>
    <xf numFmtId="0" fontId="89" fillId="0" borderId="33" xfId="0" applyFont="1" applyBorder="1"/>
    <xf numFmtId="0" fontId="88" fillId="0" borderId="34" xfId="0" applyFont="1" applyBorder="1"/>
    <xf numFmtId="0" fontId="88" fillId="0" borderId="0" xfId="0" applyFont="1"/>
    <xf numFmtId="0" fontId="88" fillId="0" borderId="80" xfId="0" applyFont="1" applyBorder="1"/>
    <xf numFmtId="166" fontId="88" fillId="0" borderId="0" xfId="0" applyNumberFormat="1" applyFont="1"/>
    <xf numFmtId="0" fontId="89" fillId="0" borderId="0" xfId="0" applyFont="1"/>
    <xf numFmtId="0" fontId="88" fillId="0" borderId="81" xfId="0" applyFont="1" applyBorder="1"/>
    <xf numFmtId="0" fontId="88" fillId="0" borderId="80" xfId="0" applyFont="1" applyBorder="1" applyAlignment="1">
      <alignment horizontal="right"/>
    </xf>
    <xf numFmtId="0" fontId="88" fillId="0" borderId="0" xfId="0" applyFont="1" applyAlignment="1">
      <alignment horizontal="right"/>
    </xf>
    <xf numFmtId="0" fontId="88" fillId="0" borderId="81" xfId="0" quotePrefix="1" applyFont="1" applyBorder="1" applyAlignment="1">
      <alignment horizontal="right"/>
    </xf>
    <xf numFmtId="2" fontId="88" fillId="0" borderId="0" xfId="0" applyNumberFormat="1" applyFont="1"/>
    <xf numFmtId="2" fontId="88" fillId="0" borderId="81" xfId="0" applyNumberFormat="1" applyFont="1" applyBorder="1"/>
    <xf numFmtId="0" fontId="88" fillId="0" borderId="35" xfId="0" applyFont="1" applyBorder="1"/>
    <xf numFmtId="2" fontId="88" fillId="0" borderId="36" xfId="0" applyNumberFormat="1" applyFont="1" applyBorder="1"/>
    <xf numFmtId="0" fontId="88" fillId="0" borderId="36" xfId="0" applyFont="1" applyBorder="1"/>
    <xf numFmtId="0" fontId="88" fillId="0" borderId="37" xfId="0" applyFont="1" applyBorder="1"/>
    <xf numFmtId="0" fontId="10" fillId="0" borderId="24" xfId="0" quotePrefix="1" applyFont="1" applyBorder="1"/>
    <xf numFmtId="0" fontId="72" fillId="0" borderId="82" xfId="0" applyFont="1" applyBorder="1" applyAlignment="1">
      <alignment horizontal="left"/>
    </xf>
    <xf numFmtId="0" fontId="0" fillId="0" borderId="83" xfId="0" applyBorder="1"/>
    <xf numFmtId="0" fontId="0" fillId="0" borderId="84" xfId="0" applyBorder="1"/>
    <xf numFmtId="0" fontId="36" fillId="0" borderId="85" xfId="0" applyFont="1" applyBorder="1" applyAlignment="1">
      <alignment horizontal="left"/>
    </xf>
    <xf numFmtId="0" fontId="0" fillId="0" borderId="86" xfId="0" applyBorder="1"/>
    <xf numFmtId="0" fontId="84" fillId="0" borderId="85" xfId="0" applyFont="1" applyBorder="1"/>
    <xf numFmtId="0" fontId="84" fillId="0" borderId="86" xfId="0" applyFont="1" applyBorder="1"/>
    <xf numFmtId="0" fontId="84" fillId="0" borderId="87" xfId="0" applyFont="1" applyBorder="1"/>
    <xf numFmtId="0" fontId="84" fillId="0" borderId="88" xfId="0" applyFont="1" applyBorder="1"/>
    <xf numFmtId="0" fontId="84" fillId="0" borderId="89" xfId="0" applyFont="1" applyBorder="1"/>
    <xf numFmtId="164" fontId="4" fillId="0" borderId="0" xfId="0" applyNumberFormat="1" applyFont="1" applyProtection="1">
      <protection locked="0"/>
    </xf>
    <xf numFmtId="0" fontId="90" fillId="0" borderId="0" xfId="0" applyFont="1"/>
    <xf numFmtId="0" fontId="91" fillId="0" borderId="90" xfId="0" applyFont="1" applyBorder="1"/>
    <xf numFmtId="0" fontId="90" fillId="0" borderId="91" xfId="0" applyFont="1" applyBorder="1"/>
    <xf numFmtId="2" fontId="20" fillId="0" borderId="0" xfId="0" applyNumberFormat="1" applyFont="1"/>
    <xf numFmtId="0" fontId="0" fillId="0" borderId="12" xfId="0" quotePrefix="1" applyBorder="1" applyAlignment="1">
      <alignment horizontal="left" wrapText="1"/>
    </xf>
    <xf numFmtId="0" fontId="0" fillId="0" borderId="22" xfId="0" applyBorder="1" applyAlignment="1">
      <alignment horizontal="center"/>
    </xf>
    <xf numFmtId="0" fontId="0" fillId="0" borderId="92" xfId="0" applyBorder="1" applyAlignment="1">
      <alignment horizontal="center"/>
    </xf>
    <xf numFmtId="0" fontId="55" fillId="0" borderId="93" xfId="0" applyFont="1" applyBorder="1" applyAlignment="1">
      <alignment horizontal="right"/>
    </xf>
    <xf numFmtId="0" fontId="55" fillId="0" borderId="67" xfId="0" applyFont="1" applyBorder="1" applyAlignment="1">
      <alignment horizontal="right"/>
    </xf>
    <xf numFmtId="0" fontId="31" fillId="0" borderId="0" xfId="0" applyFont="1" applyProtection="1">
      <protection locked="0" hidden="1"/>
    </xf>
    <xf numFmtId="0" fontId="57" fillId="0" borderId="72" xfId="0" applyFont="1" applyBorder="1" applyAlignment="1">
      <alignment horizontal="center"/>
    </xf>
    <xf numFmtId="0" fontId="55" fillId="0" borderId="3" xfId="0" applyFont="1" applyBorder="1" applyAlignment="1">
      <alignment horizontal="right"/>
    </xf>
    <xf numFmtId="0" fontId="55" fillId="0" borderId="3" xfId="0" applyFont="1" applyBorder="1" applyAlignment="1">
      <alignment horizontal="center"/>
    </xf>
    <xf numFmtId="0" fontId="55" fillId="0" borderId="71" xfId="0" applyFont="1" applyBorder="1" applyAlignment="1">
      <alignment horizontal="left"/>
    </xf>
    <xf numFmtId="0" fontId="57" fillId="0" borderId="73" xfId="0" applyFont="1" applyBorder="1" applyAlignment="1">
      <alignment horizontal="center"/>
    </xf>
    <xf numFmtId="0" fontId="55" fillId="0" borderId="6" xfId="0" applyFont="1" applyBorder="1" applyAlignment="1">
      <alignment horizontal="right"/>
    </xf>
    <xf numFmtId="0" fontId="55" fillId="0" borderId="6" xfId="0" applyFont="1" applyBorder="1" applyAlignment="1">
      <alignment horizontal="center"/>
    </xf>
    <xf numFmtId="0" fontId="55" fillId="0" borderId="75" xfId="0" applyFont="1" applyBorder="1" applyAlignment="1">
      <alignment horizontal="left"/>
    </xf>
    <xf numFmtId="0" fontId="74" fillId="4" borderId="94" xfId="0" applyFont="1" applyFill="1" applyBorder="1"/>
    <xf numFmtId="0" fontId="58" fillId="0" borderId="0" xfId="1" applyFill="1" applyBorder="1" applyAlignment="1" applyProtection="1"/>
    <xf numFmtId="0" fontId="22" fillId="0" borderId="3" xfId="0" applyFont="1" applyBorder="1"/>
    <xf numFmtId="0" fontId="120" fillId="0" borderId="3" xfId="0" applyFont="1" applyBorder="1" applyAlignment="1">
      <alignment horizontal="center"/>
    </xf>
    <xf numFmtId="11" fontId="81" fillId="0" borderId="3" xfId="0" applyNumberFormat="1" applyFont="1" applyBorder="1"/>
    <xf numFmtId="0" fontId="121" fillId="0" borderId="0" xfId="0" applyFont="1"/>
    <xf numFmtId="0" fontId="121" fillId="0" borderId="0" xfId="0" applyFont="1" applyAlignment="1">
      <alignment horizontal="right"/>
    </xf>
    <xf numFmtId="165" fontId="121" fillId="0" borderId="0" xfId="0" applyNumberFormat="1" applyFont="1"/>
    <xf numFmtId="15" fontId="32" fillId="0" borderId="8" xfId="0" quotePrefix="1" applyNumberFormat="1" applyFont="1" applyBorder="1" applyAlignment="1">
      <alignment horizontal="left"/>
    </xf>
    <xf numFmtId="0" fontId="0" fillId="0" borderId="23" xfId="0" applyBorder="1" applyAlignment="1">
      <alignment horizontal="right"/>
    </xf>
    <xf numFmtId="0" fontId="0" fillId="0" borderId="7" xfId="0" applyBorder="1" applyAlignment="1">
      <alignment horizontal="right"/>
    </xf>
    <xf numFmtId="0" fontId="17" fillId="0" borderId="95" xfId="0" applyFont="1" applyBorder="1" applyProtection="1">
      <protection locked="0"/>
    </xf>
    <xf numFmtId="1" fontId="10" fillId="0" borderId="8" xfId="0" applyNumberFormat="1" applyFont="1" applyBorder="1"/>
    <xf numFmtId="0" fontId="0" fillId="0" borderId="8" xfId="0" applyBorder="1" applyAlignment="1">
      <alignment horizontal="right"/>
    </xf>
    <xf numFmtId="16" fontId="0" fillId="0" borderId="13" xfId="0" quotePrefix="1" applyNumberFormat="1" applyBorder="1"/>
    <xf numFmtId="0" fontId="0" fillId="0" borderId="10" xfId="0" applyBorder="1" applyAlignment="1">
      <alignment horizontal="left" vertical="top"/>
    </xf>
    <xf numFmtId="17" fontId="0" fillId="0" borderId="11" xfId="0" quotePrefix="1" applyNumberFormat="1" applyBorder="1" applyAlignment="1">
      <alignment horizontal="left" vertical="top"/>
    </xf>
    <xf numFmtId="0" fontId="0" fillId="0" borderId="11" xfId="0" applyBorder="1" applyAlignment="1">
      <alignment horizontal="center" vertical="top"/>
    </xf>
    <xf numFmtId="0" fontId="0" fillId="9" borderId="0" xfId="0" applyFill="1"/>
    <xf numFmtId="0" fontId="93" fillId="9" borderId="0" xfId="0" applyFont="1" applyFill="1"/>
    <xf numFmtId="0" fontId="10" fillId="9" borderId="0" xfId="0" applyFont="1" applyFill="1"/>
    <xf numFmtId="0" fontId="0" fillId="9" borderId="3" xfId="0" applyFill="1" applyBorder="1"/>
    <xf numFmtId="0" fontId="10" fillId="9" borderId="3" xfId="0" applyFont="1" applyFill="1" applyBorder="1"/>
    <xf numFmtId="0" fontId="0" fillId="9" borderId="0" xfId="0" applyFill="1" applyAlignment="1">
      <alignment horizontal="center"/>
    </xf>
    <xf numFmtId="0" fontId="0" fillId="9" borderId="12" xfId="0" applyFill="1" applyBorder="1"/>
    <xf numFmtId="0" fontId="0" fillId="9" borderId="58" xfId="0" applyFill="1" applyBorder="1"/>
    <xf numFmtId="0" fontId="0" fillId="9" borderId="59" xfId="0" applyFill="1" applyBorder="1"/>
    <xf numFmtId="0" fontId="0" fillId="9" borderId="60" xfId="0" applyFill="1" applyBorder="1"/>
    <xf numFmtId="0" fontId="10" fillId="9" borderId="96" xfId="0" applyFont="1" applyFill="1" applyBorder="1"/>
    <xf numFmtId="0" fontId="0" fillId="9" borderId="97" xfId="0" applyFill="1" applyBorder="1"/>
    <xf numFmtId="0" fontId="0" fillId="9" borderId="98" xfId="0" applyFill="1" applyBorder="1"/>
    <xf numFmtId="0" fontId="0" fillId="9" borderId="52" xfId="0" applyFill="1" applyBorder="1"/>
    <xf numFmtId="0" fontId="0" fillId="9" borderId="53" xfId="0" applyFill="1" applyBorder="1"/>
    <xf numFmtId="0" fontId="0" fillId="9" borderId="62" xfId="0" applyFill="1" applyBorder="1"/>
    <xf numFmtId="0" fontId="0" fillId="9" borderId="56" xfId="0" applyFill="1" applyBorder="1"/>
    <xf numFmtId="0" fontId="0" fillId="9" borderId="57" xfId="0" applyFill="1" applyBorder="1"/>
    <xf numFmtId="0" fontId="10" fillId="9" borderId="12" xfId="0" applyFont="1" applyFill="1" applyBorder="1"/>
    <xf numFmtId="0" fontId="10" fillId="9" borderId="52" xfId="0" applyFont="1" applyFill="1" applyBorder="1"/>
    <xf numFmtId="0" fontId="10" fillId="9" borderId="58" xfId="0" applyFont="1" applyFill="1" applyBorder="1"/>
    <xf numFmtId="0" fontId="53" fillId="0" borderId="0" xfId="0" applyFont="1"/>
    <xf numFmtId="1" fontId="0" fillId="9" borderId="3" xfId="0" applyNumberFormat="1" applyFill="1" applyBorder="1"/>
    <xf numFmtId="0" fontId="0" fillId="10" borderId="0" xfId="0" applyFill="1"/>
    <xf numFmtId="0" fontId="0" fillId="11" borderId="97" xfId="0" applyFill="1" applyBorder="1"/>
    <xf numFmtId="0" fontId="0" fillId="11" borderId="98" xfId="0" applyFill="1" applyBorder="1"/>
    <xf numFmtId="0" fontId="0" fillId="11" borderId="52" xfId="0" applyFill="1" applyBorder="1"/>
    <xf numFmtId="0" fontId="0" fillId="11" borderId="0" xfId="0" applyFill="1"/>
    <xf numFmtId="0" fontId="0" fillId="11" borderId="53" xfId="0" applyFill="1" applyBorder="1"/>
    <xf numFmtId="0" fontId="0" fillId="11" borderId="62" xfId="0" applyFill="1" applyBorder="1"/>
    <xf numFmtId="0" fontId="0" fillId="11" borderId="56" xfId="0" applyFill="1" applyBorder="1"/>
    <xf numFmtId="0" fontId="0" fillId="11" borderId="57" xfId="0" applyFill="1" applyBorder="1"/>
    <xf numFmtId="0" fontId="20" fillId="11" borderId="96" xfId="0" applyFont="1" applyFill="1" applyBorder="1"/>
    <xf numFmtId="0" fontId="10" fillId="11" borderId="52" xfId="0" applyFont="1" applyFill="1" applyBorder="1"/>
    <xf numFmtId="0" fontId="0" fillId="0" borderId="99" xfId="0" applyBorder="1"/>
    <xf numFmtId="0" fontId="0" fillId="0" borderId="100" xfId="0" applyBorder="1"/>
    <xf numFmtId="0" fontId="0" fillId="0" borderId="101" xfId="0" applyBorder="1"/>
    <xf numFmtId="0" fontId="0" fillId="0" borderId="96" xfId="0" applyBorder="1"/>
    <xf numFmtId="0" fontId="0" fillId="0" borderId="62" xfId="0" applyBorder="1"/>
    <xf numFmtId="2" fontId="0" fillId="0" borderId="98" xfId="0" applyNumberFormat="1" applyBorder="1"/>
    <xf numFmtId="2" fontId="0" fillId="0" borderId="57" xfId="0" applyNumberFormat="1" applyBorder="1"/>
    <xf numFmtId="0" fontId="10" fillId="0" borderId="96" xfId="0" applyFont="1" applyBorder="1"/>
    <xf numFmtId="0" fontId="0" fillId="0" borderId="97" xfId="0" applyBorder="1"/>
    <xf numFmtId="0" fontId="10" fillId="0" borderId="62" xfId="0" applyFont="1" applyBorder="1"/>
    <xf numFmtId="2" fontId="0" fillId="0" borderId="99" xfId="0" applyNumberFormat="1" applyBorder="1"/>
    <xf numFmtId="2" fontId="0" fillId="0" borderId="101" xfId="0" applyNumberFormat="1" applyBorder="1"/>
    <xf numFmtId="0" fontId="10" fillId="0" borderId="50" xfId="0" applyFont="1" applyBorder="1"/>
    <xf numFmtId="0" fontId="0" fillId="0" borderId="58" xfId="0" applyBorder="1"/>
    <xf numFmtId="1" fontId="0" fillId="0" borderId="50" xfId="0" applyNumberFormat="1" applyBorder="1"/>
    <xf numFmtId="0" fontId="49" fillId="0" borderId="10" xfId="0" applyFont="1" applyBorder="1" applyAlignment="1">
      <alignment horizontal="center"/>
    </xf>
    <xf numFmtId="0" fontId="43" fillId="0" borderId="3" xfId="0" applyFont="1" applyBorder="1" applyAlignment="1">
      <alignment horizontal="center"/>
    </xf>
    <xf numFmtId="0" fontId="4" fillId="0" borderId="22" xfId="0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4" fillId="0" borderId="23" xfId="0" applyFont="1" applyBorder="1" applyAlignment="1">
      <alignment horizontal="center"/>
    </xf>
    <xf numFmtId="0" fontId="4" fillId="0" borderId="49" xfId="0" applyFont="1" applyBorder="1" applyAlignment="1">
      <alignment horizontal="center"/>
    </xf>
    <xf numFmtId="0" fontId="4" fillId="0" borderId="23" xfId="0" applyFont="1" applyBorder="1"/>
    <xf numFmtId="0" fontId="4" fillId="0" borderId="49" xfId="0" applyFont="1" applyBorder="1"/>
    <xf numFmtId="0" fontId="20" fillId="0" borderId="58" xfId="0" applyFont="1" applyBorder="1" applyAlignment="1">
      <alignment horizontal="centerContinuous"/>
    </xf>
    <xf numFmtId="0" fontId="20" fillId="0" borderId="59" xfId="0" applyFont="1" applyBorder="1" applyAlignment="1">
      <alignment horizontal="centerContinuous"/>
    </xf>
    <xf numFmtId="0" fontId="20" fillId="0" borderId="60" xfId="0" applyFont="1" applyBorder="1" applyAlignment="1">
      <alignment horizontal="centerContinuous"/>
    </xf>
    <xf numFmtId="0" fontId="0" fillId="0" borderId="52" xfId="0" applyBorder="1"/>
    <xf numFmtId="0" fontId="0" fillId="0" borderId="49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102" xfId="0" applyBorder="1" applyAlignment="1">
      <alignment horizontal="center"/>
    </xf>
    <xf numFmtId="0" fontId="21" fillId="0" borderId="49" xfId="0" applyFont="1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03" xfId="0" applyBorder="1" applyAlignment="1">
      <alignment horizontal="center"/>
    </xf>
    <xf numFmtId="0" fontId="0" fillId="0" borderId="104" xfId="0" applyBorder="1" applyAlignment="1">
      <alignment horizontal="center"/>
    </xf>
    <xf numFmtId="0" fontId="0" fillId="0" borderId="105" xfId="0" applyBorder="1" applyAlignment="1">
      <alignment horizontal="center"/>
    </xf>
    <xf numFmtId="0" fontId="0" fillId="0" borderId="2" xfId="0" applyBorder="1"/>
    <xf numFmtId="0" fontId="5" fillId="0" borderId="106" xfId="0" applyFont="1" applyBorder="1" applyAlignment="1">
      <alignment horizontal="center"/>
    </xf>
    <xf numFmtId="0" fontId="5" fillId="0" borderId="107" xfId="0" applyFont="1" applyBorder="1" applyAlignment="1">
      <alignment horizontal="center"/>
    </xf>
    <xf numFmtId="0" fontId="5" fillId="0" borderId="108" xfId="0" applyFont="1" applyBorder="1" applyAlignment="1">
      <alignment horizontal="center"/>
    </xf>
    <xf numFmtId="0" fontId="5" fillId="0" borderId="109" xfId="0" applyFont="1" applyBorder="1" applyAlignment="1">
      <alignment horizontal="center"/>
    </xf>
    <xf numFmtId="0" fontId="5" fillId="0" borderId="110" xfId="0" applyFont="1" applyBorder="1" applyAlignment="1">
      <alignment horizontal="center"/>
    </xf>
    <xf numFmtId="0" fontId="5" fillId="0" borderId="111" xfId="0" applyFont="1" applyBorder="1" applyAlignment="1">
      <alignment horizontal="center"/>
    </xf>
    <xf numFmtId="0" fontId="5" fillId="0" borderId="112" xfId="0" applyFont="1" applyBorder="1" applyAlignment="1">
      <alignment horizontal="center"/>
    </xf>
    <xf numFmtId="0" fontId="12" fillId="0" borderId="113" xfId="0" applyFont="1" applyBorder="1"/>
    <xf numFmtId="0" fontId="12" fillId="0" borderId="10" xfId="0" applyFont="1" applyBorder="1" applyAlignment="1">
      <alignment horizontal="center"/>
    </xf>
    <xf numFmtId="0" fontId="12" fillId="0" borderId="3" xfId="0" applyFont="1" applyBorder="1" applyAlignment="1">
      <alignment horizontal="center"/>
    </xf>
    <xf numFmtId="0" fontId="43" fillId="0" borderId="113" xfId="0" applyFont="1" applyBorder="1"/>
    <xf numFmtId="0" fontId="4" fillId="0" borderId="114" xfId="0" applyFont="1" applyBorder="1"/>
    <xf numFmtId="0" fontId="4" fillId="0" borderId="52" xfId="0" applyFont="1" applyBorder="1"/>
    <xf numFmtId="0" fontId="4" fillId="0" borderId="62" xfId="0" applyFont="1" applyBorder="1"/>
    <xf numFmtId="0" fontId="4" fillId="0" borderId="66" xfId="0" applyFont="1" applyBorder="1"/>
    <xf numFmtId="0" fontId="4" fillId="0" borderId="5" xfId="0" applyFont="1" applyBorder="1"/>
    <xf numFmtId="0" fontId="70" fillId="0" borderId="114" xfId="0" applyFont="1" applyBorder="1"/>
    <xf numFmtId="0" fontId="70" fillId="0" borderId="22" xfId="0" applyFont="1" applyBorder="1" applyAlignment="1">
      <alignment horizontal="center"/>
    </xf>
    <xf numFmtId="0" fontId="70" fillId="0" borderId="4" xfId="0" applyFont="1" applyBorder="1" applyAlignment="1">
      <alignment horizontal="center"/>
    </xf>
    <xf numFmtId="0" fontId="70" fillId="0" borderId="52" xfId="0" applyFont="1" applyBorder="1"/>
    <xf numFmtId="0" fontId="70" fillId="0" borderId="23" xfId="0" applyFont="1" applyBorder="1"/>
    <xf numFmtId="0" fontId="70" fillId="0" borderId="49" xfId="0" applyFont="1" applyBorder="1" applyAlignment="1">
      <alignment horizontal="center"/>
    </xf>
    <xf numFmtId="0" fontId="70" fillId="0" borderId="62" xfId="0" applyFont="1" applyBorder="1"/>
    <xf numFmtId="0" fontId="70" fillId="0" borderId="66" xfId="0" applyFont="1" applyBorder="1"/>
    <xf numFmtId="0" fontId="70" fillId="0" borderId="5" xfId="0" applyFont="1" applyBorder="1" applyAlignment="1">
      <alignment horizontal="center"/>
    </xf>
    <xf numFmtId="0" fontId="97" fillId="0" borderId="66" xfId="0" applyFont="1" applyBorder="1" applyAlignment="1">
      <alignment horizontal="center"/>
    </xf>
    <xf numFmtId="0" fontId="5" fillId="0" borderId="0" xfId="0" applyFont="1" applyAlignment="1">
      <alignment horizontal="right"/>
    </xf>
    <xf numFmtId="0" fontId="63" fillId="6" borderId="22" xfId="0" applyFont="1" applyFill="1" applyBorder="1"/>
    <xf numFmtId="0" fontId="43" fillId="6" borderId="13" xfId="0" applyFont="1" applyFill="1" applyBorder="1"/>
    <xf numFmtId="0" fontId="43" fillId="6" borderId="24" xfId="0" applyFont="1" applyFill="1" applyBorder="1"/>
    <xf numFmtId="0" fontId="63" fillId="6" borderId="23" xfId="0" applyFont="1" applyFill="1" applyBorder="1"/>
    <xf numFmtId="0" fontId="43" fillId="6" borderId="0" xfId="0" applyFont="1" applyFill="1"/>
    <xf numFmtId="0" fontId="43" fillId="6" borderId="25" xfId="0" applyFont="1" applyFill="1" applyBorder="1"/>
    <xf numFmtId="0" fontId="99" fillId="6" borderId="23" xfId="0" applyFont="1" applyFill="1" applyBorder="1"/>
    <xf numFmtId="0" fontId="100" fillId="6" borderId="7" xfId="0" applyFont="1" applyFill="1" applyBorder="1"/>
    <xf numFmtId="0" fontId="43" fillId="6" borderId="8" xfId="0" applyFont="1" applyFill="1" applyBorder="1"/>
    <xf numFmtId="0" fontId="43" fillId="6" borderId="9" xfId="0" applyFont="1" applyFill="1" applyBorder="1"/>
    <xf numFmtId="0" fontId="21" fillId="0" borderId="96" xfId="0" applyFont="1" applyBorder="1"/>
    <xf numFmtId="0" fontId="0" fillId="0" borderId="98" xfId="0" applyBorder="1"/>
    <xf numFmtId="0" fontId="4" fillId="0" borderId="52" xfId="0" applyFont="1" applyBorder="1" applyProtection="1">
      <protection locked="0"/>
    </xf>
    <xf numFmtId="0" fontId="102" fillId="0" borderId="0" xfId="0" applyFont="1"/>
    <xf numFmtId="0" fontId="21" fillId="0" borderId="96" xfId="0" applyFont="1" applyBorder="1" applyProtection="1">
      <protection locked="0"/>
    </xf>
    <xf numFmtId="0" fontId="21" fillId="0" borderId="53" xfId="0" applyFont="1" applyBorder="1"/>
    <xf numFmtId="0" fontId="4" fillId="0" borderId="62" xfId="0" applyFont="1" applyBorder="1" applyProtection="1">
      <protection locked="0"/>
    </xf>
    <xf numFmtId="165" fontId="0" fillId="0" borderId="56" xfId="0" applyNumberFormat="1" applyBorder="1"/>
    <xf numFmtId="0" fontId="21" fillId="0" borderId="57" xfId="0" applyFont="1" applyBorder="1"/>
    <xf numFmtId="0" fontId="12" fillId="0" borderId="115" xfId="0" applyFont="1" applyBorder="1" applyAlignment="1">
      <alignment horizontal="center"/>
    </xf>
    <xf numFmtId="0" fontId="12" fillId="0" borderId="116" xfId="0" applyFont="1" applyBorder="1" applyAlignment="1">
      <alignment horizontal="center"/>
    </xf>
    <xf numFmtId="1" fontId="12" fillId="0" borderId="116" xfId="0" applyNumberFormat="1" applyFont="1" applyBorder="1" applyAlignment="1">
      <alignment horizontal="center"/>
    </xf>
    <xf numFmtId="0" fontId="12" fillId="0" borderId="117" xfId="0" applyFont="1" applyBorder="1" applyAlignment="1">
      <alignment horizontal="center"/>
    </xf>
    <xf numFmtId="1" fontId="12" fillId="0" borderId="118" xfId="0" applyNumberFormat="1" applyFont="1" applyBorder="1" applyAlignment="1">
      <alignment horizontal="center"/>
    </xf>
    <xf numFmtId="1" fontId="12" fillId="0" borderId="119" xfId="0" applyNumberFormat="1" applyFont="1" applyBorder="1" applyAlignment="1">
      <alignment horizontal="center"/>
    </xf>
    <xf numFmtId="1" fontId="12" fillId="0" borderId="120" xfId="0" applyNumberFormat="1" applyFont="1" applyBorder="1" applyAlignment="1">
      <alignment horizontal="center"/>
    </xf>
    <xf numFmtId="1" fontId="43" fillId="0" borderId="3" xfId="0" applyNumberFormat="1" applyFont="1" applyBorder="1" applyAlignment="1">
      <alignment horizontal="center"/>
    </xf>
    <xf numFmtId="165" fontId="43" fillId="0" borderId="121" xfId="0" applyNumberFormat="1" applyFont="1" applyBorder="1" applyAlignment="1">
      <alignment horizontal="center"/>
    </xf>
    <xf numFmtId="165" fontId="43" fillId="0" borderId="122" xfId="0" applyNumberFormat="1" applyFont="1" applyBorder="1" applyAlignment="1">
      <alignment horizontal="center"/>
    </xf>
    <xf numFmtId="165" fontId="43" fillId="0" borderId="123" xfId="0" applyNumberFormat="1" applyFont="1" applyBorder="1" applyAlignment="1">
      <alignment horizontal="center"/>
    </xf>
    <xf numFmtId="165" fontId="43" fillId="0" borderId="124" xfId="0" applyNumberFormat="1" applyFont="1" applyBorder="1" applyAlignment="1">
      <alignment horizontal="center"/>
    </xf>
    <xf numFmtId="164" fontId="43" fillId="0" borderId="124" xfId="0" applyNumberFormat="1" applyFont="1" applyBorder="1" applyAlignment="1">
      <alignment horizontal="center"/>
    </xf>
    <xf numFmtId="164" fontId="43" fillId="0" borderId="125" xfId="0" applyNumberFormat="1" applyFont="1" applyBorder="1" applyAlignment="1">
      <alignment horizontal="center"/>
    </xf>
    <xf numFmtId="0" fontId="4" fillId="0" borderId="126" xfId="0" applyFont="1" applyBorder="1" applyAlignment="1">
      <alignment horizontal="center"/>
    </xf>
    <xf numFmtId="0" fontId="4" fillId="0" borderId="127" xfId="0" applyFont="1" applyBorder="1" applyAlignment="1">
      <alignment horizontal="center"/>
    </xf>
    <xf numFmtId="0" fontId="4" fillId="0" borderId="128" xfId="0" applyFont="1" applyBorder="1" applyAlignment="1">
      <alignment horizontal="center"/>
    </xf>
    <xf numFmtId="2" fontId="4" fillId="0" borderId="128" xfId="0" applyNumberFormat="1" applyFont="1" applyBorder="1" applyAlignment="1">
      <alignment horizontal="center"/>
    </xf>
    <xf numFmtId="165" fontId="4" fillId="0" borderId="128" xfId="0" applyNumberFormat="1" applyFont="1" applyBorder="1" applyAlignment="1">
      <alignment horizontal="center"/>
    </xf>
    <xf numFmtId="0" fontId="4" fillId="0" borderId="129" xfId="0" applyFont="1" applyBorder="1" applyAlignment="1">
      <alignment horizontal="center"/>
    </xf>
    <xf numFmtId="0" fontId="4" fillId="0" borderId="130" xfId="0" applyFont="1" applyBorder="1" applyAlignment="1">
      <alignment horizontal="center"/>
    </xf>
    <xf numFmtId="0" fontId="4" fillId="0" borderId="131" xfId="0" applyFont="1" applyBorder="1" applyAlignment="1">
      <alignment horizontal="center"/>
    </xf>
    <xf numFmtId="0" fontId="4" fillId="0" borderId="132" xfId="0" applyFont="1" applyBorder="1" applyAlignment="1">
      <alignment horizontal="center"/>
    </xf>
    <xf numFmtId="0" fontId="4" fillId="0" borderId="133" xfId="0" applyFont="1" applyBorder="1" applyAlignment="1">
      <alignment horizontal="center"/>
    </xf>
    <xf numFmtId="165" fontId="4" fillId="0" borderId="133" xfId="0" applyNumberFormat="1" applyFont="1" applyBorder="1" applyAlignment="1">
      <alignment horizontal="center"/>
    </xf>
    <xf numFmtId="0" fontId="4" fillId="0" borderId="134" xfId="0" applyFont="1" applyBorder="1" applyAlignment="1">
      <alignment horizontal="center"/>
    </xf>
    <xf numFmtId="0" fontId="4" fillId="0" borderId="135" xfId="0" applyFont="1" applyBorder="1" applyAlignment="1">
      <alignment horizontal="center"/>
    </xf>
    <xf numFmtId="0" fontId="4" fillId="0" borderId="136" xfId="0" applyFont="1" applyBorder="1" applyAlignment="1">
      <alignment horizontal="center"/>
    </xf>
    <xf numFmtId="0" fontId="4" fillId="0" borderId="137" xfId="0" applyFont="1" applyBorder="1" applyAlignment="1">
      <alignment horizontal="center"/>
    </xf>
    <xf numFmtId="0" fontId="4" fillId="0" borderId="138" xfId="0" applyFont="1" applyBorder="1" applyAlignment="1">
      <alignment horizontal="center"/>
    </xf>
    <xf numFmtId="165" fontId="4" fillId="0" borderId="138" xfId="0" applyNumberFormat="1" applyFont="1" applyBorder="1" applyAlignment="1">
      <alignment horizontal="center"/>
    </xf>
    <xf numFmtId="0" fontId="4" fillId="0" borderId="139" xfId="0" applyFont="1" applyBorder="1" applyAlignment="1">
      <alignment horizontal="center"/>
    </xf>
    <xf numFmtId="0" fontId="4" fillId="0" borderId="140" xfId="0" applyFont="1" applyBorder="1" applyAlignment="1">
      <alignment horizontal="center"/>
    </xf>
    <xf numFmtId="0" fontId="70" fillId="0" borderId="126" xfId="0" applyFont="1" applyBorder="1" applyAlignment="1">
      <alignment horizontal="center"/>
    </xf>
    <xf numFmtId="0" fontId="70" fillId="0" borderId="127" xfId="0" applyFont="1" applyBorder="1" applyAlignment="1">
      <alignment horizontal="center"/>
    </xf>
    <xf numFmtId="0" fontId="70" fillId="0" borderId="128" xfId="0" applyFont="1" applyBorder="1" applyAlignment="1">
      <alignment horizontal="center"/>
    </xf>
    <xf numFmtId="164" fontId="70" fillId="0" borderId="128" xfId="0" applyNumberFormat="1" applyFont="1" applyBorder="1" applyAlignment="1">
      <alignment horizontal="center"/>
    </xf>
    <xf numFmtId="2" fontId="70" fillId="0" borderId="129" xfId="0" applyNumberFormat="1" applyFont="1" applyBorder="1" applyAlignment="1">
      <alignment horizontal="center"/>
    </xf>
    <xf numFmtId="165" fontId="70" fillId="0" borderId="129" xfId="0" applyNumberFormat="1" applyFont="1" applyBorder="1" applyAlignment="1">
      <alignment horizontal="center"/>
    </xf>
    <xf numFmtId="1" fontId="70" fillId="0" borderId="129" xfId="0" applyNumberFormat="1" applyFont="1" applyBorder="1" applyAlignment="1">
      <alignment horizontal="center"/>
    </xf>
    <xf numFmtId="1" fontId="70" fillId="0" borderId="130" xfId="0" applyNumberFormat="1" applyFont="1" applyBorder="1" applyAlignment="1">
      <alignment horizontal="center"/>
    </xf>
    <xf numFmtId="0" fontId="70" fillId="0" borderId="131" xfId="0" applyFont="1" applyBorder="1" applyAlignment="1">
      <alignment horizontal="center"/>
    </xf>
    <xf numFmtId="0" fontId="70" fillId="0" borderId="132" xfId="0" applyFont="1" applyBorder="1" applyAlignment="1">
      <alignment horizontal="center"/>
    </xf>
    <xf numFmtId="0" fontId="70" fillId="0" borderId="133" xfId="0" applyFont="1" applyBorder="1" applyAlignment="1">
      <alignment horizontal="center"/>
    </xf>
    <xf numFmtId="164" fontId="70" fillId="0" borderId="133" xfId="0" applyNumberFormat="1" applyFont="1" applyBorder="1" applyAlignment="1">
      <alignment horizontal="center"/>
    </xf>
    <xf numFmtId="0" fontId="70" fillId="0" borderId="134" xfId="0" applyFont="1" applyBorder="1" applyAlignment="1">
      <alignment horizontal="center"/>
    </xf>
    <xf numFmtId="0" fontId="70" fillId="0" borderId="135" xfId="0" applyFont="1" applyBorder="1" applyAlignment="1">
      <alignment horizontal="center"/>
    </xf>
    <xf numFmtId="0" fontId="70" fillId="0" borderId="136" xfId="0" applyFont="1" applyBorder="1" applyAlignment="1">
      <alignment horizontal="center"/>
    </xf>
    <xf numFmtId="0" fontId="70" fillId="0" borderId="141" xfId="0" applyFont="1" applyBorder="1" applyAlignment="1">
      <alignment horizontal="center"/>
    </xf>
    <xf numFmtId="0" fontId="70" fillId="0" borderId="138" xfId="0" applyFont="1" applyBorder="1" applyAlignment="1">
      <alignment horizontal="center"/>
    </xf>
    <xf numFmtId="164" fontId="70" fillId="0" borderId="138" xfId="0" applyNumberFormat="1" applyFont="1" applyBorder="1" applyAlignment="1">
      <alignment horizontal="center"/>
    </xf>
    <xf numFmtId="0" fontId="70" fillId="0" borderId="137" xfId="0" applyFont="1" applyBorder="1" applyAlignment="1">
      <alignment horizontal="center"/>
    </xf>
    <xf numFmtId="0" fontId="70" fillId="0" borderId="139" xfId="0" applyFont="1" applyBorder="1" applyAlignment="1">
      <alignment horizontal="center"/>
    </xf>
    <xf numFmtId="0" fontId="70" fillId="0" borderId="140" xfId="0" applyFont="1" applyBorder="1" applyAlignment="1">
      <alignment horizontal="center"/>
    </xf>
    <xf numFmtId="1" fontId="70" fillId="0" borderId="141" xfId="0" applyNumberFormat="1" applyFont="1" applyBorder="1" applyAlignment="1">
      <alignment horizontal="center"/>
    </xf>
    <xf numFmtId="164" fontId="70" fillId="0" borderId="142" xfId="0" applyNumberFormat="1" applyFont="1" applyBorder="1" applyAlignment="1">
      <alignment horizontal="center"/>
    </xf>
    <xf numFmtId="164" fontId="70" fillId="0" borderId="137" xfId="0" applyNumberFormat="1" applyFont="1" applyBorder="1" applyAlignment="1">
      <alignment horizontal="center"/>
    </xf>
    <xf numFmtId="164" fontId="70" fillId="0" borderId="141" xfId="0" applyNumberFormat="1" applyFont="1" applyBorder="1" applyAlignment="1">
      <alignment horizontal="center"/>
    </xf>
    <xf numFmtId="2" fontId="70" fillId="0" borderId="143" xfId="0" applyNumberFormat="1" applyFont="1" applyBorder="1" applyAlignment="1">
      <alignment horizontal="center"/>
    </xf>
    <xf numFmtId="164" fontId="70" fillId="0" borderId="50" xfId="0" applyNumberFormat="1" applyFont="1" applyBorder="1" applyAlignment="1">
      <alignment horizontal="center"/>
    </xf>
    <xf numFmtId="1" fontId="70" fillId="0" borderId="50" xfId="0" applyNumberFormat="1" applyFont="1" applyBorder="1" applyAlignment="1">
      <alignment horizontal="center"/>
    </xf>
    <xf numFmtId="165" fontId="4" fillId="0" borderId="52" xfId="0" applyNumberFormat="1" applyFont="1" applyBorder="1" applyProtection="1">
      <protection locked="0"/>
    </xf>
    <xf numFmtId="0" fontId="122" fillId="0" borderId="0" xfId="0" applyFont="1"/>
    <xf numFmtId="0" fontId="123" fillId="12" borderId="58" xfId="0" applyFont="1" applyFill="1" applyBorder="1" applyAlignment="1">
      <alignment horizontal="center"/>
    </xf>
    <xf numFmtId="0" fontId="123" fillId="12" borderId="50" xfId="0" applyFont="1" applyFill="1" applyBorder="1" applyAlignment="1">
      <alignment horizontal="center"/>
    </xf>
    <xf numFmtId="0" fontId="122" fillId="7" borderId="144" xfId="0" applyFont="1" applyFill="1" applyBorder="1"/>
    <xf numFmtId="0" fontId="122" fillId="7" borderId="145" xfId="0" applyFont="1" applyFill="1" applyBorder="1"/>
    <xf numFmtId="0" fontId="122" fillId="7" borderId="146" xfId="0" applyFont="1" applyFill="1" applyBorder="1"/>
    <xf numFmtId="0" fontId="122" fillId="0" borderId="144" xfId="0" applyFont="1" applyBorder="1" applyAlignment="1">
      <alignment horizontal="center"/>
    </xf>
    <xf numFmtId="0" fontId="122" fillId="0" borderId="145" xfId="0" applyFont="1" applyBorder="1" applyAlignment="1">
      <alignment horizontal="center"/>
    </xf>
    <xf numFmtId="0" fontId="122" fillId="0" borderId="146" xfId="0" applyFont="1" applyBorder="1" applyAlignment="1">
      <alignment horizontal="center"/>
    </xf>
    <xf numFmtId="0" fontId="123" fillId="7" borderId="58" xfId="0" applyFont="1" applyFill="1" applyBorder="1" applyAlignment="1">
      <alignment horizontal="center"/>
    </xf>
    <xf numFmtId="0" fontId="122" fillId="0" borderId="0" xfId="0" applyFont="1" applyAlignment="1">
      <alignment horizontal="center"/>
    </xf>
    <xf numFmtId="0" fontId="122" fillId="0" borderId="147" xfId="0" applyFont="1" applyBorder="1" applyAlignment="1">
      <alignment horizontal="center"/>
    </xf>
    <xf numFmtId="0" fontId="122" fillId="0" borderId="148" xfId="0" applyFont="1" applyBorder="1" applyAlignment="1">
      <alignment horizontal="center"/>
    </xf>
    <xf numFmtId="1" fontId="122" fillId="0" borderId="147" xfId="0" applyNumberFormat="1" applyFont="1" applyBorder="1" applyAlignment="1">
      <alignment horizontal="center"/>
    </xf>
    <xf numFmtId="1" fontId="122" fillId="0" borderId="148" xfId="0" applyNumberFormat="1" applyFont="1" applyBorder="1" applyAlignment="1">
      <alignment horizontal="center"/>
    </xf>
    <xf numFmtId="1" fontId="122" fillId="0" borderId="149" xfId="0" applyNumberFormat="1" applyFont="1" applyBorder="1" applyAlignment="1">
      <alignment horizontal="center"/>
    </xf>
    <xf numFmtId="1" fontId="122" fillId="0" borderId="150" xfId="0" applyNumberFormat="1" applyFont="1" applyBorder="1" applyAlignment="1">
      <alignment horizontal="center"/>
    </xf>
    <xf numFmtId="1" fontId="122" fillId="0" borderId="151" xfId="0" applyNumberFormat="1" applyFont="1" applyBorder="1" applyAlignment="1">
      <alignment horizontal="center"/>
    </xf>
    <xf numFmtId="166" fontId="122" fillId="0" borderId="148" xfId="0" applyNumberFormat="1" applyFont="1" applyBorder="1" applyAlignment="1">
      <alignment horizontal="center"/>
    </xf>
    <xf numFmtId="0" fontId="122" fillId="7" borderId="150" xfId="0" applyFont="1" applyFill="1" applyBorder="1"/>
    <xf numFmtId="0" fontId="123" fillId="12" borderId="99" xfId="0" applyFont="1" applyFill="1" applyBorder="1" applyAlignment="1">
      <alignment horizontal="center"/>
    </xf>
    <xf numFmtId="0" fontId="122" fillId="0" borderId="152" xfId="0" applyFont="1" applyBorder="1" applyAlignment="1">
      <alignment horizontal="center"/>
    </xf>
    <xf numFmtId="0" fontId="122" fillId="0" borderId="153" xfId="0" applyFont="1" applyBorder="1" applyAlignment="1">
      <alignment horizontal="center"/>
    </xf>
    <xf numFmtId="0" fontId="122" fillId="0" borderId="154" xfId="0" applyFont="1" applyBorder="1" applyAlignment="1">
      <alignment horizontal="center"/>
    </xf>
    <xf numFmtId="1" fontId="122" fillId="9" borderId="59" xfId="0" applyNumberFormat="1" applyFont="1" applyFill="1" applyBorder="1" applyAlignment="1">
      <alignment horizontal="center"/>
    </xf>
    <xf numFmtId="0" fontId="122" fillId="9" borderId="59" xfId="0" applyFont="1" applyFill="1" applyBorder="1" applyAlignment="1">
      <alignment horizontal="center"/>
    </xf>
    <xf numFmtId="0" fontId="122" fillId="9" borderId="60" xfId="0" applyFont="1" applyFill="1" applyBorder="1" applyAlignment="1">
      <alignment horizontal="center"/>
    </xf>
    <xf numFmtId="0" fontId="122" fillId="0" borderId="96" xfId="0" applyFont="1" applyBorder="1" applyAlignment="1">
      <alignment horizontal="center" vertical="center"/>
    </xf>
    <xf numFmtId="0" fontId="122" fillId="13" borderId="98" xfId="0" applyFont="1" applyFill="1" applyBorder="1" applyAlignment="1">
      <alignment horizontal="center" vertical="center"/>
    </xf>
    <xf numFmtId="0" fontId="122" fillId="14" borderId="62" xfId="0" applyFont="1" applyFill="1" applyBorder="1" applyAlignment="1">
      <alignment horizontal="center" vertical="center"/>
    </xf>
    <xf numFmtId="0" fontId="122" fillId="9" borderId="57" xfId="0" applyFont="1" applyFill="1" applyBorder="1" applyAlignment="1">
      <alignment horizontal="center" vertical="center"/>
    </xf>
    <xf numFmtId="0" fontId="93" fillId="0" borderId="0" xfId="0" quotePrefix="1" applyFont="1" applyAlignment="1">
      <alignment horizontal="left"/>
    </xf>
    <xf numFmtId="0" fontId="105" fillId="0" borderId="0" xfId="0" quotePrefix="1" applyFont="1" applyAlignment="1">
      <alignment horizontal="left"/>
    </xf>
    <xf numFmtId="0" fontId="106" fillId="0" borderId="22" xfId="0" applyFont="1" applyBorder="1" applyAlignment="1">
      <alignment horizontal="centerContinuous"/>
    </xf>
    <xf numFmtId="0" fontId="106" fillId="0" borderId="24" xfId="0" applyFont="1" applyBorder="1" applyAlignment="1">
      <alignment horizontal="centerContinuous"/>
    </xf>
    <xf numFmtId="0" fontId="103" fillId="0" borderId="4" xfId="0" applyFont="1" applyBorder="1" applyAlignment="1">
      <alignment horizontal="center"/>
    </xf>
    <xf numFmtId="0" fontId="103" fillId="0" borderId="13" xfId="0" applyFont="1" applyBorder="1" applyAlignment="1">
      <alignment horizontal="center"/>
    </xf>
    <xf numFmtId="0" fontId="107" fillId="0" borderId="4" xfId="0" applyFont="1" applyBorder="1" applyAlignment="1">
      <alignment horizontal="center"/>
    </xf>
    <xf numFmtId="0" fontId="103" fillId="0" borderId="24" xfId="0" applyFont="1" applyBorder="1" applyAlignment="1">
      <alignment horizontal="center"/>
    </xf>
    <xf numFmtId="0" fontId="103" fillId="0" borderId="22" xfId="0" applyFont="1" applyBorder="1"/>
    <xf numFmtId="0" fontId="103" fillId="0" borderId="7" xfId="0" applyFont="1" applyBorder="1" applyAlignment="1">
      <alignment horizontal="centerContinuous"/>
    </xf>
    <xf numFmtId="0" fontId="103" fillId="0" borderId="9" xfId="0" applyFont="1" applyBorder="1" applyAlignment="1">
      <alignment horizontal="centerContinuous"/>
    </xf>
    <xf numFmtId="0" fontId="103" fillId="0" borderId="49" xfId="0" applyFont="1" applyBorder="1" applyAlignment="1">
      <alignment horizontal="center"/>
    </xf>
    <xf numFmtId="0" fontId="103" fillId="0" borderId="0" xfId="0" applyFont="1" applyAlignment="1">
      <alignment horizontal="center"/>
    </xf>
    <xf numFmtId="0" fontId="103" fillId="0" borderId="49" xfId="0" applyFont="1" applyBorder="1"/>
    <xf numFmtId="0" fontId="0" fillId="0" borderId="25" xfId="0" applyBorder="1" applyAlignment="1">
      <alignment horizontal="left"/>
    </xf>
    <xf numFmtId="0" fontId="0" fillId="0" borderId="24" xfId="0" applyBorder="1" applyAlignment="1">
      <alignment horizontal="center"/>
    </xf>
    <xf numFmtId="0" fontId="108" fillId="0" borderId="4" xfId="0" applyFont="1" applyBorder="1" applyAlignment="1">
      <alignment horizontal="center"/>
    </xf>
    <xf numFmtId="0" fontId="108" fillId="0" borderId="24" xfId="0" applyFont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9" xfId="0" applyBorder="1" applyAlignment="1">
      <alignment horizontal="left"/>
    </xf>
    <xf numFmtId="1" fontId="0" fillId="0" borderId="9" xfId="0" applyNumberFormat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2" fontId="0" fillId="0" borderId="2" xfId="0" applyNumberFormat="1" applyBorder="1" applyAlignment="1">
      <alignment horizontal="center"/>
    </xf>
    <xf numFmtId="0" fontId="0" fillId="0" borderId="7" xfId="0" quotePrefix="1" applyBorder="1" applyAlignment="1">
      <alignment horizontal="left"/>
    </xf>
    <xf numFmtId="0" fontId="0" fillId="0" borderId="7" xfId="0" applyBorder="1" applyAlignment="1">
      <alignment horizontal="left"/>
    </xf>
    <xf numFmtId="164" fontId="0" fillId="0" borderId="2" xfId="0" applyNumberFormat="1" applyBorder="1" applyAlignment="1">
      <alignment horizontal="center"/>
    </xf>
    <xf numFmtId="1" fontId="0" fillId="0" borderId="9" xfId="0" quotePrefix="1" applyNumberFormat="1" applyBorder="1" applyAlignment="1">
      <alignment horizontal="center"/>
    </xf>
    <xf numFmtId="2" fontId="0" fillId="0" borderId="2" xfId="0" quotePrefix="1" applyNumberFormat="1" applyBorder="1" applyAlignment="1">
      <alignment horizontal="center"/>
    </xf>
    <xf numFmtId="1" fontId="5" fillId="0" borderId="9" xfId="0" applyNumberFormat="1" applyFont="1" applyBorder="1" applyAlignment="1">
      <alignment horizontal="center"/>
    </xf>
    <xf numFmtId="164" fontId="0" fillId="0" borderId="3" xfId="0" applyNumberFormat="1" applyBorder="1" applyAlignment="1">
      <alignment horizontal="center"/>
    </xf>
    <xf numFmtId="0" fontId="0" fillId="0" borderId="10" xfId="0" applyBorder="1" applyAlignment="1">
      <alignment horizontal="left"/>
    </xf>
    <xf numFmtId="0" fontId="109" fillId="0" borderId="0" xfId="0" applyFont="1" applyAlignment="1">
      <alignment horizontal="left"/>
    </xf>
    <xf numFmtId="0" fontId="21" fillId="0" borderId="0" xfId="0" quotePrefix="1" applyFont="1" applyAlignment="1">
      <alignment horizontal="left"/>
    </xf>
    <xf numFmtId="0" fontId="0" fillId="0" borderId="0" xfId="0" quotePrefix="1" applyAlignment="1">
      <alignment horizontal="left"/>
    </xf>
    <xf numFmtId="0" fontId="111" fillId="0" borderId="22" xfId="0" applyFont="1" applyBorder="1"/>
    <xf numFmtId="0" fontId="5" fillId="0" borderId="13" xfId="0" applyFont="1" applyBorder="1"/>
    <xf numFmtId="0" fontId="111" fillId="0" borderId="13" xfId="0" applyFont="1" applyBorder="1"/>
    <xf numFmtId="0" fontId="5" fillId="0" borderId="24" xfId="0" applyFont="1" applyBorder="1"/>
    <xf numFmtId="0" fontId="5" fillId="0" borderId="23" xfId="0" applyFont="1" applyBorder="1"/>
    <xf numFmtId="0" fontId="5" fillId="0" borderId="0" xfId="0" applyFont="1" applyAlignment="1">
      <alignment horizontal="center"/>
    </xf>
    <xf numFmtId="0" fontId="5" fillId="0" borderId="25" xfId="0" applyFont="1" applyBorder="1"/>
    <xf numFmtId="0" fontId="5" fillId="0" borderId="22" xfId="0" applyFont="1" applyBorder="1" applyAlignment="1">
      <alignment horizontal="center"/>
    </xf>
    <xf numFmtId="0" fontId="5" fillId="0" borderId="13" xfId="0" quotePrefix="1" applyFont="1" applyBorder="1" applyAlignment="1">
      <alignment horizontal="center"/>
    </xf>
    <xf numFmtId="0" fontId="5" fillId="0" borderId="13" xfId="0" applyFont="1" applyBorder="1" applyAlignment="1">
      <alignment horizontal="center"/>
    </xf>
    <xf numFmtId="0" fontId="5" fillId="0" borderId="24" xfId="0" applyFont="1" applyBorder="1" applyAlignment="1">
      <alignment horizontal="center"/>
    </xf>
    <xf numFmtId="0" fontId="5" fillId="0" borderId="23" xfId="0" applyFont="1" applyBorder="1" applyAlignment="1">
      <alignment horizontal="center"/>
    </xf>
    <xf numFmtId="0" fontId="5" fillId="0" borderId="25" xfId="0" applyFont="1" applyBorder="1" applyAlignment="1">
      <alignment horizontal="center"/>
    </xf>
    <xf numFmtId="0" fontId="5" fillId="0" borderId="7" xfId="0" applyFont="1" applyBorder="1" applyAlignment="1">
      <alignment horizontal="center"/>
    </xf>
    <xf numFmtId="0" fontId="5" fillId="0" borderId="8" xfId="0" applyFont="1" applyBorder="1" applyAlignment="1">
      <alignment horizontal="center"/>
    </xf>
    <xf numFmtId="0" fontId="5" fillId="0" borderId="9" xfId="0" applyFont="1" applyBorder="1" applyAlignment="1">
      <alignment horizontal="center"/>
    </xf>
    <xf numFmtId="0" fontId="5" fillId="0" borderId="0" xfId="0" quotePrefix="1" applyFont="1" applyAlignment="1">
      <alignment horizontal="center"/>
    </xf>
    <xf numFmtId="0" fontId="5" fillId="0" borderId="7" xfId="0" applyFont="1" applyBorder="1"/>
    <xf numFmtId="0" fontId="5" fillId="0" borderId="8" xfId="0" applyFont="1" applyBorder="1"/>
    <xf numFmtId="0" fontId="5" fillId="0" borderId="10" xfId="0" applyFont="1" applyBorder="1"/>
    <xf numFmtId="0" fontId="5" fillId="0" borderId="11" xfId="0" applyFont="1" applyBorder="1"/>
    <xf numFmtId="0" fontId="5" fillId="0" borderId="12" xfId="0" applyFont="1" applyBorder="1"/>
    <xf numFmtId="0" fontId="5" fillId="0" borderId="11" xfId="0" quotePrefix="1" applyFont="1" applyBorder="1" applyAlignment="1">
      <alignment horizontal="left"/>
    </xf>
    <xf numFmtId="0" fontId="5" fillId="0" borderId="4" xfId="0" applyFont="1" applyBorder="1"/>
    <xf numFmtId="0" fontId="5" fillId="0" borderId="22" xfId="0" applyFont="1" applyBorder="1" applyAlignment="1">
      <alignment horizontal="right"/>
    </xf>
    <xf numFmtId="0" fontId="5" fillId="0" borderId="24" xfId="0" applyFont="1" applyBorder="1" applyAlignment="1">
      <alignment horizontal="right"/>
    </xf>
    <xf numFmtId="0" fontId="5" fillId="0" borderId="4" xfId="0" applyFont="1" applyBorder="1" applyAlignment="1">
      <alignment horizontal="right"/>
    </xf>
    <xf numFmtId="0" fontId="5" fillId="0" borderId="2" xfId="0" applyFont="1" applyBorder="1" applyAlignment="1">
      <alignment horizontal="center"/>
    </xf>
    <xf numFmtId="0" fontId="5" fillId="0" borderId="7" xfId="0" quotePrefix="1" applyFont="1" applyBorder="1" applyAlignment="1">
      <alignment horizontal="right"/>
    </xf>
    <xf numFmtId="0" fontId="5" fillId="0" borderId="9" xfId="0" applyFont="1" applyBorder="1" applyAlignment="1">
      <alignment horizontal="right"/>
    </xf>
    <xf numFmtId="0" fontId="5" fillId="0" borderId="7" xfId="0" applyFont="1" applyBorder="1" applyAlignment="1">
      <alignment horizontal="right"/>
    </xf>
    <xf numFmtId="0" fontId="5" fillId="0" borderId="2" xfId="0" applyFont="1" applyBorder="1" applyAlignment="1">
      <alignment horizontal="right"/>
    </xf>
    <xf numFmtId="0" fontId="5" fillId="0" borderId="49" xfId="0" applyFont="1" applyBorder="1" applyAlignment="1">
      <alignment horizontal="center"/>
    </xf>
    <xf numFmtId="164" fontId="5" fillId="0" borderId="25" xfId="0" applyNumberFormat="1" applyFont="1" applyBorder="1"/>
    <xf numFmtId="164" fontId="5" fillId="0" borderId="9" xfId="0" applyNumberFormat="1" applyFont="1" applyBorder="1"/>
    <xf numFmtId="0" fontId="5" fillId="0" borderId="22" xfId="0" applyFont="1" applyBorder="1" applyAlignment="1">
      <alignment horizontal="centerContinuous"/>
    </xf>
    <xf numFmtId="0" fontId="5" fillId="0" borderId="13" xfId="0" applyFont="1" applyBorder="1" applyAlignment="1">
      <alignment horizontal="centerContinuous"/>
    </xf>
    <xf numFmtId="0" fontId="5" fillId="0" borderId="24" xfId="0" applyFont="1" applyBorder="1" applyAlignment="1">
      <alignment horizontal="centerContinuous"/>
    </xf>
    <xf numFmtId="0" fontId="5" fillId="0" borderId="23" xfId="0" applyFont="1" applyBorder="1" applyAlignment="1">
      <alignment horizontal="centerContinuous"/>
    </xf>
    <xf numFmtId="0" fontId="5" fillId="0" borderId="0" xfId="0" applyFont="1" applyAlignment="1">
      <alignment horizontal="centerContinuous"/>
    </xf>
    <xf numFmtId="0" fontId="5" fillId="0" borderId="25" xfId="0" applyFont="1" applyBorder="1" applyAlignment="1">
      <alignment horizontal="centerContinuous"/>
    </xf>
    <xf numFmtId="0" fontId="5" fillId="0" borderId="23" xfId="0" applyFont="1" applyBorder="1" applyAlignment="1">
      <alignment horizontal="right"/>
    </xf>
    <xf numFmtId="0" fontId="5" fillId="0" borderId="25" xfId="0" applyFont="1" applyBorder="1" applyAlignment="1">
      <alignment horizontal="right"/>
    </xf>
    <xf numFmtId="0" fontId="5" fillId="0" borderId="9" xfId="0" applyFont="1" applyBorder="1"/>
    <xf numFmtId="0" fontId="0" fillId="0" borderId="66" xfId="0" applyBorder="1"/>
    <xf numFmtId="0" fontId="0" fillId="0" borderId="155" xfId="0" applyBorder="1"/>
    <xf numFmtId="0" fontId="122" fillId="0" borderId="50" xfId="0" applyFont="1" applyBorder="1" applyAlignment="1">
      <alignment horizontal="center"/>
    </xf>
    <xf numFmtId="0" fontId="122" fillId="15" borderId="0" xfId="0" applyFont="1" applyFill="1" applyAlignment="1">
      <alignment horizontal="center"/>
    </xf>
    <xf numFmtId="0" fontId="122" fillId="16" borderId="0" xfId="0" applyFont="1" applyFill="1" applyAlignment="1">
      <alignment horizontal="center"/>
    </xf>
    <xf numFmtId="0" fontId="122" fillId="10" borderId="0" xfId="0" applyFont="1" applyFill="1" applyAlignment="1">
      <alignment horizontal="center"/>
    </xf>
    <xf numFmtId="0" fontId="122" fillId="17" borderId="0" xfId="0" applyFont="1" applyFill="1" applyAlignment="1">
      <alignment horizontal="center"/>
    </xf>
    <xf numFmtId="0" fontId="122" fillId="18" borderId="0" xfId="0" applyFont="1" applyFill="1" applyAlignment="1">
      <alignment horizontal="center"/>
    </xf>
    <xf numFmtId="0" fontId="122" fillId="13" borderId="0" xfId="0" applyFont="1" applyFill="1" applyAlignment="1">
      <alignment horizontal="center"/>
    </xf>
    <xf numFmtId="0" fontId="122" fillId="12" borderId="0" xfId="0" applyFont="1" applyFill="1" applyAlignment="1">
      <alignment horizontal="center"/>
    </xf>
    <xf numFmtId="0" fontId="122" fillId="19" borderId="0" xfId="0" applyFont="1" applyFill="1" applyAlignment="1">
      <alignment horizontal="center"/>
    </xf>
    <xf numFmtId="165" fontId="122" fillId="0" borderId="147" xfId="0" applyNumberFormat="1" applyFont="1" applyBorder="1" applyAlignment="1">
      <alignment horizontal="center"/>
    </xf>
    <xf numFmtId="0" fontId="122" fillId="0" borderId="101" xfId="0" applyFont="1" applyBorder="1" applyAlignment="1">
      <alignment horizontal="center"/>
    </xf>
    <xf numFmtId="0" fontId="122" fillId="0" borderId="58" xfId="0" applyFont="1" applyBorder="1" applyAlignment="1">
      <alignment horizontal="center"/>
    </xf>
    <xf numFmtId="0" fontId="122" fillId="0" borderId="59" xfId="0" applyFont="1" applyBorder="1" applyAlignment="1">
      <alignment horizontal="center"/>
    </xf>
    <xf numFmtId="0" fontId="122" fillId="0" borderId="60" xfId="0" applyFont="1" applyBorder="1" applyAlignment="1">
      <alignment horizontal="center"/>
    </xf>
    <xf numFmtId="2" fontId="122" fillId="0" borderId="147" xfId="0" applyNumberFormat="1" applyFont="1" applyBorder="1" applyAlignment="1">
      <alignment horizontal="center"/>
    </xf>
    <xf numFmtId="0" fontId="122" fillId="0" borderId="156" xfId="0" applyFont="1" applyBorder="1" applyAlignment="1">
      <alignment horizontal="center"/>
    </xf>
    <xf numFmtId="0" fontId="122" fillId="13" borderId="157" xfId="0" applyFont="1" applyFill="1" applyBorder="1" applyAlignment="1">
      <alignment horizontal="center"/>
    </xf>
    <xf numFmtId="0" fontId="122" fillId="12" borderId="158" xfId="0" applyFont="1" applyFill="1" applyBorder="1" applyAlignment="1">
      <alignment horizontal="center"/>
    </xf>
    <xf numFmtId="166" fontId="122" fillId="20" borderId="147" xfId="0" applyNumberFormat="1" applyFont="1" applyFill="1" applyBorder="1" applyAlignment="1">
      <alignment horizontal="center"/>
    </xf>
    <xf numFmtId="166" fontId="122" fillId="21" borderId="148" xfId="0" applyNumberFormat="1" applyFont="1" applyFill="1" applyBorder="1" applyAlignment="1">
      <alignment horizontal="center"/>
    </xf>
    <xf numFmtId="166" fontId="122" fillId="0" borderId="159" xfId="0" applyNumberFormat="1" applyFont="1" applyBorder="1" applyAlignment="1">
      <alignment horizontal="center"/>
    </xf>
    <xf numFmtId="166" fontId="123" fillId="0" borderId="50" xfId="0" applyNumberFormat="1" applyFont="1" applyBorder="1" applyAlignment="1">
      <alignment horizontal="center"/>
    </xf>
    <xf numFmtId="0" fontId="122" fillId="0" borderId="52" xfId="0" applyFont="1" applyBorder="1" applyAlignment="1">
      <alignment horizontal="center"/>
    </xf>
    <xf numFmtId="11" fontId="122" fillId="0" borderId="50" xfId="0" applyNumberFormat="1" applyFont="1" applyBorder="1" applyAlignment="1">
      <alignment horizontal="center"/>
    </xf>
    <xf numFmtId="0" fontId="122" fillId="0" borderId="157" xfId="0" applyFont="1" applyBorder="1" applyAlignment="1">
      <alignment horizontal="center"/>
    </xf>
    <xf numFmtId="1" fontId="122" fillId="0" borderId="50" xfId="0" applyNumberFormat="1" applyFont="1" applyBorder="1" applyAlignment="1">
      <alignment horizontal="center"/>
    </xf>
    <xf numFmtId="11" fontId="122" fillId="0" borderId="157" xfId="0" applyNumberFormat="1" applyFont="1" applyBorder="1" applyAlignment="1">
      <alignment horizontal="center"/>
    </xf>
    <xf numFmtId="0" fontId="122" fillId="0" borderId="100" xfId="0" applyFont="1" applyBorder="1"/>
    <xf numFmtId="9" fontId="123" fillId="0" borderId="50" xfId="2" applyFont="1" applyBorder="1" applyAlignment="1">
      <alignment horizontal="center"/>
    </xf>
    <xf numFmtId="2" fontId="122" fillId="0" borderId="0" xfId="0" applyNumberFormat="1" applyFont="1" applyAlignment="1">
      <alignment horizontal="center"/>
    </xf>
    <xf numFmtId="0" fontId="122" fillId="15" borderId="62" xfId="0" applyFont="1" applyFill="1" applyBorder="1" applyAlignment="1">
      <alignment horizontal="center"/>
    </xf>
    <xf numFmtId="0" fontId="122" fillId="16" borderId="56" xfId="0" applyFont="1" applyFill="1" applyBorder="1" applyAlignment="1">
      <alignment horizontal="center"/>
    </xf>
    <xf numFmtId="0" fontId="122" fillId="10" borderId="56" xfId="0" applyFont="1" applyFill="1" applyBorder="1" applyAlignment="1">
      <alignment horizontal="center"/>
    </xf>
    <xf numFmtId="0" fontId="122" fillId="17" borderId="56" xfId="0" applyFont="1" applyFill="1" applyBorder="1" applyAlignment="1">
      <alignment horizontal="center"/>
    </xf>
    <xf numFmtId="0" fontId="122" fillId="0" borderId="57" xfId="0" applyFont="1" applyBorder="1" applyAlignment="1">
      <alignment horizontal="center"/>
    </xf>
    <xf numFmtId="2" fontId="122" fillId="0" borderId="99" xfId="0" applyNumberFormat="1" applyFont="1" applyBorder="1" applyAlignment="1">
      <alignment horizontal="center"/>
    </xf>
    <xf numFmtId="2" fontId="122" fillId="0" borderId="100" xfId="0" applyNumberFormat="1" applyFont="1" applyBorder="1" applyAlignment="1">
      <alignment horizontal="center"/>
    </xf>
    <xf numFmtId="0" fontId="93" fillId="0" borderId="0" xfId="0" applyFont="1"/>
    <xf numFmtId="0" fontId="108" fillId="0" borderId="0" xfId="0" quotePrefix="1" applyFont="1" applyAlignment="1">
      <alignment horizontal="left"/>
    </xf>
    <xf numFmtId="0" fontId="0" fillId="0" borderId="0" xfId="0" quotePrefix="1" applyAlignment="1">
      <alignment horizontal="right"/>
    </xf>
    <xf numFmtId="0" fontId="113" fillId="8" borderId="0" xfId="0" applyFont="1" applyFill="1" applyProtection="1">
      <protection locked="0"/>
    </xf>
    <xf numFmtId="0" fontId="53" fillId="0" borderId="0" xfId="0" applyFont="1" applyAlignment="1">
      <alignment horizontal="left"/>
    </xf>
    <xf numFmtId="0" fontId="9" fillId="0" borderId="0" xfId="0" quotePrefix="1" applyFont="1" applyAlignment="1">
      <alignment horizontal="right"/>
    </xf>
    <xf numFmtId="0" fontId="114" fillId="0" borderId="22" xfId="0" applyFont="1" applyBorder="1"/>
    <xf numFmtId="0" fontId="114" fillId="0" borderId="13" xfId="0" applyFont="1" applyBorder="1"/>
    <xf numFmtId="0" fontId="114" fillId="0" borderId="24" xfId="0" applyFont="1" applyBorder="1"/>
    <xf numFmtId="0" fontId="114" fillId="0" borderId="23" xfId="0" applyFont="1" applyBorder="1"/>
    <xf numFmtId="0" fontId="114" fillId="0" borderId="0" xfId="0" applyFont="1"/>
    <xf numFmtId="0" fontId="114" fillId="0" borderId="0" xfId="0" quotePrefix="1" applyFont="1" applyAlignment="1">
      <alignment horizontal="left"/>
    </xf>
    <xf numFmtId="0" fontId="114" fillId="0" borderId="25" xfId="0" applyFont="1" applyBorder="1"/>
    <xf numFmtId="0" fontId="103" fillId="0" borderId="0" xfId="0" quotePrefix="1" applyFont="1" applyAlignment="1">
      <alignment horizontal="right"/>
    </xf>
    <xf numFmtId="1" fontId="103" fillId="0" borderId="0" xfId="0" applyNumberFormat="1" applyFont="1"/>
    <xf numFmtId="0" fontId="103" fillId="0" borderId="0" xfId="0" applyFont="1"/>
    <xf numFmtId="0" fontId="116" fillId="0" borderId="23" xfId="0" applyFont="1" applyBorder="1" applyAlignment="1">
      <alignment horizontal="right"/>
    </xf>
    <xf numFmtId="0" fontId="114" fillId="0" borderId="0" xfId="0" applyFont="1" applyAlignment="1">
      <alignment horizontal="right"/>
    </xf>
    <xf numFmtId="0" fontId="114" fillId="0" borderId="0" xfId="0" applyFont="1" applyAlignment="1">
      <alignment horizontal="center"/>
    </xf>
    <xf numFmtId="2" fontId="103" fillId="0" borderId="0" xfId="0" applyNumberFormat="1" applyFont="1"/>
    <xf numFmtId="0" fontId="53" fillId="0" borderId="0" xfId="0" quotePrefix="1" applyFont="1" applyAlignment="1">
      <alignment horizontal="left"/>
    </xf>
    <xf numFmtId="0" fontId="117" fillId="0" borderId="0" xfId="0" quotePrefix="1" applyFont="1" applyAlignment="1">
      <alignment horizontal="right"/>
    </xf>
    <xf numFmtId="167" fontId="103" fillId="0" borderId="0" xfId="0" applyNumberFormat="1" applyFont="1"/>
    <xf numFmtId="0" fontId="103" fillId="0" borderId="0" xfId="0" quotePrefix="1" applyFont="1" applyAlignment="1">
      <alignment horizontal="left"/>
    </xf>
    <xf numFmtId="0" fontId="114" fillId="0" borderId="7" xfId="0" applyFont="1" applyBorder="1"/>
    <xf numFmtId="0" fontId="114" fillId="0" borderId="8" xfId="0" applyFont="1" applyBorder="1"/>
    <xf numFmtId="0" fontId="114" fillId="0" borderId="9" xfId="0" applyFont="1" applyBorder="1"/>
    <xf numFmtId="0" fontId="118" fillId="0" borderId="22" xfId="0" applyFont="1" applyBorder="1" applyAlignment="1">
      <alignment horizontal="centerContinuous"/>
    </xf>
    <xf numFmtId="0" fontId="0" fillId="0" borderId="13" xfId="0" applyBorder="1" applyAlignment="1">
      <alignment horizontal="centerContinuous"/>
    </xf>
    <xf numFmtId="0" fontId="0" fillId="0" borderId="24" xfId="0" applyBorder="1" applyAlignment="1">
      <alignment horizontal="centerContinuous"/>
    </xf>
    <xf numFmtId="0" fontId="0" fillId="0" borderId="8" xfId="0" applyBorder="1" applyAlignment="1">
      <alignment horizontal="centerContinuous"/>
    </xf>
    <xf numFmtId="0" fontId="0" fillId="0" borderId="9" xfId="0" applyBorder="1" applyAlignment="1">
      <alignment horizontal="centerContinuous"/>
    </xf>
    <xf numFmtId="0" fontId="5" fillId="0" borderId="0" xfId="0" quotePrefix="1" applyFont="1" applyAlignment="1">
      <alignment horizontal="left"/>
    </xf>
    <xf numFmtId="0" fontId="11" fillId="0" borderId="0" xfId="0" applyFont="1"/>
    <xf numFmtId="0" fontId="11" fillId="0" borderId="0" xfId="0" quotePrefix="1" applyFont="1" applyAlignment="1">
      <alignment horizontal="left"/>
    </xf>
    <xf numFmtId="1" fontId="124" fillId="9" borderId="58" xfId="0" applyNumberFormat="1" applyFont="1" applyFill="1" applyBorder="1" applyAlignment="1">
      <alignment horizontal="left" vertical="center"/>
    </xf>
    <xf numFmtId="0" fontId="0" fillId="0" borderId="50" xfId="0" applyBorder="1"/>
    <xf numFmtId="0" fontId="0" fillId="0" borderId="58" xfId="0" applyBorder="1" applyAlignment="1">
      <alignment horizontal="center"/>
    </xf>
    <xf numFmtId="0" fontId="0" fillId="0" borderId="59" xfId="0" applyBorder="1"/>
    <xf numFmtId="0" fontId="0" fillId="0" borderId="60" xfId="0" applyBorder="1"/>
    <xf numFmtId="165" fontId="122" fillId="0" borderId="152" xfId="0" applyNumberFormat="1" applyFont="1" applyBorder="1" applyAlignment="1">
      <alignment horizontal="center"/>
    </xf>
    <xf numFmtId="0" fontId="0" fillId="9" borderId="160" xfId="0" applyFill="1" applyBorder="1" applyAlignment="1">
      <alignment horizontal="center"/>
    </xf>
    <xf numFmtId="2" fontId="0" fillId="9" borderId="160" xfId="0" applyNumberFormat="1" applyFill="1" applyBorder="1" applyAlignment="1">
      <alignment horizontal="center"/>
    </xf>
    <xf numFmtId="0" fontId="0" fillId="9" borderId="11" xfId="0" applyFill="1" applyBorder="1" applyAlignment="1">
      <alignment horizontal="center"/>
    </xf>
    <xf numFmtId="2" fontId="0" fillId="9" borderId="11" xfId="0" applyNumberFormat="1" applyFill="1" applyBorder="1" applyAlignment="1">
      <alignment horizontal="center"/>
    </xf>
    <xf numFmtId="0" fontId="10" fillId="0" borderId="0" xfId="0" applyFont="1" applyAlignment="1">
      <alignment horizontal="center"/>
    </xf>
    <xf numFmtId="0" fontId="20" fillId="20" borderId="50" xfId="0" applyFont="1" applyFill="1" applyBorder="1" applyAlignment="1">
      <alignment horizontal="center"/>
    </xf>
    <xf numFmtId="0" fontId="10" fillId="0" borderId="0" xfId="0" applyFont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0" fontId="125" fillId="0" borderId="0" xfId="0" applyFont="1"/>
    <xf numFmtId="2" fontId="0" fillId="0" borderId="50" xfId="0" applyNumberFormat="1" applyBorder="1"/>
    <xf numFmtId="0" fontId="10" fillId="0" borderId="0" xfId="0" quotePrefix="1" applyFont="1" applyAlignment="1">
      <alignment horizontal="right"/>
    </xf>
    <xf numFmtId="15" fontId="10" fillId="0" borderId="0" xfId="0" applyNumberFormat="1" applyFont="1"/>
    <xf numFmtId="0" fontId="0" fillId="10" borderId="3" xfId="0" applyFill="1" applyBorder="1" applyAlignment="1">
      <alignment horizontal="center"/>
    </xf>
    <xf numFmtId="1" fontId="0" fillId="10" borderId="9" xfId="0" applyNumberFormat="1" applyFill="1" applyBorder="1" applyAlignment="1">
      <alignment horizontal="center"/>
    </xf>
    <xf numFmtId="1" fontId="0" fillId="10" borderId="2" xfId="0" applyNumberFormat="1" applyFill="1" applyBorder="1" applyAlignment="1">
      <alignment horizontal="center"/>
    </xf>
    <xf numFmtId="2" fontId="0" fillId="10" borderId="2" xfId="0" applyNumberFormat="1" applyFill="1" applyBorder="1" applyAlignment="1">
      <alignment horizontal="center"/>
    </xf>
    <xf numFmtId="0" fontId="0" fillId="10" borderId="7" xfId="0" quotePrefix="1" applyFill="1" applyBorder="1" applyAlignment="1">
      <alignment horizontal="left"/>
    </xf>
    <xf numFmtId="0" fontId="0" fillId="10" borderId="9" xfId="0" applyFill="1" applyBorder="1"/>
    <xf numFmtId="0" fontId="125" fillId="9" borderId="56" xfId="0" applyFont="1" applyFill="1" applyBorder="1"/>
    <xf numFmtId="9" fontId="0" fillId="0" borderId="0" xfId="2" applyFont="1"/>
    <xf numFmtId="164" fontId="0" fillId="22" borderId="99" xfId="0" applyNumberFormat="1" applyFill="1" applyBorder="1"/>
    <xf numFmtId="164" fontId="0" fillId="0" borderId="100" xfId="0" applyNumberFormat="1" applyBorder="1"/>
    <xf numFmtId="164" fontId="0" fillId="0" borderId="101" xfId="0" applyNumberFormat="1" applyBorder="1"/>
    <xf numFmtId="0" fontId="10" fillId="0" borderId="58" xfId="0" applyFont="1" applyBorder="1"/>
    <xf numFmtId="0" fontId="10" fillId="0" borderId="60" xfId="0" applyFont="1" applyBorder="1"/>
    <xf numFmtId="165" fontId="0" fillId="11" borderId="0" xfId="0" applyNumberFormat="1" applyFill="1"/>
    <xf numFmtId="15" fontId="53" fillId="0" borderId="0" xfId="0" applyNumberFormat="1" applyFont="1"/>
    <xf numFmtId="0" fontId="128" fillId="0" borderId="0" xfId="0" applyFont="1"/>
    <xf numFmtId="0" fontId="1" fillId="0" borderId="0" xfId="0" applyFont="1"/>
    <xf numFmtId="171" fontId="0" fillId="0" borderId="0" xfId="2" applyNumberFormat="1" applyFont="1"/>
    <xf numFmtId="2" fontId="1" fillId="0" borderId="0" xfId="0" applyNumberFormat="1" applyFont="1"/>
    <xf numFmtId="0" fontId="53" fillId="0" borderId="0" xfId="0" quotePrefix="1" applyFont="1" applyAlignment="1">
      <alignment horizontal="right"/>
    </xf>
    <xf numFmtId="165" fontId="1" fillId="0" borderId="0" xfId="0" applyNumberFormat="1" applyFont="1"/>
    <xf numFmtId="15" fontId="1" fillId="0" borderId="0" xfId="0" applyNumberFormat="1" applyFont="1"/>
    <xf numFmtId="0" fontId="123" fillId="12" borderId="96" xfId="0" applyFont="1" applyFill="1" applyBorder="1" applyAlignment="1">
      <alignment horizontal="center"/>
    </xf>
    <xf numFmtId="0" fontId="123" fillId="12" borderId="98" xfId="0" applyFont="1" applyFill="1" applyBorder="1" applyAlignment="1">
      <alignment horizontal="center"/>
    </xf>
    <xf numFmtId="0" fontId="123" fillId="12" borderId="58" xfId="0" applyFont="1" applyFill="1" applyBorder="1" applyAlignment="1">
      <alignment horizontal="center"/>
    </xf>
    <xf numFmtId="0" fontId="123" fillId="12" borderId="60" xfId="0" applyFont="1" applyFill="1" applyBorder="1" applyAlignment="1">
      <alignment horizontal="center"/>
    </xf>
    <xf numFmtId="0" fontId="20" fillId="0" borderId="161" xfId="0" applyFont="1" applyBorder="1" applyAlignment="1">
      <alignment horizontal="center"/>
    </xf>
    <xf numFmtId="0" fontId="0" fillId="0" borderId="162" xfId="0" applyBorder="1" applyAlignment="1">
      <alignment horizontal="center"/>
    </xf>
    <xf numFmtId="0" fontId="0" fillId="0" borderId="163" xfId="0" applyBorder="1" applyAlignment="1">
      <alignment horizontal="center"/>
    </xf>
    <xf numFmtId="0" fontId="20" fillId="13" borderId="56" xfId="0" applyFont="1" applyFill="1" applyBorder="1" applyAlignment="1">
      <alignment horizontal="center" vertical="center"/>
    </xf>
    <xf numFmtId="0" fontId="56" fillId="0" borderId="164" xfId="0" applyFont="1" applyBorder="1" applyAlignment="1">
      <alignment horizontal="center"/>
    </xf>
    <xf numFmtId="0" fontId="56" fillId="0" borderId="160" xfId="0" applyFont="1" applyBorder="1" applyAlignment="1">
      <alignment horizontal="center"/>
    </xf>
    <xf numFmtId="0" fontId="56" fillId="0" borderId="165" xfId="0" applyFont="1" applyBorder="1" applyAlignment="1">
      <alignment horizontal="center"/>
    </xf>
    <xf numFmtId="0" fontId="55" fillId="0" borderId="22" xfId="0" applyFont="1" applyBorder="1" applyAlignment="1">
      <alignment horizontal="center"/>
    </xf>
    <xf numFmtId="0" fontId="55" fillId="0" borderId="13" xfId="0" applyFont="1" applyBorder="1" applyAlignment="1">
      <alignment horizontal="center"/>
    </xf>
    <xf numFmtId="0" fontId="55" fillId="0" borderId="166" xfId="0" applyFont="1" applyBorder="1" applyAlignment="1">
      <alignment horizontal="center"/>
    </xf>
    <xf numFmtId="0" fontId="55" fillId="0" borderId="23" xfId="0" applyFont="1" applyBorder="1" applyAlignment="1">
      <alignment horizontal="center"/>
    </xf>
    <xf numFmtId="0" fontId="55" fillId="0" borderId="0" xfId="0" applyFont="1" applyAlignment="1">
      <alignment horizontal="center"/>
    </xf>
    <xf numFmtId="0" fontId="55" fillId="0" borderId="53" xfId="0" applyFont="1" applyBorder="1" applyAlignment="1">
      <alignment horizontal="center"/>
    </xf>
    <xf numFmtId="0" fontId="20" fillId="0" borderId="114" xfId="0" applyFont="1" applyBorder="1" applyAlignment="1">
      <alignment horizontal="center"/>
    </xf>
    <xf numFmtId="0" fontId="20" fillId="0" borderId="13" xfId="0" applyFont="1" applyBorder="1" applyAlignment="1">
      <alignment horizontal="center"/>
    </xf>
    <xf numFmtId="0" fontId="20" fillId="0" borderId="24" xfId="0" applyFont="1" applyBorder="1" applyAlignment="1">
      <alignment horizontal="center"/>
    </xf>
    <xf numFmtId="0" fontId="17" fillId="0" borderId="10" xfId="0" applyFont="1" applyBorder="1" applyAlignment="1">
      <alignment horizontal="center"/>
    </xf>
    <xf numFmtId="0" fontId="17" fillId="0" borderId="11" xfId="0" applyFont="1" applyBorder="1" applyAlignment="1">
      <alignment horizontal="center"/>
    </xf>
    <xf numFmtId="0" fontId="17" fillId="0" borderId="12" xfId="0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10" xfId="0" applyBorder="1" applyAlignment="1">
      <alignment horizontal="center"/>
    </xf>
    <xf numFmtId="0" fontId="0" fillId="0" borderId="167" xfId="0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20" fillId="0" borderId="23" xfId="0" applyFont="1" applyBorder="1" applyAlignment="1">
      <alignment horizontal="center"/>
    </xf>
    <xf numFmtId="0" fontId="20" fillId="0" borderId="0" xfId="0" applyFont="1" applyAlignment="1">
      <alignment horizontal="center"/>
    </xf>
    <xf numFmtId="0" fontId="20" fillId="0" borderId="25" xfId="0" applyFont="1" applyBorder="1" applyAlignment="1">
      <alignment horizontal="center"/>
    </xf>
    <xf numFmtId="0" fontId="0" fillId="11" borderId="0" xfId="0" applyFont="1" applyFill="1" applyBorder="1"/>
  </cellXfs>
  <cellStyles count="3">
    <cellStyle name="Hipervínculo" xfId="1" builtinId="8"/>
    <cellStyle name="Normal" xfId="0" builtinId="0"/>
    <cellStyle name="Porcentaje" xfId="2" builtinId="5"/>
  </cellStyles>
  <dxfs count="1">
    <dxf>
      <fill>
        <patternFill>
          <bgColor rgb="FF92D05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2.xml"/><Relationship Id="rId27" Type="http://schemas.microsoft.com/office/2006/relationships/vbaProject" Target="vbaProject.bin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Thrust coef. variation due MEOP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kavg</c:v>
          </c:tx>
          <c:marker>
            <c:symbol val="x"/>
            <c:size val="10"/>
            <c:spPr>
              <a:ln w="19050"/>
            </c:spPr>
          </c:marker>
          <c:xVal>
            <c:numRef>
              <c:f>'First iteration &amp; Mechanical'!$B$13</c:f>
              <c:numCache>
                <c:formatCode>General</c:formatCode>
                <c:ptCount val="1"/>
                <c:pt idx="0">
                  <c:v>1.1329999999999998</c:v>
                </c:pt>
              </c:numCache>
            </c:numRef>
          </c:xVal>
          <c:yVal>
            <c:numRef>
              <c:f>'First iteration &amp; Mechanical'!$C$13</c:f>
              <c:numCache>
                <c:formatCode>General</c:formatCode>
                <c:ptCount val="1"/>
                <c:pt idx="0">
                  <c:v>1.1873374489612027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D35-4B0B-8542-72F0C174792C}"/>
            </c:ext>
          </c:extLst>
        </c:ser>
        <c:ser>
          <c:idx val="2"/>
          <c:order val="1"/>
          <c:tx>
            <c:strRef>
              <c:f>'First iteration &amp; Mechanical'!$B$22</c:f>
              <c:strCache>
                <c:ptCount val="1"/>
                <c:pt idx="0">
                  <c:v>2 Mpa</c:v>
                </c:pt>
              </c:strCache>
            </c:strRef>
          </c:tx>
          <c:marker>
            <c:symbol val="none"/>
          </c:marker>
          <c:xVal>
            <c:numRef>
              <c:f>'First iteration &amp; Mechanical'!$B$24:$B$39</c:f>
              <c:numCache>
                <c:formatCode>General</c:formatCode>
                <c:ptCount val="16"/>
                <c:pt idx="0">
                  <c:v>1.0100000000000007</c:v>
                </c:pt>
                <c:pt idx="1">
                  <c:v>1.0250000000000006</c:v>
                </c:pt>
                <c:pt idx="2">
                  <c:v>1.0400000000000005</c:v>
                </c:pt>
                <c:pt idx="3">
                  <c:v>1.0550000000000004</c:v>
                </c:pt>
                <c:pt idx="4">
                  <c:v>1.0700000000000003</c:v>
                </c:pt>
                <c:pt idx="5">
                  <c:v>1.0850000000000002</c:v>
                </c:pt>
                <c:pt idx="6">
                  <c:v>1.1000000000000001</c:v>
                </c:pt>
                <c:pt idx="7">
                  <c:v>1.115</c:v>
                </c:pt>
                <c:pt idx="8">
                  <c:v>1.1329999999999998</c:v>
                </c:pt>
                <c:pt idx="9">
                  <c:v>1.1479999999999997</c:v>
                </c:pt>
                <c:pt idx="10">
                  <c:v>1.1629999999999996</c:v>
                </c:pt>
                <c:pt idx="11">
                  <c:v>1.1779999999999995</c:v>
                </c:pt>
                <c:pt idx="12">
                  <c:v>1.1929999999999994</c:v>
                </c:pt>
                <c:pt idx="13">
                  <c:v>1.2079999999999993</c:v>
                </c:pt>
                <c:pt idx="14">
                  <c:v>1.2229999999999992</c:v>
                </c:pt>
                <c:pt idx="15">
                  <c:v>1.2379999999999991</c:v>
                </c:pt>
              </c:numCache>
            </c:numRef>
          </c:xVal>
          <c:yVal>
            <c:numRef>
              <c:f>'First iteration &amp; Mechanical'!$C$24:$C$39</c:f>
              <c:numCache>
                <c:formatCode>General</c:formatCode>
                <c:ptCount val="16"/>
                <c:pt idx="0">
                  <c:v>1.1004576250643052</c:v>
                </c:pt>
                <c:pt idx="1">
                  <c:v>1.094883823518723</c:v>
                </c:pt>
                <c:pt idx="2">
                  <c:v>1.0896434583826267</c:v>
                </c:pt>
                <c:pt idx="3">
                  <c:v>1.0847143871179765</c:v>
                </c:pt>
                <c:pt idx="4">
                  <c:v>1.0800762627172529</c:v>
                </c:pt>
                <c:pt idx="5">
                  <c:v>1.0757103608159075</c:v>
                </c:pt>
                <c:pt idx="6">
                  <c:v>1.0715994260077042</c:v>
                </c:pt>
                <c:pt idx="7">
                  <c:v>1.067727534956985</c:v>
                </c:pt>
                <c:pt idx="8">
                  <c:v>1.063376165575729</c:v>
                </c:pt>
                <c:pt idx="9">
                  <c:v>1.0599799222828739</c:v>
                </c:pt>
                <c:pt idx="10">
                  <c:v>1.0567793771515182</c:v>
                </c:pt>
                <c:pt idx="11">
                  <c:v>1.0537630086224015</c:v>
                </c:pt>
                <c:pt idx="12">
                  <c:v>1.0509201164843107</c:v>
                </c:pt>
                <c:pt idx="13">
                  <c:v>1.0482407522980917</c:v>
                </c:pt>
                <c:pt idx="14">
                  <c:v>1.0457156566366215</c:v>
                </c:pt>
                <c:pt idx="15">
                  <c:v>1.0433362023854227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D35-4B0B-8542-72F0C174792C}"/>
            </c:ext>
          </c:extLst>
        </c:ser>
        <c:ser>
          <c:idx val="1"/>
          <c:order val="2"/>
          <c:tx>
            <c:strRef>
              <c:f>'First iteration &amp; Mechanical'!$F$1</c:f>
              <c:strCache>
                <c:ptCount val="1"/>
                <c:pt idx="0">
                  <c:v>5 MPa MEOP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'First iteration &amp; Mechanical'!$B$5:$B$20</c:f>
              <c:numCache>
                <c:formatCode>General</c:formatCode>
                <c:ptCount val="16"/>
                <c:pt idx="0">
                  <c:v>1.0100000000000007</c:v>
                </c:pt>
                <c:pt idx="1">
                  <c:v>1.0250000000000006</c:v>
                </c:pt>
                <c:pt idx="2">
                  <c:v>1.0400000000000005</c:v>
                </c:pt>
                <c:pt idx="3">
                  <c:v>1.0550000000000004</c:v>
                </c:pt>
                <c:pt idx="4">
                  <c:v>1.0700000000000003</c:v>
                </c:pt>
                <c:pt idx="5">
                  <c:v>1.0850000000000002</c:v>
                </c:pt>
                <c:pt idx="6">
                  <c:v>1.1000000000000001</c:v>
                </c:pt>
                <c:pt idx="7">
                  <c:v>1.115</c:v>
                </c:pt>
                <c:pt idx="8">
                  <c:v>1.1329999999999998</c:v>
                </c:pt>
                <c:pt idx="9">
                  <c:v>1.1479999999999997</c:v>
                </c:pt>
                <c:pt idx="10">
                  <c:v>1.1629999999999996</c:v>
                </c:pt>
                <c:pt idx="11">
                  <c:v>1.1779999999999995</c:v>
                </c:pt>
                <c:pt idx="12">
                  <c:v>1.1929999999999994</c:v>
                </c:pt>
                <c:pt idx="13">
                  <c:v>1.2079999999999993</c:v>
                </c:pt>
                <c:pt idx="14">
                  <c:v>1.2229999999999992</c:v>
                </c:pt>
                <c:pt idx="15">
                  <c:v>1.2379999999999991</c:v>
                </c:pt>
              </c:numCache>
            </c:numRef>
          </c:xVal>
          <c:yVal>
            <c:numRef>
              <c:f>'First iteration &amp; Mechanical'!$C$5:$C$20</c:f>
              <c:numCache>
                <c:formatCode>General</c:formatCode>
                <c:ptCount val="16"/>
                <c:pt idx="0">
                  <c:v>1.2571395754522126</c:v>
                </c:pt>
                <c:pt idx="1">
                  <c:v>1.2467081497071399</c:v>
                </c:pt>
                <c:pt idx="2">
                  <c:v>1.2368903601714352</c:v>
                </c:pt>
                <c:pt idx="3">
                  <c:v>1.2276426903991662</c:v>
                </c:pt>
                <c:pt idx="4">
                  <c:v>1.2189254096677478</c:v>
                </c:pt>
                <c:pt idx="5">
                  <c:v>1.2107021836375991</c:v>
                </c:pt>
                <c:pt idx="6">
                  <c:v>1.20293973095597</c:v>
                </c:pt>
                <c:pt idx="7">
                  <c:v>1.1956075197179103</c:v>
                </c:pt>
                <c:pt idx="8">
                  <c:v>1.1873374489612027</c:v>
                </c:pt>
                <c:pt idx="9">
                  <c:v>1.1808561695881317</c:v>
                </c:pt>
                <c:pt idx="10">
                  <c:v>1.174722961681691</c:v>
                </c:pt>
                <c:pt idx="11">
                  <c:v>1.16891623316392</c:v>
                </c:pt>
                <c:pt idx="12">
                  <c:v>1.1634160320085607</c:v>
                </c:pt>
                <c:pt idx="13">
                  <c:v>1.1582038985073049</c:v>
                </c:pt>
                <c:pt idx="14">
                  <c:v>1.1532627328608136</c:v>
                </c:pt>
                <c:pt idx="15">
                  <c:v>1.1485766763039116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D35-4B0B-8542-72F0C174792C}"/>
            </c:ext>
          </c:extLst>
        </c:ser>
        <c:ser>
          <c:idx val="3"/>
          <c:order val="3"/>
          <c:tx>
            <c:strRef>
              <c:f>'First iteration &amp; Mechanical'!$D$22</c:f>
              <c:strCache>
                <c:ptCount val="1"/>
                <c:pt idx="0">
                  <c:v>6 Mpa</c:v>
                </c:pt>
              </c:strCache>
            </c:strRef>
          </c:tx>
          <c:marker>
            <c:symbol val="none"/>
          </c:marker>
          <c:xVal>
            <c:numRef>
              <c:f>'First iteration &amp; Mechanical'!$D$24:$D$39</c:f>
              <c:numCache>
                <c:formatCode>General</c:formatCode>
                <c:ptCount val="16"/>
                <c:pt idx="0">
                  <c:v>1.0100000000000007</c:v>
                </c:pt>
                <c:pt idx="1">
                  <c:v>1.0250000000000006</c:v>
                </c:pt>
                <c:pt idx="2">
                  <c:v>1.0400000000000005</c:v>
                </c:pt>
                <c:pt idx="3">
                  <c:v>1.0550000000000004</c:v>
                </c:pt>
                <c:pt idx="4">
                  <c:v>1.0700000000000003</c:v>
                </c:pt>
                <c:pt idx="5">
                  <c:v>1.0850000000000002</c:v>
                </c:pt>
                <c:pt idx="6">
                  <c:v>1.1000000000000001</c:v>
                </c:pt>
                <c:pt idx="7">
                  <c:v>1.115</c:v>
                </c:pt>
                <c:pt idx="8">
                  <c:v>1.1329999999999998</c:v>
                </c:pt>
                <c:pt idx="9">
                  <c:v>1.1479999999999997</c:v>
                </c:pt>
                <c:pt idx="10">
                  <c:v>1.1629999999999996</c:v>
                </c:pt>
                <c:pt idx="11">
                  <c:v>1.1779999999999995</c:v>
                </c:pt>
                <c:pt idx="12">
                  <c:v>1.1929999999999994</c:v>
                </c:pt>
                <c:pt idx="13">
                  <c:v>1.2079999999999993</c:v>
                </c:pt>
                <c:pt idx="14">
                  <c:v>1.2229999999999992</c:v>
                </c:pt>
                <c:pt idx="15">
                  <c:v>1.2379999999999991</c:v>
                </c:pt>
              </c:numCache>
            </c:numRef>
          </c:xVal>
          <c:yVal>
            <c:numRef>
              <c:f>'First iteration &amp; Mechanical'!$E$24:$E$39</c:f>
              <c:numCache>
                <c:formatCode>General</c:formatCode>
                <c:ptCount val="16"/>
                <c:pt idx="0">
                  <c:v>1.2858856938817027</c:v>
                </c:pt>
                <c:pt idx="1">
                  <c:v>1.2743928504321635</c:v>
                </c:pt>
                <c:pt idx="2">
                  <c:v>1.2635799297566739</c:v>
                </c:pt>
                <c:pt idx="3">
                  <c:v>1.2533980432338656</c:v>
                </c:pt>
                <c:pt idx="4">
                  <c:v>1.2438026132849838</c:v>
                </c:pt>
                <c:pt idx="5">
                  <c:v>1.2347529244925168</c:v>
                </c:pt>
                <c:pt idx="6">
                  <c:v>1.2262117282880265</c:v>
                </c:pt>
                <c:pt idx="7">
                  <c:v>1.2181448940382935</c:v>
                </c:pt>
                <c:pt idx="8">
                  <c:v>1.2090469316422143</c:v>
                </c:pt>
                <c:pt idx="9">
                  <c:v>1.201916995542756</c:v>
                </c:pt>
                <c:pt idx="10">
                  <c:v>1.1951697788051141</c:v>
                </c:pt>
                <c:pt idx="11">
                  <c:v>1.1887812566559248</c:v>
                </c:pt>
                <c:pt idx="12">
                  <c:v>1.1827292520824888</c:v>
                </c:pt>
                <c:pt idx="13">
                  <c:v>1.176993267435108</c:v>
                </c:pt>
                <c:pt idx="14">
                  <c:v>1.1715543336855485</c:v>
                </c:pt>
                <c:pt idx="15">
                  <c:v>1.1663948752582725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D35-4B0B-8542-72F0C174792C}"/>
            </c:ext>
          </c:extLst>
        </c:ser>
        <c:ser>
          <c:idx val="4"/>
          <c:order val="4"/>
          <c:tx>
            <c:strRef>
              <c:f>'First iteration &amp; Mechanical'!$F$22</c:f>
              <c:strCache>
                <c:ptCount val="1"/>
                <c:pt idx="0">
                  <c:v>15 Mpa</c:v>
                </c:pt>
              </c:strCache>
            </c:strRef>
          </c:tx>
          <c:marker>
            <c:symbol val="none"/>
          </c:marker>
          <c:xVal>
            <c:numRef>
              <c:f>'First iteration &amp; Mechanical'!$F$24:$F$39</c:f>
              <c:numCache>
                <c:formatCode>General</c:formatCode>
                <c:ptCount val="16"/>
                <c:pt idx="0">
                  <c:v>1.0100000000000007</c:v>
                </c:pt>
                <c:pt idx="1">
                  <c:v>1.0250000000000006</c:v>
                </c:pt>
                <c:pt idx="2">
                  <c:v>1.0400000000000005</c:v>
                </c:pt>
                <c:pt idx="3">
                  <c:v>1.0550000000000004</c:v>
                </c:pt>
                <c:pt idx="4">
                  <c:v>1.0700000000000003</c:v>
                </c:pt>
                <c:pt idx="5">
                  <c:v>1.0850000000000002</c:v>
                </c:pt>
                <c:pt idx="6">
                  <c:v>1.1000000000000001</c:v>
                </c:pt>
                <c:pt idx="7">
                  <c:v>1.115</c:v>
                </c:pt>
                <c:pt idx="8">
                  <c:v>1.1329999999999998</c:v>
                </c:pt>
                <c:pt idx="9">
                  <c:v>1.1479999999999997</c:v>
                </c:pt>
                <c:pt idx="10">
                  <c:v>1.1629999999999996</c:v>
                </c:pt>
                <c:pt idx="11">
                  <c:v>1.1779999999999995</c:v>
                </c:pt>
                <c:pt idx="12">
                  <c:v>1.1929999999999994</c:v>
                </c:pt>
                <c:pt idx="13">
                  <c:v>1.2079999999999993</c:v>
                </c:pt>
                <c:pt idx="14">
                  <c:v>1.2229999999999992</c:v>
                </c:pt>
                <c:pt idx="15">
                  <c:v>1.2379999999999991</c:v>
                </c:pt>
              </c:numCache>
            </c:numRef>
          </c:xVal>
          <c:yVal>
            <c:numRef>
              <c:f>'First iteration &amp; Mechanical'!$G$24:$G$39</c:f>
              <c:numCache>
                <c:formatCode>General</c:formatCode>
                <c:ptCount val="16"/>
                <c:pt idx="0">
                  <c:v>1.4208795526230777</c:v>
                </c:pt>
                <c:pt idx="1">
                  <c:v>1.4036339261783111</c:v>
                </c:pt>
                <c:pt idx="2">
                  <c:v>1.3874564590236778</c:v>
                </c:pt>
                <c:pt idx="3">
                  <c:v>1.3722648382097775</c:v>
                </c:pt>
                <c:pt idx="4">
                  <c:v>1.357984497450903</c:v>
                </c:pt>
                <c:pt idx="5">
                  <c:v>1.3445477617861656</c:v>
                </c:pt>
                <c:pt idx="6">
                  <c:v>1.3318930998780301</c:v>
                </c:pt>
                <c:pt idx="7">
                  <c:v>1.3199644688214407</c:v>
                </c:pt>
                <c:pt idx="8">
                  <c:v>1.3065367967488921</c:v>
                </c:pt>
                <c:pt idx="9">
                  <c:v>1.2960316282813114</c:v>
                </c:pt>
                <c:pt idx="10">
                  <c:v>1.2861037597545215</c:v>
                </c:pt>
                <c:pt idx="11">
                  <c:v>1.2767146609053861</c:v>
                </c:pt>
                <c:pt idx="12">
                  <c:v>1.2678289506347058</c:v>
                </c:pt>
                <c:pt idx="13">
                  <c:v>1.2594140935368223</c:v>
                </c:pt>
                <c:pt idx="14">
                  <c:v>1.2514401299019506</c:v>
                </c:pt>
                <c:pt idx="15">
                  <c:v>1.243879435054255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7D35-4B0B-8542-72F0C17479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797535936"/>
        <c:axId val="-797531584"/>
      </c:scatterChart>
      <c:valAx>
        <c:axId val="-797535936"/>
        <c:scaling>
          <c:orientation val="minMax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k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1100" b="0" i="1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-797531584"/>
        <c:crosses val="autoZero"/>
        <c:crossBetween val="midCat"/>
      </c:valAx>
      <c:valAx>
        <c:axId val="-797531584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Cf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-797535936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'First iteration &amp; Mechanical'!$B$46</c:f>
          <c:strCache>
            <c:ptCount val="1"/>
            <c:pt idx="0">
              <c:v>Ab,burned at 5 MPa MEOP</c:v>
            </c:pt>
          </c:strCache>
        </c:strRef>
      </c:tx>
      <c:overlay val="0"/>
      <c:txPr>
        <a:bodyPr/>
        <a:lstStyle/>
        <a:p>
          <a:pPr>
            <a:defRPr b="1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Ab,burned</c:v>
          </c:tx>
          <c:marker>
            <c:symbol val="none"/>
          </c:marker>
          <c:xVal>
            <c:numRef>
              <c:f>'First iteration &amp; Mechanical'!$C$47:$C$51</c:f>
              <c:numCache>
                <c:formatCode>General</c:formatCode>
                <c:ptCount val="5"/>
                <c:pt idx="0">
                  <c:v>0</c:v>
                </c:pt>
                <c:pt idx="1">
                  <c:v>4.0000000000000001E-3</c:v>
                </c:pt>
                <c:pt idx="2">
                  <c:v>0.20200000000000001</c:v>
                </c:pt>
                <c:pt idx="3">
                  <c:v>0.4</c:v>
                </c:pt>
                <c:pt idx="4">
                  <c:v>0.40400000000000003</c:v>
                </c:pt>
              </c:numCache>
            </c:numRef>
          </c:xVal>
          <c:yVal>
            <c:numRef>
              <c:f>'First iteration &amp; Mechanical'!$D$47:$D$51</c:f>
              <c:numCache>
                <c:formatCode>General</c:formatCode>
                <c:ptCount val="5"/>
                <c:pt idx="0">
                  <c:v>0</c:v>
                </c:pt>
                <c:pt idx="1">
                  <c:v>4452.1463575022317</c:v>
                </c:pt>
                <c:pt idx="2">
                  <c:v>4595.7826120016216</c:v>
                </c:pt>
                <c:pt idx="3">
                  <c:v>4452.1463575022317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1A-4C54-8231-54F1F58252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797543552"/>
        <c:axId val="-797543008"/>
      </c:scatterChart>
      <c:valAx>
        <c:axId val="-797543552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lapse (sec)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-797543008"/>
        <c:crosses val="autoZero"/>
        <c:crossBetween val="midCat"/>
      </c:valAx>
      <c:valAx>
        <c:axId val="-797543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Aburned (m^2)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-797543552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1927125354466879"/>
          <c:y val="0.52175667549051019"/>
          <c:w val="0.1651546718138831"/>
          <c:h val="6.63637334412428E-2"/>
        </c:manualLayout>
      </c:layout>
      <c:overlay val="0"/>
      <c:spPr>
        <a:noFill/>
        <a:ln w="25400">
          <a:noFill/>
        </a:ln>
      </c:sp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Prop.</a:t>
            </a:r>
            <a:r>
              <a:rPr lang="en-US" baseline="0"/>
              <a:t> used due MEOP</a:t>
            </a:r>
            <a:endParaRPr lang="en-US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'First iteration &amp; Mechanical'!$Q$7</c:f>
              <c:strCache>
                <c:ptCount val="1"/>
                <c:pt idx="0">
                  <c:v>gr fuel: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ysClr val="windowText" lastClr="000000"/>
              </a:solidFill>
            </a:ln>
          </c:spPr>
          <c:invertIfNegative val="0"/>
          <c:cat>
            <c:numRef>
              <c:f>'First iteration &amp; Mechanical'!$S$8:$S$14</c:f>
              <c:numCache>
                <c:formatCode>General</c:formatCode>
                <c:ptCount val="7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15</c:v>
                </c:pt>
              </c:numCache>
            </c:numRef>
          </c:cat>
          <c:val>
            <c:numRef>
              <c:f>'First iteration &amp; Mechanical'!$Q$8:$Q$14</c:f>
              <c:numCache>
                <c:formatCode>General</c:formatCode>
                <c:ptCount val="7"/>
                <c:pt idx="0">
                  <c:v>189</c:v>
                </c:pt>
                <c:pt idx="1">
                  <c:v>176</c:v>
                </c:pt>
                <c:pt idx="2">
                  <c:v>171</c:v>
                </c:pt>
                <c:pt idx="3">
                  <c:v>170</c:v>
                </c:pt>
                <c:pt idx="4">
                  <c:v>169</c:v>
                </c:pt>
                <c:pt idx="5">
                  <c:v>168</c:v>
                </c:pt>
                <c:pt idx="6">
                  <c:v>169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C4-430C-B7DE-FC39BD4825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673920672"/>
        <c:axId val="-673922848"/>
      </c:barChart>
      <c:lineChart>
        <c:grouping val="standard"/>
        <c:varyColors val="0"/>
        <c:ser>
          <c:idx val="0"/>
          <c:order val="0"/>
          <c:tx>
            <c:strRef>
              <c:f>'First iteration &amp; Mechanical'!$R$7</c:f>
              <c:strCache>
                <c:ptCount val="1"/>
                <c:pt idx="0">
                  <c:v>Cf</c:v>
                </c:pt>
              </c:strCache>
            </c:strRef>
          </c:tx>
          <c:spPr>
            <a:ln w="19050">
              <a:solidFill>
                <a:sysClr val="windowText" lastClr="000000"/>
              </a:solidFill>
            </a:ln>
          </c:spPr>
          <c:marker>
            <c:symbol val="none"/>
          </c:marker>
          <c:cat>
            <c:numRef>
              <c:f>'First iteration &amp; Mechanical'!$S$8:$S$14</c:f>
              <c:numCache>
                <c:formatCode>General</c:formatCode>
                <c:ptCount val="7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15</c:v>
                </c:pt>
              </c:numCache>
            </c:numRef>
          </c:cat>
          <c:val>
            <c:numRef>
              <c:f>'First iteration &amp; Mechanical'!$R$8:$R$14</c:f>
              <c:numCache>
                <c:formatCode>0.0000</c:formatCode>
                <c:ptCount val="7"/>
                <c:pt idx="0">
                  <c:v>1.063376165575729</c:v>
                </c:pt>
                <c:pt idx="1">
                  <c:v>1.1595531780339037</c:v>
                </c:pt>
                <c:pt idx="2">
                  <c:v>1.2090469316422143</c:v>
                </c:pt>
                <c:pt idx="3">
                  <c:v>1.2416325526417351</c:v>
                </c:pt>
                <c:pt idx="4">
                  <c:v>1.2656075616697078</c:v>
                </c:pt>
                <c:pt idx="5">
                  <c:v>1.2844147909436945</c:v>
                </c:pt>
                <c:pt idx="6">
                  <c:v>1.3065367967488921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CC4-430C-B7DE-FC39BD4825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797534304"/>
        <c:axId val="-797545184"/>
      </c:lineChart>
      <c:catAx>
        <c:axId val="-7975343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Thrust</a:t>
                </a:r>
                <a:r>
                  <a:rPr lang="en-US" baseline="0"/>
                  <a:t> Coeff.</a:t>
                </a:r>
                <a:endParaRPr 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1100" b="0" i="1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-797545184"/>
        <c:crosses val="autoZero"/>
        <c:auto val="1"/>
        <c:lblAlgn val="ctr"/>
        <c:lblOffset val="100"/>
        <c:tickMarkSkip val="1"/>
        <c:noMultiLvlLbl val="0"/>
      </c:catAx>
      <c:valAx>
        <c:axId val="-797545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Chamber pressure (MPa)</a:t>
                </a:r>
              </a:p>
            </c:rich>
          </c:tx>
          <c:overlay val="0"/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-797534304"/>
        <c:crosses val="autoZero"/>
        <c:crossBetween val="between"/>
      </c:valAx>
      <c:catAx>
        <c:axId val="-67392067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673922848"/>
        <c:crosses val="autoZero"/>
        <c:auto val="1"/>
        <c:lblAlgn val="ctr"/>
        <c:lblOffset val="100"/>
        <c:noMultiLvlLbl val="0"/>
      </c:catAx>
      <c:valAx>
        <c:axId val="-673922848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Prop.</a:t>
                </a:r>
                <a:r>
                  <a:rPr lang="en-US" baseline="0"/>
                  <a:t> mass (grams)</a:t>
                </a:r>
                <a:endParaRPr lang="en-US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-673920672"/>
        <c:crosses val="max"/>
        <c:crossBetween val="between"/>
      </c:valAx>
      <c:dTable>
        <c:showHorzBorder val="1"/>
        <c:showVertBorder val="1"/>
        <c:showOutline val="1"/>
        <c:showKeys val="1"/>
      </c:dTable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MEOP Design Chart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'First iteration &amp; Mechanical'!$C$69</c:f>
              <c:strCache>
                <c:ptCount val="1"/>
                <c:pt idx="0">
                  <c:v>Kn</c:v>
                </c:pt>
              </c:strCache>
            </c:strRef>
          </c:tx>
          <c:marker>
            <c:symbol val="none"/>
          </c:marker>
          <c:xVal>
            <c:numRef>
              <c:f>'First iteration &amp; Mechanical'!$B$70:$B$84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xVal>
          <c:yVal>
            <c:numRef>
              <c:f>'First iteration &amp; Mechanical'!$C$70:$C$84</c:f>
              <c:numCache>
                <c:formatCode>General</c:formatCode>
                <c:ptCount val="15"/>
                <c:pt idx="0">
                  <c:v>72</c:v>
                </c:pt>
                <c:pt idx="1">
                  <c:v>115</c:v>
                </c:pt>
                <c:pt idx="2">
                  <c:v>151</c:v>
                </c:pt>
                <c:pt idx="3">
                  <c:v>184</c:v>
                </c:pt>
                <c:pt idx="4">
                  <c:v>214</c:v>
                </c:pt>
                <c:pt idx="5">
                  <c:v>242</c:v>
                </c:pt>
                <c:pt idx="6">
                  <c:v>270</c:v>
                </c:pt>
                <c:pt idx="7">
                  <c:v>295</c:v>
                </c:pt>
                <c:pt idx="8">
                  <c:v>320</c:v>
                </c:pt>
                <c:pt idx="9">
                  <c:v>343</c:v>
                </c:pt>
                <c:pt idx="10">
                  <c:v>367</c:v>
                </c:pt>
                <c:pt idx="11">
                  <c:v>388</c:v>
                </c:pt>
                <c:pt idx="12">
                  <c:v>411</c:v>
                </c:pt>
                <c:pt idx="13">
                  <c:v>432</c:v>
                </c:pt>
                <c:pt idx="14">
                  <c:v>453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72-41EA-8957-C8650FD950CA}"/>
            </c:ext>
          </c:extLst>
        </c:ser>
        <c:ser>
          <c:idx val="1"/>
          <c:order val="1"/>
          <c:tx>
            <c:strRef>
              <c:f>'First iteration &amp; Mechanical'!$D$69</c:f>
              <c:strCache>
                <c:ptCount val="1"/>
                <c:pt idx="0">
                  <c:v>Mpa sel.</c:v>
                </c:pt>
              </c:strCache>
            </c:strRef>
          </c:tx>
          <c:marker>
            <c:symbol val="triangle"/>
            <c:size val="9"/>
            <c:spPr>
              <a:ln w="12700">
                <a:solidFill>
                  <a:schemeClr val="tx1"/>
                </a:solidFill>
              </a:ln>
            </c:spPr>
          </c:marker>
          <c:dLbls>
            <c:dLbl>
              <c:idx val="0"/>
              <c:layout>
                <c:manualLayout>
                  <c:x val="-0.12074592665582182"/>
                  <c:y val="-8.0074881764880271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C72-41EA-8957-C8650FD950CA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'First iteration &amp; Mechanical'!$D$70</c:f>
              <c:numCache>
                <c:formatCode>General</c:formatCode>
                <c:ptCount val="1"/>
                <c:pt idx="0">
                  <c:v>5</c:v>
                </c:pt>
              </c:numCache>
            </c:numRef>
          </c:xVal>
          <c:yVal>
            <c:numRef>
              <c:f>'First iteration &amp; Mechanical'!$E$70</c:f>
              <c:numCache>
                <c:formatCode>General</c:formatCode>
                <c:ptCount val="1"/>
                <c:pt idx="0">
                  <c:v>214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C72-41EA-8957-C8650FD950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673923392"/>
        <c:axId val="-673924480"/>
      </c:scatterChart>
      <c:valAx>
        <c:axId val="-673923392"/>
        <c:scaling>
          <c:orientation val="minMax"/>
          <c:min val="0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Pressure Mpa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-673924480"/>
        <c:crosses val="autoZero"/>
        <c:crossBetween val="midCat"/>
      </c:valAx>
      <c:valAx>
        <c:axId val="-673924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Klemmung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-673923392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1927125354466879"/>
          <c:y val="0.52175667549051019"/>
          <c:w val="0.14901796396517394"/>
          <c:h val="0.13145464018750247"/>
        </c:manualLayout>
      </c:layout>
      <c:overlay val="0"/>
      <c:spPr>
        <a:noFill/>
        <a:ln w="25400">
          <a:noFill/>
        </a:ln>
      </c:sp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1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s-MX" sz="1600" b="1"/>
              <a:t>Diam. vs thickness ASTM A53</a:t>
            </a:r>
          </a:p>
        </c:rich>
      </c:tx>
      <c:layout>
        <c:manualLayout>
          <c:xMode val="edge"/>
          <c:yMode val="edge"/>
          <c:x val="0.27304332059193304"/>
          <c:y val="4.554152795668380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425931329044929"/>
          <c:y val="0.16677958130994139"/>
          <c:w val="0.58788445564384162"/>
          <c:h val="0.68079205374617491"/>
        </c:manualLayout>
      </c:layout>
      <c:scatterChart>
        <c:scatterStyle val="lineMarker"/>
        <c:varyColors val="0"/>
        <c:ser>
          <c:idx val="0"/>
          <c:order val="0"/>
          <c:tx>
            <c:v>Thickness Pd</c:v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6.5463193793603561E-2"/>
                  <c:y val="3.4180479179863048E-2"/>
                </c:manualLayout>
              </c:layout>
              <c:tx>
                <c:rich>
                  <a:bodyPr/>
                  <a:lstStyle/>
                  <a:p>
                    <a:fld id="{FBC7E78A-7213-4930-8576-A29D68748A53}" type="CELLRANGE">
                      <a:rPr lang="en-US"/>
                      <a:pPr/>
                      <a:t>[CELLRANGE]</a:t>
                    </a:fld>
                    <a:endParaRPr lang="es-MX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8-0D4B-4539-9D5F-51E7A9AA5630}"/>
                </c:ext>
              </c:extLst>
            </c:dLbl>
            <c:dLbl>
              <c:idx val="1"/>
              <c:layout>
                <c:manualLayout>
                  <c:x val="-3.5389903256355541E-2"/>
                  <c:y val="6.6710142006065773E-2"/>
                </c:manualLayout>
              </c:layout>
              <c:tx>
                <c:rich>
                  <a:bodyPr/>
                  <a:lstStyle/>
                  <a:p>
                    <a:fld id="{013EC8E4-6A46-4ECA-83A2-60370E1D6CF5}" type="CELLRANGE">
                      <a:rPr lang="en-US"/>
                      <a:pPr/>
                      <a:t>[CELLRANGE]</a:t>
                    </a:fld>
                    <a:endParaRPr lang="es-MX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9-0D4B-4539-9D5F-51E7A9AA5630}"/>
                </c:ext>
              </c:extLst>
            </c:dLbl>
            <c:dLbl>
              <c:idx val="2"/>
              <c:layout>
                <c:manualLayout>
                  <c:x val="-2.0047604493393802E-2"/>
                  <c:y val="0.11267333667160849"/>
                </c:manualLayout>
              </c:layout>
              <c:tx>
                <c:rich>
                  <a:bodyPr/>
                  <a:lstStyle/>
                  <a:p>
                    <a:fld id="{9984FD3A-F77B-4761-8F21-90A82AC2636B}" type="CELLRANGE">
                      <a:rPr lang="en-US"/>
                      <a:pPr/>
                      <a:t>[CELLRANGE]</a:t>
                    </a:fld>
                    <a:endParaRPr lang="es-MX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A-0D4B-4539-9D5F-51E7A9AA5630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/>
                </a:solidFill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Mechanical'!$E$94:$E$96</c:f>
              <c:numCache>
                <c:formatCode>General</c:formatCode>
                <c:ptCount val="3"/>
                <c:pt idx="0">
                  <c:v>34.397003745318358</c:v>
                </c:pt>
                <c:pt idx="1">
                  <c:v>46.861423220973791</c:v>
                </c:pt>
                <c:pt idx="2">
                  <c:v>66.637</c:v>
                </c:pt>
              </c:numCache>
            </c:numRef>
          </c:xVal>
          <c:yVal>
            <c:numRef>
              <c:f>'First iteration &amp; Mechanical'!$B$94:$B$96</c:f>
              <c:numCache>
                <c:formatCode>General</c:formatCode>
                <c:ptCount val="3"/>
                <c:pt idx="0">
                  <c:v>26.7</c:v>
                </c:pt>
                <c:pt idx="1">
                  <c:v>26.7</c:v>
                </c:pt>
                <c:pt idx="2">
                  <c:v>26.7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'First iteration &amp; Mechanical'!$D$94:$D$96</c15:f>
                <c15:dlblRangeCache>
                  <c:ptCount val="3"/>
                  <c:pt idx="0">
                    <c:v>2.87</c:v>
                  </c:pt>
                  <c:pt idx="1">
                    <c:v>3.91</c:v>
                  </c:pt>
                  <c:pt idx="2">
                    <c:v>5.56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D4B-4539-9D5F-51E7A9AA5630}"/>
            </c:ext>
          </c:extLst>
        </c:ser>
        <c:ser>
          <c:idx val="1"/>
          <c:order val="1"/>
          <c:tx>
            <c:v>Outer Diam Pd</c:v>
          </c:tx>
          <c:spPr>
            <a:ln w="25400" cap="rnd">
              <a:solidFill>
                <a:schemeClr val="accent2"/>
              </a:solidFill>
              <a:prstDash val="dashDot"/>
              <a:round/>
            </a:ln>
            <a:effectLst/>
          </c:spPr>
          <c:marker>
            <c:symbol val="none"/>
          </c:marker>
          <c:xVal>
            <c:numRef>
              <c:f>'First iteration &amp; Mechanical'!$E$97:$E$101</c:f>
              <c:numCache>
                <c:formatCode>General</c:formatCode>
                <c:ptCount val="5"/>
                <c:pt idx="0">
                  <c:v>103.46666666666667</c:v>
                </c:pt>
                <c:pt idx="1">
                  <c:v>58.127340823970044</c:v>
                </c:pt>
                <c:pt idx="2">
                  <c:v>36.777251184834121</c:v>
                </c:pt>
                <c:pt idx="3">
                  <c:v>31.04</c:v>
                </c:pt>
                <c:pt idx="4">
                  <c:v>25.866666666666667</c:v>
                </c:pt>
              </c:numCache>
            </c:numRef>
          </c:xVal>
          <c:yVal>
            <c:numRef>
              <c:f>'First iteration &amp; Mechanical'!$B$97:$B$101</c:f>
              <c:numCache>
                <c:formatCode>General</c:formatCode>
                <c:ptCount val="5"/>
                <c:pt idx="0">
                  <c:v>15</c:v>
                </c:pt>
                <c:pt idx="1">
                  <c:v>26.7</c:v>
                </c:pt>
                <c:pt idx="2">
                  <c:v>42.2</c:v>
                </c:pt>
                <c:pt idx="3">
                  <c:v>50</c:v>
                </c:pt>
                <c:pt idx="4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D4B-4539-9D5F-51E7A9AA5630}"/>
            </c:ext>
          </c:extLst>
        </c:ser>
        <c:ser>
          <c:idx val="2"/>
          <c:order val="2"/>
          <c:tx>
            <c:v>Thickness Pu</c:v>
          </c:tx>
          <c:spPr>
            <a:ln w="2540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192DC349-8B8D-4232-B783-D356BEAC9A0A}" type="CELLRANGE">
                      <a:rPr lang="en-US"/>
                      <a:pPr/>
                      <a:t>[CELLRANGE]</a:t>
                    </a:fld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B-0D4B-4539-9D5F-51E7A9AA563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D2CDC36-759E-4723-8E55-23D90BBED89C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0706-4739-9C5A-2836911C39B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04105EC-7BF0-4C88-A584-2F69D74887E6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706-4739-9C5A-2836911C39B8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/>
                </a:solidFill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Mechanical'!$F$94:$F$96</c:f>
              <c:numCache>
                <c:formatCode>General</c:formatCode>
                <c:ptCount val="3"/>
                <c:pt idx="0">
                  <c:v>92.416665765532713</c:v>
                </c:pt>
                <c:pt idx="1">
                  <c:v>125.90563175722401</c:v>
                </c:pt>
                <c:pt idx="2">
                  <c:v>179.04</c:v>
                </c:pt>
              </c:numCache>
            </c:numRef>
          </c:xVal>
          <c:yVal>
            <c:numRef>
              <c:f>'First iteration &amp; Mechanical'!$B$94:$B$96</c:f>
              <c:numCache>
                <c:formatCode>General</c:formatCode>
                <c:ptCount val="3"/>
                <c:pt idx="0">
                  <c:v>26.7</c:v>
                </c:pt>
                <c:pt idx="1">
                  <c:v>26.7</c:v>
                </c:pt>
                <c:pt idx="2">
                  <c:v>26.7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'First iteration &amp; Mechanical'!$D$94:$D$96</c15:f>
                <c15:dlblRangeCache>
                  <c:ptCount val="3"/>
                  <c:pt idx="0">
                    <c:v>2.87</c:v>
                  </c:pt>
                  <c:pt idx="1">
                    <c:v>3.91</c:v>
                  </c:pt>
                  <c:pt idx="2">
                    <c:v>5.56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0D4B-4539-9D5F-51E7A9AA5630}"/>
            </c:ext>
          </c:extLst>
        </c:ser>
        <c:ser>
          <c:idx val="3"/>
          <c:order val="3"/>
          <c:tx>
            <c:v>Outer Diam Pu</c:v>
          </c:tx>
          <c:spPr>
            <a:ln w="2540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'First iteration &amp; Mechanical'!$F$97:$F$101</c:f>
              <c:numCache>
                <c:formatCode>General</c:formatCode>
                <c:ptCount val="5"/>
                <c:pt idx="0">
                  <c:v>277.99061865987585</c:v>
                </c:pt>
                <c:pt idx="1">
                  <c:v>156.17450486509881</c:v>
                </c:pt>
                <c:pt idx="2">
                  <c:v>98.811831277207062</c:v>
                </c:pt>
                <c:pt idx="3">
                  <c:v>83.397185597962775</c:v>
                </c:pt>
                <c:pt idx="4">
                  <c:v>69.497654664968962</c:v>
                </c:pt>
              </c:numCache>
            </c:numRef>
          </c:xVal>
          <c:yVal>
            <c:numRef>
              <c:f>'First iteration &amp; Mechanical'!$B$97:$B$101</c:f>
              <c:numCache>
                <c:formatCode>General</c:formatCode>
                <c:ptCount val="5"/>
                <c:pt idx="0">
                  <c:v>15</c:v>
                </c:pt>
                <c:pt idx="1">
                  <c:v>26.7</c:v>
                </c:pt>
                <c:pt idx="2">
                  <c:v>42.2</c:v>
                </c:pt>
                <c:pt idx="3">
                  <c:v>50</c:v>
                </c:pt>
                <c:pt idx="4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D4B-4539-9D5F-51E7A9AA5630}"/>
            </c:ext>
          </c:extLst>
        </c:ser>
        <c:ser>
          <c:idx val="4"/>
          <c:order val="4"/>
          <c:tx>
            <c:v>Lucia V1 Pd</c:v>
          </c:tx>
          <c:spPr>
            <a:ln w="1905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'First iteration &amp; Mechanical'!$D$104</c:f>
              <c:numCache>
                <c:formatCode>0.00</c:formatCode>
                <c:ptCount val="1"/>
                <c:pt idx="0">
                  <c:v>12.294736842105262</c:v>
                </c:pt>
              </c:numCache>
            </c:numRef>
          </c:xVal>
          <c:yVal>
            <c:numRef>
              <c:f>'First iteration &amp; Mechanical'!$B$104</c:f>
              <c:numCache>
                <c:formatCode>General</c:formatCode>
                <c:ptCount val="1"/>
                <c:pt idx="0">
                  <c:v>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706-4739-9C5A-2836911C39B8}"/>
            </c:ext>
          </c:extLst>
        </c:ser>
        <c:ser>
          <c:idx val="5"/>
          <c:order val="5"/>
          <c:tx>
            <c:v>Lucia V1 Pd temp</c:v>
          </c:tx>
          <c:spPr>
            <a:ln w="1905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rgbClr val="FF0000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4.0502027470932507E-17"/>
                  <c:y val="5.8883466918891909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1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6E632EA1-4E6D-4114-9FE4-B35328765E61}" type="CELLRANGE">
                      <a:rPr lang="en-US"/>
                      <a:pPr>
                        <a:defRPr/>
                      </a:pPr>
                      <a:t>[CELLRANGE]</a:t>
                    </a:fld>
                    <a:endParaRPr lang="es-MX"/>
                  </a:p>
                </c:rich>
              </c:tx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706-4739-9C5A-2836911C39B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Mechanical'!$D$105</c:f>
              <c:numCache>
                <c:formatCode>0.00</c:formatCode>
                <c:ptCount val="1"/>
                <c:pt idx="0">
                  <c:v>7.3768421052631581</c:v>
                </c:pt>
              </c:numCache>
            </c:numRef>
          </c:xVal>
          <c:yVal>
            <c:numRef>
              <c:f>'First iteration &amp; Mechanical'!$B$104</c:f>
              <c:numCache>
                <c:formatCode>General</c:formatCode>
                <c:ptCount val="1"/>
                <c:pt idx="0">
                  <c:v>38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'First iteration &amp; Mechanical'!$C$104</c15:f>
                <c15:dlblRangeCache>
                  <c:ptCount val="1"/>
                  <c:pt idx="0">
                    <c:v>1.46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4-0706-4739-9C5A-2836911C39B8}"/>
            </c:ext>
          </c:extLst>
        </c:ser>
        <c:ser>
          <c:idx val="6"/>
          <c:order val="6"/>
          <c:tx>
            <c:v>Lucia V1 Pd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'First iteration &amp; Mechanical'!$D$106</c:f>
              <c:numCache>
                <c:formatCode>0.00</c:formatCode>
                <c:ptCount val="1"/>
                <c:pt idx="0">
                  <c:v>26.995260663507107</c:v>
                </c:pt>
              </c:numCache>
            </c:numRef>
          </c:xVal>
          <c:yVal>
            <c:numRef>
              <c:f>'First iteration &amp; Mechanical'!$B$106</c:f>
              <c:numCache>
                <c:formatCode>General</c:formatCode>
                <c:ptCount val="1"/>
                <c:pt idx="0">
                  <c:v>42.2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706-4739-9C5A-2836911C39B8}"/>
            </c:ext>
          </c:extLst>
        </c:ser>
        <c:ser>
          <c:idx val="7"/>
          <c:order val="7"/>
          <c:tx>
            <c:v>Lucia V1 Pd temp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2.8719951250883495E-2"/>
                  <c:y val="-6.9274666963402315E-2"/>
                </c:manualLayout>
              </c:layout>
              <c:tx>
                <c:rich>
                  <a:bodyPr/>
                  <a:lstStyle/>
                  <a:p>
                    <a:fld id="{BD02DA6F-2D07-4606-A54C-C5CBB704A072}" type="CELLRANGE">
                      <a:rPr lang="en-US"/>
                      <a:pPr/>
                      <a:t>[CELLRANGE]</a:t>
                    </a:fld>
                    <a:endParaRPr lang="es-MX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6-0706-4739-9C5A-2836911C39B8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Mechanical'!$D$107</c:f>
              <c:numCache>
                <c:formatCode>0.00</c:formatCode>
                <c:ptCount val="1"/>
                <c:pt idx="0">
                  <c:v>16.197156398104301</c:v>
                </c:pt>
              </c:numCache>
            </c:numRef>
          </c:xVal>
          <c:yVal>
            <c:numRef>
              <c:f>'First iteration &amp; Mechanical'!$B$106</c:f>
              <c:numCache>
                <c:formatCode>General</c:formatCode>
                <c:ptCount val="1"/>
                <c:pt idx="0">
                  <c:v>42.2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'First iteration &amp; Mechanical'!$C$106</c15:f>
                <c15:dlblRangeCache>
                  <c:ptCount val="1"/>
                  <c:pt idx="0">
                    <c:v>3.56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7-0706-4739-9C5A-2836911C39B8}"/>
            </c:ext>
          </c:extLst>
        </c:ser>
        <c:ser>
          <c:idx val="8"/>
          <c:order val="8"/>
          <c:tx>
            <c:v>Lucia V1 Pu (failure)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triangle"/>
            <c:size val="5"/>
            <c:spPr>
              <a:solidFill>
                <a:srgbClr val="FFFF00"/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5.2745208108315442E-2"/>
                  <c:y val="-0.11083946714144363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1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9F89F2C3-F1EB-442A-8491-D92DFEE7D55B}" type="CELLRANGE">
                      <a:rPr lang="en-US" baseline="0"/>
                      <a:pPr>
                        <a:defRPr/>
                      </a:pPr>
                      <a:t>[CELLRANGE]</a:t>
                    </a:fld>
                    <a:r>
                      <a:rPr lang="en-US" baseline="0"/>
                      <a:t>, </a:t>
                    </a:r>
                    <a:fld id="{1F22D334-3C9A-44CD-9FE8-BD82A2A3B065}" type="XVALUE">
                      <a:rPr lang="en-US" baseline="0"/>
                      <a:pPr>
                        <a:defRPr/>
                      </a:pPr>
                      <a:t>[VALOR DE X]</a:t>
                    </a:fld>
                    <a:r>
                      <a:rPr lang="en-US" baseline="0"/>
                      <a:t>, </a:t>
                    </a:r>
                    <a:fld id="{311151D8-3D5F-4F4C-A6C7-8F578585D33D}" type="YVALUE">
                      <a:rPr lang="en-US" baseline="0"/>
                      <a:pPr>
                        <a:defRPr/>
                      </a:pPr>
                      <a:t>[VALOR DE Y]</a:t>
                    </a:fld>
                    <a:endParaRPr lang="en-US" baseline="0"/>
                  </a:p>
                </c:rich>
              </c:tx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8-0706-4739-9C5A-2836911C39B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Mechanical'!$E$106</c:f>
              <c:numCache>
                <c:formatCode>0.00</c:formatCode>
                <c:ptCount val="1"/>
                <c:pt idx="0">
                  <c:v>72.529921514815896</c:v>
                </c:pt>
              </c:numCache>
            </c:numRef>
          </c:xVal>
          <c:yVal>
            <c:numRef>
              <c:f>'First iteration &amp; Mechanical'!$B$106</c:f>
              <c:numCache>
                <c:formatCode>General</c:formatCode>
                <c:ptCount val="1"/>
                <c:pt idx="0">
                  <c:v>42.2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'First iteration &amp; Mechanical'!$F$104</c15:f>
                <c15:dlblRangeCache>
                  <c:ptCount val="1"/>
                  <c:pt idx="0">
                    <c:v>FAILURE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9-0706-4739-9C5A-2836911C39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673926112"/>
        <c:axId val="-673925568"/>
      </c:scatterChart>
      <c:valAx>
        <c:axId val="-673926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Pressure (MPa)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-673925568"/>
        <c:crosses val="autoZero"/>
        <c:crossBetween val="midCat"/>
      </c:valAx>
      <c:valAx>
        <c:axId val="-673925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Diameter (mm)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-6739261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3294794208763603"/>
          <c:y val="0.22442019285630907"/>
          <c:w val="0.24495978771937671"/>
          <c:h val="0.5594725743229901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i="0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200"/>
              <a:t>Kn  vs  Web Regression         </a:t>
            </a:r>
          </a:p>
        </c:rich>
      </c:tx>
      <c:layout>
        <c:manualLayout>
          <c:xMode val="edge"/>
          <c:yMode val="edge"/>
          <c:x val="0.25108367601590786"/>
          <c:y val="0.13692339030140316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117654154976201"/>
          <c:y val="0.24000013020840397"/>
          <c:w val="0.59608042880811585"/>
          <c:h val="0.48888915412823031"/>
        </c:manualLayout>
      </c:layout>
      <c:scatterChart>
        <c:scatterStyle val="smoothMarker"/>
        <c:varyColors val="0"/>
        <c:ser>
          <c:idx val="1"/>
          <c:order val="1"/>
          <c:tx>
            <c:v>Kn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'Data and Kn'!$C$45:$C$95</c:f>
              <c:numCache>
                <c:formatCode>0.00</c:formatCode>
                <c:ptCount val="51"/>
                <c:pt idx="0">
                  <c:v>0</c:v>
                </c:pt>
                <c:pt idx="1">
                  <c:v>0.1107999999999999</c:v>
                </c:pt>
                <c:pt idx="2">
                  <c:v>0.2215999999999998</c:v>
                </c:pt>
                <c:pt idx="3">
                  <c:v>0.3323999999999997</c:v>
                </c:pt>
                <c:pt idx="4">
                  <c:v>0.44319999999999959</c:v>
                </c:pt>
                <c:pt idx="5">
                  <c:v>0.55399999999999949</c:v>
                </c:pt>
                <c:pt idx="6">
                  <c:v>0.66479999999999939</c:v>
                </c:pt>
                <c:pt idx="7">
                  <c:v>0.77559999999999929</c:v>
                </c:pt>
                <c:pt idx="8">
                  <c:v>0.88639999999999919</c:v>
                </c:pt>
                <c:pt idx="9">
                  <c:v>0.99719999999999909</c:v>
                </c:pt>
                <c:pt idx="10">
                  <c:v>1.107999999999999</c:v>
                </c:pt>
                <c:pt idx="11">
                  <c:v>1.218799999999999</c:v>
                </c:pt>
                <c:pt idx="12">
                  <c:v>1.3295999999999988</c:v>
                </c:pt>
                <c:pt idx="13">
                  <c:v>1.4403999999999986</c:v>
                </c:pt>
                <c:pt idx="14">
                  <c:v>1.5511999999999984</c:v>
                </c:pt>
                <c:pt idx="15">
                  <c:v>1.6619999999999981</c:v>
                </c:pt>
                <c:pt idx="16">
                  <c:v>1.7727999999999979</c:v>
                </c:pt>
                <c:pt idx="17">
                  <c:v>1.8835999999999977</c:v>
                </c:pt>
                <c:pt idx="18">
                  <c:v>1.9943999999999975</c:v>
                </c:pt>
                <c:pt idx="19">
                  <c:v>2.1051999999999973</c:v>
                </c:pt>
                <c:pt idx="20">
                  <c:v>2.2159999999999971</c:v>
                </c:pt>
                <c:pt idx="21">
                  <c:v>2.3267999999999969</c:v>
                </c:pt>
                <c:pt idx="22">
                  <c:v>2.4375999999999967</c:v>
                </c:pt>
                <c:pt idx="23">
                  <c:v>2.5483999999999964</c:v>
                </c:pt>
                <c:pt idx="24">
                  <c:v>2.6591999999999962</c:v>
                </c:pt>
                <c:pt idx="25">
                  <c:v>2.769999999999996</c:v>
                </c:pt>
                <c:pt idx="26">
                  <c:v>2.8807999999999958</c:v>
                </c:pt>
                <c:pt idx="27">
                  <c:v>2.9915999999999956</c:v>
                </c:pt>
                <c:pt idx="28">
                  <c:v>3.1023999999999954</c:v>
                </c:pt>
                <c:pt idx="29">
                  <c:v>3.2131999999999952</c:v>
                </c:pt>
                <c:pt idx="30">
                  <c:v>3.323999999999995</c:v>
                </c:pt>
                <c:pt idx="31">
                  <c:v>3.4347999999999947</c:v>
                </c:pt>
                <c:pt idx="32">
                  <c:v>3.5455999999999945</c:v>
                </c:pt>
                <c:pt idx="33">
                  <c:v>3.6563999999999943</c:v>
                </c:pt>
                <c:pt idx="34">
                  <c:v>3.7671999999999941</c:v>
                </c:pt>
                <c:pt idx="35">
                  <c:v>3.8779999999999939</c:v>
                </c:pt>
                <c:pt idx="36">
                  <c:v>3.9887999999999937</c:v>
                </c:pt>
                <c:pt idx="37">
                  <c:v>4.0995999999999935</c:v>
                </c:pt>
                <c:pt idx="38">
                  <c:v>4.2103999999999937</c:v>
                </c:pt>
                <c:pt idx="39">
                  <c:v>4.3211999999999939</c:v>
                </c:pt>
                <c:pt idx="40">
                  <c:v>4.4319999999999942</c:v>
                </c:pt>
                <c:pt idx="41">
                  <c:v>4.5427999999999944</c:v>
                </c:pt>
                <c:pt idx="42">
                  <c:v>4.6535999999999946</c:v>
                </c:pt>
                <c:pt idx="43">
                  <c:v>4.7643999999999949</c:v>
                </c:pt>
                <c:pt idx="44">
                  <c:v>4.8751999999999951</c:v>
                </c:pt>
                <c:pt idx="45">
                  <c:v>4.9859999999999953</c:v>
                </c:pt>
                <c:pt idx="46">
                  <c:v>5.0967999999999956</c:v>
                </c:pt>
                <c:pt idx="47">
                  <c:v>5.2075999999999958</c:v>
                </c:pt>
                <c:pt idx="48">
                  <c:v>5.318399999999996</c:v>
                </c:pt>
                <c:pt idx="49">
                  <c:v>5.4291999999999963</c:v>
                </c:pt>
                <c:pt idx="50">
                  <c:v>5.5399999999999965</c:v>
                </c:pt>
              </c:numCache>
            </c:numRef>
          </c:xVal>
          <c:yVal>
            <c:numRef>
              <c:f>'Data and Kn'!$M$45:$M$95</c:f>
              <c:numCache>
                <c:formatCode>0.0</c:formatCode>
                <c:ptCount val="51"/>
                <c:pt idx="0">
                  <c:v>218.82879788504397</c:v>
                </c:pt>
                <c:pt idx="1">
                  <c:v>219.38629988825392</c:v>
                </c:pt>
                <c:pt idx="2">
                  <c:v>219.92101873157952</c:v>
                </c:pt>
                <c:pt idx="3">
                  <c:v>220.43295441502087</c:v>
                </c:pt>
                <c:pt idx="4">
                  <c:v>220.92210693857783</c:v>
                </c:pt>
                <c:pt idx="5">
                  <c:v>221.38847630225058</c:v>
                </c:pt>
                <c:pt idx="6">
                  <c:v>221.83206250603899</c:v>
                </c:pt>
                <c:pt idx="7">
                  <c:v>222.25286554994301</c:v>
                </c:pt>
                <c:pt idx="8">
                  <c:v>222.65088543396283</c:v>
                </c:pt>
                <c:pt idx="9">
                  <c:v>223.02612215809833</c:v>
                </c:pt>
                <c:pt idx="10">
                  <c:v>223.37857572234947</c:v>
                </c:pt>
                <c:pt idx="11">
                  <c:v>223.70824612671635</c:v>
                </c:pt>
                <c:pt idx="12">
                  <c:v>224.01513337119889</c:v>
                </c:pt>
                <c:pt idx="13">
                  <c:v>224.29923745579714</c:v>
                </c:pt>
                <c:pt idx="14">
                  <c:v>224.56055838051103</c:v>
                </c:pt>
                <c:pt idx="15">
                  <c:v>224.79909614534068</c:v>
                </c:pt>
                <c:pt idx="16">
                  <c:v>225.014850750286</c:v>
                </c:pt>
                <c:pt idx="17">
                  <c:v>225.20782219534701</c:v>
                </c:pt>
                <c:pt idx="18">
                  <c:v>225.3780104805237</c:v>
                </c:pt>
                <c:pt idx="19">
                  <c:v>225.52541560581608</c:v>
                </c:pt>
                <c:pt idx="20">
                  <c:v>225.6500375712242</c:v>
                </c:pt>
                <c:pt idx="21">
                  <c:v>225.75187637674802</c:v>
                </c:pt>
                <c:pt idx="22">
                  <c:v>225.83093202238746</c:v>
                </c:pt>
                <c:pt idx="23">
                  <c:v>225.88720450814262</c:v>
                </c:pt>
                <c:pt idx="24">
                  <c:v>225.92069383401346</c:v>
                </c:pt>
                <c:pt idx="25">
                  <c:v>225.9314</c:v>
                </c:pt>
                <c:pt idx="26">
                  <c:v>225.91932300610227</c:v>
                </c:pt>
                <c:pt idx="27">
                  <c:v>225.88446285232015</c:v>
                </c:pt>
                <c:pt idx="28">
                  <c:v>225.82681953865381</c:v>
                </c:pt>
                <c:pt idx="29">
                  <c:v>225.74639306510312</c:v>
                </c:pt>
                <c:pt idx="30">
                  <c:v>225.64318343166812</c:v>
                </c:pt>
                <c:pt idx="31">
                  <c:v>225.51719063834886</c:v>
                </c:pt>
                <c:pt idx="32">
                  <c:v>225.36841468514527</c:v>
                </c:pt>
                <c:pt idx="33">
                  <c:v>225.19685557205733</c:v>
                </c:pt>
                <c:pt idx="34">
                  <c:v>225.00251329908511</c:v>
                </c:pt>
                <c:pt idx="35">
                  <c:v>224.78538786622863</c:v>
                </c:pt>
                <c:pt idx="36">
                  <c:v>224.54547927348773</c:v>
                </c:pt>
                <c:pt idx="37">
                  <c:v>224.28278752086263</c:v>
                </c:pt>
                <c:pt idx="38">
                  <c:v>223.99731260835318</c:v>
                </c:pt>
                <c:pt idx="39">
                  <c:v>223.68905453595937</c:v>
                </c:pt>
                <c:pt idx="40">
                  <c:v>223.35801330368136</c:v>
                </c:pt>
                <c:pt idx="41">
                  <c:v>223.00418891151892</c:v>
                </c:pt>
                <c:pt idx="42">
                  <c:v>222.62758135947229</c:v>
                </c:pt>
                <c:pt idx="43">
                  <c:v>222.22819064754128</c:v>
                </c:pt>
                <c:pt idx="44">
                  <c:v>221.80601677572602</c:v>
                </c:pt>
                <c:pt idx="45">
                  <c:v>221.36105974402642</c:v>
                </c:pt>
                <c:pt idx="46">
                  <c:v>220.89331955244251</c:v>
                </c:pt>
                <c:pt idx="47">
                  <c:v>220.40279620097425</c:v>
                </c:pt>
                <c:pt idx="48">
                  <c:v>219.88948968962171</c:v>
                </c:pt>
                <c:pt idx="49">
                  <c:v>219.35340001838486</c:v>
                </c:pt>
                <c:pt idx="50">
                  <c:v>218.79452718726375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DD8-4D38-BB8D-17661822F8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673921760"/>
        <c:axId val="-673925024"/>
      </c:scatterChart>
      <c:scatterChart>
        <c:scatterStyle val="lineMarker"/>
        <c:varyColors val="0"/>
        <c:ser>
          <c:idx val="0"/>
          <c:order val="0"/>
          <c:tx>
            <c:v>web thickness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'Data and Kn'!$C$45:$C$95</c:f>
              <c:numCache>
                <c:formatCode>0.00</c:formatCode>
                <c:ptCount val="51"/>
                <c:pt idx="0">
                  <c:v>0</c:v>
                </c:pt>
                <c:pt idx="1">
                  <c:v>0.1107999999999999</c:v>
                </c:pt>
                <c:pt idx="2">
                  <c:v>0.2215999999999998</c:v>
                </c:pt>
                <c:pt idx="3">
                  <c:v>0.3323999999999997</c:v>
                </c:pt>
                <c:pt idx="4">
                  <c:v>0.44319999999999959</c:v>
                </c:pt>
                <c:pt idx="5">
                  <c:v>0.55399999999999949</c:v>
                </c:pt>
                <c:pt idx="6">
                  <c:v>0.66479999999999939</c:v>
                </c:pt>
                <c:pt idx="7">
                  <c:v>0.77559999999999929</c:v>
                </c:pt>
                <c:pt idx="8">
                  <c:v>0.88639999999999919</c:v>
                </c:pt>
                <c:pt idx="9">
                  <c:v>0.99719999999999909</c:v>
                </c:pt>
                <c:pt idx="10">
                  <c:v>1.107999999999999</c:v>
                </c:pt>
                <c:pt idx="11">
                  <c:v>1.218799999999999</c:v>
                </c:pt>
                <c:pt idx="12">
                  <c:v>1.3295999999999988</c:v>
                </c:pt>
                <c:pt idx="13">
                  <c:v>1.4403999999999986</c:v>
                </c:pt>
                <c:pt idx="14">
                  <c:v>1.5511999999999984</c:v>
                </c:pt>
                <c:pt idx="15">
                  <c:v>1.6619999999999981</c:v>
                </c:pt>
                <c:pt idx="16">
                  <c:v>1.7727999999999979</c:v>
                </c:pt>
                <c:pt idx="17">
                  <c:v>1.8835999999999977</c:v>
                </c:pt>
                <c:pt idx="18">
                  <c:v>1.9943999999999975</c:v>
                </c:pt>
                <c:pt idx="19">
                  <c:v>2.1051999999999973</c:v>
                </c:pt>
                <c:pt idx="20">
                  <c:v>2.2159999999999971</c:v>
                </c:pt>
                <c:pt idx="21">
                  <c:v>2.3267999999999969</c:v>
                </c:pt>
                <c:pt idx="22">
                  <c:v>2.4375999999999967</c:v>
                </c:pt>
                <c:pt idx="23">
                  <c:v>2.5483999999999964</c:v>
                </c:pt>
                <c:pt idx="24">
                  <c:v>2.6591999999999962</c:v>
                </c:pt>
                <c:pt idx="25">
                  <c:v>2.769999999999996</c:v>
                </c:pt>
                <c:pt idx="26">
                  <c:v>2.8807999999999958</c:v>
                </c:pt>
                <c:pt idx="27">
                  <c:v>2.9915999999999956</c:v>
                </c:pt>
                <c:pt idx="28">
                  <c:v>3.1023999999999954</c:v>
                </c:pt>
                <c:pt idx="29">
                  <c:v>3.2131999999999952</c:v>
                </c:pt>
                <c:pt idx="30">
                  <c:v>3.323999999999995</c:v>
                </c:pt>
                <c:pt idx="31">
                  <c:v>3.4347999999999947</c:v>
                </c:pt>
                <c:pt idx="32">
                  <c:v>3.5455999999999945</c:v>
                </c:pt>
                <c:pt idx="33">
                  <c:v>3.6563999999999943</c:v>
                </c:pt>
                <c:pt idx="34">
                  <c:v>3.7671999999999941</c:v>
                </c:pt>
                <c:pt idx="35">
                  <c:v>3.8779999999999939</c:v>
                </c:pt>
                <c:pt idx="36">
                  <c:v>3.9887999999999937</c:v>
                </c:pt>
                <c:pt idx="37">
                  <c:v>4.0995999999999935</c:v>
                </c:pt>
                <c:pt idx="38">
                  <c:v>4.2103999999999937</c:v>
                </c:pt>
                <c:pt idx="39">
                  <c:v>4.3211999999999939</c:v>
                </c:pt>
                <c:pt idx="40">
                  <c:v>4.4319999999999942</c:v>
                </c:pt>
                <c:pt idx="41">
                  <c:v>4.5427999999999944</c:v>
                </c:pt>
                <c:pt idx="42">
                  <c:v>4.6535999999999946</c:v>
                </c:pt>
                <c:pt idx="43">
                  <c:v>4.7643999999999949</c:v>
                </c:pt>
                <c:pt idx="44">
                  <c:v>4.8751999999999951</c:v>
                </c:pt>
                <c:pt idx="45">
                  <c:v>4.9859999999999953</c:v>
                </c:pt>
                <c:pt idx="46">
                  <c:v>5.0967999999999956</c:v>
                </c:pt>
                <c:pt idx="47">
                  <c:v>5.2075999999999958</c:v>
                </c:pt>
                <c:pt idx="48">
                  <c:v>5.318399999999996</c:v>
                </c:pt>
                <c:pt idx="49">
                  <c:v>5.4291999999999963</c:v>
                </c:pt>
                <c:pt idx="50">
                  <c:v>5.5399999999999965</c:v>
                </c:pt>
              </c:numCache>
            </c:numRef>
          </c:xVal>
          <c:yVal>
            <c:numRef>
              <c:f>'Data and Kn'!$G$45:$G$95</c:f>
              <c:numCache>
                <c:formatCode>0.00</c:formatCode>
                <c:ptCount val="51"/>
                <c:pt idx="0">
                  <c:v>5.5399999999999991</c:v>
                </c:pt>
                <c:pt idx="1">
                  <c:v>5.4291999999999998</c:v>
                </c:pt>
                <c:pt idx="2">
                  <c:v>5.3183999999999987</c:v>
                </c:pt>
                <c:pt idx="3">
                  <c:v>5.2075999999999993</c:v>
                </c:pt>
                <c:pt idx="4">
                  <c:v>5.0968</c:v>
                </c:pt>
                <c:pt idx="5">
                  <c:v>4.9859999999999989</c:v>
                </c:pt>
                <c:pt idx="6">
                  <c:v>4.8751999999999995</c:v>
                </c:pt>
                <c:pt idx="7">
                  <c:v>4.7644000000000002</c:v>
                </c:pt>
                <c:pt idx="8">
                  <c:v>4.6536000000000008</c:v>
                </c:pt>
                <c:pt idx="9">
                  <c:v>4.5427999999999997</c:v>
                </c:pt>
                <c:pt idx="10">
                  <c:v>4.4320000000000004</c:v>
                </c:pt>
                <c:pt idx="11">
                  <c:v>4.321200000000001</c:v>
                </c:pt>
                <c:pt idx="12">
                  <c:v>4.2103999999999999</c:v>
                </c:pt>
                <c:pt idx="13">
                  <c:v>4.0996000000000006</c:v>
                </c:pt>
                <c:pt idx="14">
                  <c:v>3.9888000000000012</c:v>
                </c:pt>
                <c:pt idx="15">
                  <c:v>3.8780000000000001</c:v>
                </c:pt>
                <c:pt idx="16">
                  <c:v>3.7672000000000008</c:v>
                </c:pt>
                <c:pt idx="17">
                  <c:v>3.6564000000000014</c:v>
                </c:pt>
                <c:pt idx="18">
                  <c:v>3.5456000000000021</c:v>
                </c:pt>
                <c:pt idx="19">
                  <c:v>3.4348000000000027</c:v>
                </c:pt>
                <c:pt idx="20">
                  <c:v>3.3240000000000016</c:v>
                </c:pt>
                <c:pt idx="21">
                  <c:v>3.2132000000000023</c:v>
                </c:pt>
                <c:pt idx="22">
                  <c:v>3.1024000000000029</c:v>
                </c:pt>
                <c:pt idx="23">
                  <c:v>2.9916000000000018</c:v>
                </c:pt>
                <c:pt idx="24">
                  <c:v>2.8808000000000025</c:v>
                </c:pt>
                <c:pt idx="25">
                  <c:v>2.7700000000000031</c:v>
                </c:pt>
                <c:pt idx="26">
                  <c:v>2.6592000000000038</c:v>
                </c:pt>
                <c:pt idx="27">
                  <c:v>2.5484000000000044</c:v>
                </c:pt>
                <c:pt idx="28">
                  <c:v>2.4376000000000033</c:v>
                </c:pt>
                <c:pt idx="29">
                  <c:v>2.326800000000004</c:v>
                </c:pt>
                <c:pt idx="30">
                  <c:v>2.2160000000000046</c:v>
                </c:pt>
                <c:pt idx="31">
                  <c:v>2.1052000000000035</c:v>
                </c:pt>
                <c:pt idx="32">
                  <c:v>1.9944000000000042</c:v>
                </c:pt>
                <c:pt idx="33">
                  <c:v>1.8836000000000048</c:v>
                </c:pt>
                <c:pt idx="34">
                  <c:v>1.7728000000000055</c:v>
                </c:pt>
                <c:pt idx="35">
                  <c:v>1.6620000000000061</c:v>
                </c:pt>
                <c:pt idx="36">
                  <c:v>1.551200000000005</c:v>
                </c:pt>
                <c:pt idx="37">
                  <c:v>1.4404000000000057</c:v>
                </c:pt>
                <c:pt idx="38">
                  <c:v>1.3296000000000063</c:v>
                </c:pt>
                <c:pt idx="39">
                  <c:v>1.2188000000000052</c:v>
                </c:pt>
                <c:pt idx="40">
                  <c:v>1.1080000000000041</c:v>
                </c:pt>
                <c:pt idx="41">
                  <c:v>0.99720000000000475</c:v>
                </c:pt>
                <c:pt idx="42">
                  <c:v>0.88640000000000541</c:v>
                </c:pt>
                <c:pt idx="43">
                  <c:v>0.77560000000000429</c:v>
                </c:pt>
                <c:pt idx="44">
                  <c:v>0.66480000000000317</c:v>
                </c:pt>
                <c:pt idx="45">
                  <c:v>0.55400000000000382</c:v>
                </c:pt>
                <c:pt idx="46">
                  <c:v>0.44320000000000448</c:v>
                </c:pt>
                <c:pt idx="47">
                  <c:v>0.33240000000000336</c:v>
                </c:pt>
                <c:pt idx="48">
                  <c:v>0.22160000000000224</c:v>
                </c:pt>
                <c:pt idx="49">
                  <c:v>0.1108000000000029</c:v>
                </c:pt>
                <c:pt idx="50">
                  <c:v>3.5527136788005009E-15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DD8-4D38-BB8D-17661822F8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673919040"/>
        <c:axId val="-673921216"/>
      </c:scatterChart>
      <c:valAx>
        <c:axId val="-673921760"/>
        <c:scaling>
          <c:orientation val="minMax"/>
          <c:min val="0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Web Regression  (mm)</a:t>
                </a:r>
              </a:p>
            </c:rich>
          </c:tx>
          <c:layout>
            <c:manualLayout>
              <c:xMode val="edge"/>
              <c:yMode val="edge"/>
              <c:x val="0.28503598935378976"/>
              <c:y val="0.7871795128662352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673925024"/>
        <c:crosses val="autoZero"/>
        <c:crossBetween val="midCat"/>
        <c:majorUnit val="2"/>
      </c:valAx>
      <c:valAx>
        <c:axId val="-673925024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ptos Narrow"/>
                    <a:ea typeface="Aptos Narrow"/>
                    <a:cs typeface="Aptos Narrow"/>
                  </a:defRPr>
                </a:pPr>
                <a:r>
                  <a:rPr lang="en-US" sz="1200" b="1" i="0" u="none" strike="noStrike" baseline="0">
                    <a:solidFill>
                      <a:srgbClr val="FF0000"/>
                    </a:solidFill>
                    <a:latin typeface="Arial"/>
                    <a:cs typeface="Arial"/>
                  </a:rPr>
                  <a:t>K</a:t>
                </a:r>
                <a:r>
                  <a:rPr lang="en-US" sz="900" b="1" i="0" u="none" strike="noStrike" baseline="0">
                    <a:solidFill>
                      <a:srgbClr val="FF0000"/>
                    </a:solidFill>
                    <a:latin typeface="Arial"/>
                    <a:cs typeface="Arial"/>
                  </a:rPr>
                  <a:t>n</a:t>
                </a:r>
              </a:p>
            </c:rich>
          </c:tx>
          <c:layout>
            <c:manualLayout>
              <c:xMode val="edge"/>
              <c:yMode val="edge"/>
              <c:x val="3.3254347304947536E-2"/>
              <c:y val="0.4282055391930970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FF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673921760"/>
        <c:crosses val="autoZero"/>
        <c:crossBetween val="midCat"/>
      </c:valAx>
      <c:valAx>
        <c:axId val="-67391904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-673921216"/>
        <c:crosses val="autoZero"/>
        <c:crossBetween val="midCat"/>
      </c:valAx>
      <c:valAx>
        <c:axId val="-673921216"/>
        <c:scaling>
          <c:orientation val="minMax"/>
          <c:min val="0"/>
        </c:scaling>
        <c:delete val="0"/>
        <c:axPos val="r"/>
        <c:title>
          <c:tx>
            <c:rich>
              <a:bodyPr/>
              <a:lstStyle/>
              <a:p>
                <a:pPr>
                  <a:defRPr sz="1075" b="1" i="0" u="none" strike="noStrike" baseline="0">
                    <a:solidFill>
                      <a:srgbClr val="333399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web thickness</a:t>
                </a:r>
              </a:p>
            </c:rich>
          </c:tx>
          <c:layout>
            <c:manualLayout>
              <c:xMode val="edge"/>
              <c:yMode val="edge"/>
              <c:x val="0.88123605450957976"/>
              <c:y val="0.3230770771974113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333399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673919040"/>
        <c:crosses val="max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27401359666107311"/>
          <c:y val="0.90079207656294868"/>
          <c:w val="0.46137337341029089"/>
          <c:h val="6.615976438059745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'Heat Transfer'!$N$70</c:f>
          <c:strCache>
            <c:ptCount val="1"/>
            <c:pt idx="0">
              <c:v>Case-only convective analysis </c:v>
            </c:pt>
          </c:strCache>
        </c:strRef>
      </c:tx>
      <c:overlay val="0"/>
      <c:spPr>
        <a:noFill/>
        <a:ln w="25400">
          <a:noFill/>
        </a:ln>
      </c:spPr>
      <c:txPr>
        <a:bodyPr rot="0" vert="horz"/>
        <a:lstStyle/>
        <a:p>
          <a:pPr>
            <a:defRPr b="1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'Heat Transfer'!$O$74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'Heat Transfer'!$P$72:$T$72</c:f>
              <c:numCache>
                <c:formatCode>General</c:formatCode>
                <c:ptCount val="5"/>
                <c:pt idx="0">
                  <c:v>0</c:v>
                </c:pt>
                <c:pt idx="1">
                  <c:v>0.89</c:v>
                </c:pt>
                <c:pt idx="2">
                  <c:v>1.78</c:v>
                </c:pt>
                <c:pt idx="3">
                  <c:v>2.67</c:v>
                </c:pt>
                <c:pt idx="4">
                  <c:v>3.56</c:v>
                </c:pt>
              </c:numCache>
            </c:numRef>
          </c:xVal>
          <c:yVal>
            <c:numRef>
              <c:f>'Heat Transfer'!$P$74:$T$74</c:f>
              <c:numCache>
                <c:formatCode>0.00</c:formatCode>
                <c:ptCount val="5"/>
                <c:pt idx="0">
                  <c:v>298</c:v>
                </c:pt>
                <c:pt idx="1">
                  <c:v>298</c:v>
                </c:pt>
                <c:pt idx="2">
                  <c:v>298</c:v>
                </c:pt>
                <c:pt idx="3">
                  <c:v>298</c:v>
                </c:pt>
                <c:pt idx="4">
                  <c:v>298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38-4DE4-A83A-0D3AB6DC8C74}"/>
            </c:ext>
          </c:extLst>
        </c:ser>
        <c:ser>
          <c:idx val="1"/>
          <c:order val="1"/>
          <c:tx>
            <c:strRef>
              <c:f>'Heat Transfer'!$O$86</c:f>
              <c:strCache>
                <c:ptCount val="1"/>
                <c:pt idx="0">
                  <c:v>0.18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2.6284020243557506E-2"/>
                  <c:y val="-0.12995613424403105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E38-4DE4-A83A-0D3AB6DC8C74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Transfer'!$P$72:$T$72</c:f>
              <c:numCache>
                <c:formatCode>General</c:formatCode>
                <c:ptCount val="5"/>
                <c:pt idx="0">
                  <c:v>0</c:v>
                </c:pt>
                <c:pt idx="1">
                  <c:v>0.89</c:v>
                </c:pt>
                <c:pt idx="2">
                  <c:v>1.78</c:v>
                </c:pt>
                <c:pt idx="3">
                  <c:v>2.67</c:v>
                </c:pt>
                <c:pt idx="4">
                  <c:v>3.56</c:v>
                </c:pt>
              </c:numCache>
            </c:numRef>
          </c:xVal>
          <c:yVal>
            <c:numRef>
              <c:f>'Heat Transfer'!$P$86:$T$86</c:f>
              <c:numCache>
                <c:formatCode>0.00</c:formatCode>
                <c:ptCount val="5"/>
                <c:pt idx="0">
                  <c:v>342.46781179030023</c:v>
                </c:pt>
                <c:pt idx="1">
                  <c:v>323.16926046072564</c:v>
                </c:pt>
                <c:pt idx="2">
                  <c:v>310.83999384339211</c:v>
                </c:pt>
                <c:pt idx="3">
                  <c:v>304.28223130263524</c:v>
                </c:pt>
                <c:pt idx="4">
                  <c:v>302.26665857749407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E38-4DE4-A83A-0D3AB6DC8C74}"/>
            </c:ext>
          </c:extLst>
        </c:ser>
        <c:ser>
          <c:idx val="2"/>
          <c:order val="2"/>
          <c:tx>
            <c:strRef>
              <c:f>'Heat Transfer'!$O$103</c:f>
              <c:strCache>
                <c:ptCount val="1"/>
                <c:pt idx="0">
                  <c:v>0.43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'Heat Transfer'!$P$72:$T$72</c:f>
              <c:numCache>
                <c:formatCode>General</c:formatCode>
                <c:ptCount val="5"/>
                <c:pt idx="0">
                  <c:v>0</c:v>
                </c:pt>
                <c:pt idx="1">
                  <c:v>0.89</c:v>
                </c:pt>
                <c:pt idx="2">
                  <c:v>1.78</c:v>
                </c:pt>
                <c:pt idx="3">
                  <c:v>2.67</c:v>
                </c:pt>
                <c:pt idx="4">
                  <c:v>3.56</c:v>
                </c:pt>
              </c:numCache>
            </c:numRef>
          </c:xVal>
          <c:yVal>
            <c:numRef>
              <c:f>'Heat Transfer'!$P$103:$T$103</c:f>
              <c:numCache>
                <c:formatCode>0.00</c:formatCode>
                <c:ptCount val="5"/>
                <c:pt idx="0">
                  <c:v>368.44595080690186</c:v>
                </c:pt>
                <c:pt idx="1">
                  <c:v>348.7302290040742</c:v>
                </c:pt>
                <c:pt idx="2">
                  <c:v>334.68876043337025</c:v>
                </c:pt>
                <c:pt idx="3">
                  <c:v>326.29707300309514</c:v>
                </c:pt>
                <c:pt idx="4">
                  <c:v>323.50498725229335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E38-4DE4-A83A-0D3AB6DC8C74}"/>
            </c:ext>
          </c:extLst>
        </c:ser>
        <c:ser>
          <c:idx val="3"/>
          <c:order val="3"/>
          <c:tx>
            <c:strRef>
              <c:f>'Heat Transfer'!$O$119</c:f>
              <c:strCache>
                <c:ptCount val="1"/>
                <c:pt idx="0">
                  <c:v>0.67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3.075852268175569E-2"/>
                  <c:y val="-6.0953719328760349E-2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E38-4DE4-A83A-0D3AB6DC8C74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Transfer'!$P$72:$T$72</c:f>
              <c:numCache>
                <c:formatCode>General</c:formatCode>
                <c:ptCount val="5"/>
                <c:pt idx="0">
                  <c:v>0</c:v>
                </c:pt>
                <c:pt idx="1">
                  <c:v>0.89</c:v>
                </c:pt>
                <c:pt idx="2">
                  <c:v>1.78</c:v>
                </c:pt>
                <c:pt idx="3">
                  <c:v>2.67</c:v>
                </c:pt>
                <c:pt idx="4">
                  <c:v>3.56</c:v>
                </c:pt>
              </c:numCache>
            </c:numRef>
          </c:xVal>
          <c:yVal>
            <c:numRef>
              <c:f>'Heat Transfer'!$P$119:$T$119</c:f>
              <c:numCache>
                <c:formatCode>0.00</c:formatCode>
                <c:ptCount val="5"/>
                <c:pt idx="0">
                  <c:v>390.07901871529708</c:v>
                </c:pt>
                <c:pt idx="1">
                  <c:v>370.64553256730352</c:v>
                </c:pt>
                <c:pt idx="2">
                  <c:v>356.71032082673599</c:v>
                </c:pt>
                <c:pt idx="3">
                  <c:v>348.32677015133174</c:v>
                </c:pt>
                <c:pt idx="4">
                  <c:v>345.52380559548493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E38-4DE4-A83A-0D3AB6DC8C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673920128"/>
        <c:axId val="-671640704"/>
      </c:scatterChart>
      <c:valAx>
        <c:axId val="-673920128"/>
        <c:scaling>
          <c:orientation val="minMax"/>
          <c:max val="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Wall x-location (mm)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-671640704"/>
        <c:crosses val="autoZero"/>
        <c:crossBetween val="midCat"/>
      </c:valAx>
      <c:valAx>
        <c:axId val="-671640704"/>
        <c:scaling>
          <c:orientation val="minMax"/>
          <c:min val="2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Wall temp. (K)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-673920128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285234205537399"/>
          <c:y val="0.42164777479738114"/>
          <c:w val="0.10977593922255047"/>
          <c:h val="0.26270196994606443"/>
        </c:manualLayout>
      </c:layout>
      <c:overlay val="0"/>
      <c:spPr>
        <a:noFill/>
        <a:ln w="25400">
          <a:noFill/>
        </a:ln>
      </c:spPr>
      <c:txPr>
        <a:bodyPr rot="0" vert="horz"/>
        <a:lstStyle/>
        <a:p>
          <a:pPr>
            <a:defRPr/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 algn="ctr" rtl="0">
        <a:defRPr lang="en-US" sz="1100" b="0" i="1" u="none" strike="noStrike" kern="1200" baseline="0">
          <a:solidFill>
            <a:sysClr val="windowText" lastClr="000000">
              <a:lumMod val="65000"/>
              <a:lumOff val="35000"/>
            </a:sysClr>
          </a:solidFill>
          <a:latin typeface="Times New Roman" panose="02020603050405020304" pitchFamily="18" charset="0"/>
          <a:ea typeface="+mn-ea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'Heat Transfer'!$B$70</c:f>
          <c:strCache>
            <c:ptCount val="1"/>
            <c:pt idx="0">
              <c:v>Ablative-case convective analysis </c:v>
            </c:pt>
          </c:strCache>
        </c:strRef>
      </c:tx>
      <c:overlay val="0"/>
      <c:spPr>
        <a:noFill/>
        <a:ln w="25400">
          <a:noFill/>
        </a:ln>
      </c:spPr>
      <c:txPr>
        <a:bodyPr rot="0" vert="horz"/>
        <a:lstStyle/>
        <a:p>
          <a:pPr>
            <a:defRPr b="1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'Heat Transfer'!$C$74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'Heat Transfer'!$D$72:$L$72</c:f>
              <c:numCache>
                <c:formatCode>General</c:formatCode>
                <c:ptCount val="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2.89</c:v>
                </c:pt>
                <c:pt idx="6">
                  <c:v>3.7800000000000002</c:v>
                </c:pt>
                <c:pt idx="7">
                  <c:v>4.67</c:v>
                </c:pt>
                <c:pt idx="8">
                  <c:v>5.5600000000000005</c:v>
                </c:pt>
              </c:numCache>
            </c:numRef>
          </c:xVal>
          <c:yVal>
            <c:numRef>
              <c:f>'Heat Transfer'!$D$74:$L$74</c:f>
              <c:numCache>
                <c:formatCode>0.00</c:formatCode>
                <c:ptCount val="9"/>
                <c:pt idx="0">
                  <c:v>298</c:v>
                </c:pt>
                <c:pt idx="1">
                  <c:v>298</c:v>
                </c:pt>
                <c:pt idx="2">
                  <c:v>298</c:v>
                </c:pt>
                <c:pt idx="3">
                  <c:v>298</c:v>
                </c:pt>
                <c:pt idx="4">
                  <c:v>298</c:v>
                </c:pt>
                <c:pt idx="5">
                  <c:v>298</c:v>
                </c:pt>
                <c:pt idx="6">
                  <c:v>298</c:v>
                </c:pt>
                <c:pt idx="7">
                  <c:v>298</c:v>
                </c:pt>
                <c:pt idx="8">
                  <c:v>298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23-4062-8C80-8E9598A8BEB5}"/>
            </c:ext>
          </c:extLst>
        </c:ser>
        <c:ser>
          <c:idx val="1"/>
          <c:order val="1"/>
          <c:tx>
            <c:strRef>
              <c:f>'Heat Transfer'!$C$86</c:f>
              <c:strCache>
                <c:ptCount val="1"/>
                <c:pt idx="0">
                  <c:v>0.18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5.12075048709364E-2"/>
                  <c:y val="-9.2187024076112706E-2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623-4062-8C80-8E9598A8BEB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Transfer'!$D$72:$L$72</c:f>
              <c:numCache>
                <c:formatCode>General</c:formatCode>
                <c:ptCount val="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2.89</c:v>
                </c:pt>
                <c:pt idx="6">
                  <c:v>3.7800000000000002</c:v>
                </c:pt>
                <c:pt idx="7">
                  <c:v>4.67</c:v>
                </c:pt>
                <c:pt idx="8">
                  <c:v>5.5600000000000005</c:v>
                </c:pt>
              </c:numCache>
            </c:numRef>
          </c:xVal>
          <c:yVal>
            <c:numRef>
              <c:f>'Heat Transfer'!$D$86:$L$86</c:f>
              <c:numCache>
                <c:formatCode>0.00</c:formatCode>
                <c:ptCount val="9"/>
                <c:pt idx="0">
                  <c:v>646.44366317070671</c:v>
                </c:pt>
                <c:pt idx="1">
                  <c:v>307.20498883927013</c:v>
                </c:pt>
                <c:pt idx="2">
                  <c:v>298.14494263056019</c:v>
                </c:pt>
                <c:pt idx="3">
                  <c:v>298.00153013377303</c:v>
                </c:pt>
                <c:pt idx="4">
                  <c:v>298.00000370894384</c:v>
                </c:pt>
                <c:pt idx="5">
                  <c:v>298.00000077496634</c:v>
                </c:pt>
                <c:pt idx="6">
                  <c:v>298.00000013767766</c:v>
                </c:pt>
                <c:pt idx="7">
                  <c:v>298.00000002038234</c:v>
                </c:pt>
                <c:pt idx="8">
                  <c:v>298.00000000468043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623-4062-8C80-8E9598A8BEB5}"/>
            </c:ext>
          </c:extLst>
        </c:ser>
        <c:ser>
          <c:idx val="2"/>
          <c:order val="2"/>
          <c:tx>
            <c:strRef>
              <c:f>'Heat Transfer'!$C$119</c:f>
              <c:strCache>
                <c:ptCount val="1"/>
                <c:pt idx="0">
                  <c:v>0.67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7.3922788344293583E-2"/>
                  <c:y val="-3.1326783852043329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/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719-4D8F-8803-0D6DC88860C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Transfer'!$D$72:$L$72</c:f>
              <c:numCache>
                <c:formatCode>General</c:formatCode>
                <c:ptCount val="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2.89</c:v>
                </c:pt>
                <c:pt idx="6">
                  <c:v>3.7800000000000002</c:v>
                </c:pt>
                <c:pt idx="7">
                  <c:v>4.67</c:v>
                </c:pt>
                <c:pt idx="8">
                  <c:v>5.5600000000000005</c:v>
                </c:pt>
              </c:numCache>
            </c:numRef>
          </c:xVal>
          <c:yVal>
            <c:numRef>
              <c:f>'Heat Transfer'!$D$119:$L$119</c:f>
              <c:numCache>
                <c:formatCode>0.00</c:formatCode>
                <c:ptCount val="9"/>
                <c:pt idx="0">
                  <c:v>1102.4222157344163</c:v>
                </c:pt>
                <c:pt idx="1">
                  <c:v>387.00180040559115</c:v>
                </c:pt>
                <c:pt idx="2">
                  <c:v>304.18846621672782</c:v>
                </c:pt>
                <c:pt idx="3">
                  <c:v>298.30998862305404</c:v>
                </c:pt>
                <c:pt idx="4">
                  <c:v>298.00293518763283</c:v>
                </c:pt>
                <c:pt idx="5">
                  <c:v>298.00150290721263</c:v>
                </c:pt>
                <c:pt idx="6">
                  <c:v>298.00076777812365</c:v>
                </c:pt>
                <c:pt idx="7">
                  <c:v>298.00042645638018</c:v>
                </c:pt>
                <c:pt idx="8">
                  <c:v>298.00032781332158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623-4062-8C80-8E9598A8BEB5}"/>
            </c:ext>
          </c:extLst>
        </c:ser>
        <c:ser>
          <c:idx val="3"/>
          <c:order val="3"/>
          <c:tx>
            <c:strRef>
              <c:f>'Heat Transfer'!$C$131</c:f>
              <c:strCache>
                <c:ptCount val="1"/>
                <c:pt idx="0">
                  <c:v>0.85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4.4528265105162085E-2"/>
                  <c:y val="-4.9639166810214498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/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623-4062-8C80-8E9598A8BEB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Transfer'!$D$72:$L$72</c:f>
              <c:numCache>
                <c:formatCode>General</c:formatCode>
                <c:ptCount val="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2.89</c:v>
                </c:pt>
                <c:pt idx="6">
                  <c:v>3.7800000000000002</c:v>
                </c:pt>
                <c:pt idx="7">
                  <c:v>4.67</c:v>
                </c:pt>
                <c:pt idx="8">
                  <c:v>5.5600000000000005</c:v>
                </c:pt>
              </c:numCache>
            </c:numRef>
          </c:xVal>
          <c:yVal>
            <c:numRef>
              <c:f>'Heat Transfer'!$D$131:$L$131</c:f>
              <c:numCache>
                <c:formatCode>0.00</c:formatCode>
                <c:ptCount val="9"/>
                <c:pt idx="0">
                  <c:v>1177.2857015928662</c:v>
                </c:pt>
                <c:pt idx="1">
                  <c:v>422.28443007150395</c:v>
                </c:pt>
                <c:pt idx="2">
                  <c:v>309.09943719154364</c:v>
                </c:pt>
                <c:pt idx="3">
                  <c:v>298.71682704541098</c:v>
                </c:pt>
                <c:pt idx="4">
                  <c:v>298.00833001519135</c:v>
                </c:pt>
                <c:pt idx="5">
                  <c:v>298.00468868520625</c:v>
                </c:pt>
                <c:pt idx="6">
                  <c:v>298.00267354031143</c:v>
                </c:pt>
                <c:pt idx="7">
                  <c:v>298.0016757950234</c:v>
                </c:pt>
                <c:pt idx="8">
                  <c:v>298.00137608539484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623-4062-8C80-8E9598A8BE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671643424"/>
        <c:axId val="-671651040"/>
      </c:scatterChart>
      <c:valAx>
        <c:axId val="-6716434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Wall x-location (mm)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-671651040"/>
        <c:crosses val="autoZero"/>
        <c:crossBetween val="midCat"/>
      </c:valAx>
      <c:valAx>
        <c:axId val="-671651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Wall temp. (K)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-671643424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151372433585994"/>
          <c:y val="0.42129083598592731"/>
          <c:w val="0.10977593922255047"/>
          <c:h val="0.25320014519461664"/>
        </c:manualLayout>
      </c:layout>
      <c:overlay val="0"/>
      <c:spPr>
        <a:noFill/>
        <a:ln w="25400">
          <a:noFill/>
        </a:ln>
      </c:spPr>
      <c:txPr>
        <a:bodyPr rot="0" vert="horz"/>
        <a:lstStyle/>
        <a:p>
          <a:pPr>
            <a:defRPr/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200"/>
              <a:t>Chamber Pressure vs time</a:t>
            </a:r>
          </a:p>
        </c:rich>
      </c:tx>
      <c:layout>
        <c:manualLayout>
          <c:xMode val="edge"/>
          <c:yMode val="edge"/>
          <c:x val="0.27114113876468954"/>
          <c:y val="0.15511156673282875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953125"/>
          <c:y val="0.25181598062953997"/>
          <c:w val="0.74513379153876946"/>
          <c:h val="0.56174334140435833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Pressure!$Q$28:$Q$910</c:f>
              <c:numCache>
                <c:formatCode>0.0000</c:formatCode>
                <c:ptCount val="883"/>
                <c:pt idx="0" formatCode="General">
                  <c:v>0</c:v>
                </c:pt>
                <c:pt idx="1">
                  <c:v>1.6710334693929663E-3</c:v>
                </c:pt>
                <c:pt idx="2">
                  <c:v>2.4843220196037958E-3</c:v>
                </c:pt>
                <c:pt idx="3">
                  <c:v>3.1810959485757606E-3</c:v>
                </c:pt>
                <c:pt idx="4">
                  <c:v>3.8206732307621274E-3</c:v>
                </c:pt>
                <c:pt idx="5">
                  <c:v>4.425010811441232E-3</c:v>
                </c:pt>
                <c:pt idx="6" formatCode="0.00000">
                  <c:v>5.0051821890309094E-3</c:v>
                </c:pt>
                <c:pt idx="7" formatCode="0.00000">
                  <c:v>5.5677072839621635E-3</c:v>
                </c:pt>
                <c:pt idx="8">
                  <c:v>6.1168052341769906E-3</c:v>
                </c:pt>
                <c:pt idx="9">
                  <c:v>6.655386144892853E-3</c:v>
                </c:pt>
                <c:pt idx="10">
                  <c:v>7.1855514631596886E-3</c:v>
                </c:pt>
                <c:pt idx="11">
                  <c:v>7.7088718685779109E-3</c:v>
                </c:pt>
                <c:pt idx="12">
                  <c:v>8.2265530704858526E-3</c:v>
                </c:pt>
                <c:pt idx="13">
                  <c:v>8.7395403982088674E-3</c:v>
                </c:pt>
                <c:pt idx="14">
                  <c:v>9.2485877962660071E-3</c:v>
                </c:pt>
                <c:pt idx="15">
                  <c:v>9.7543050395444888E-3</c:v>
                </c:pt>
                <c:pt idx="16">
                  <c:v>1.0257191050367084E-2</c:v>
                </c:pt>
                <c:pt idx="17">
                  <c:v>1.0757658028359783E-2</c:v>
                </c:pt>
                <c:pt idx="18">
                  <c:v>1.1256049321341333E-2</c:v>
                </c:pt>
                <c:pt idx="19">
                  <c:v>1.1752652919476391E-2</c:v>
                </c:pt>
                <c:pt idx="20">
                  <c:v>1.2247711818283298E-2</c:v>
                </c:pt>
                <c:pt idx="21">
                  <c:v>1.2741432096047563E-2</c:v>
                </c:pt>
                <c:pt idx="22">
                  <c:v>1.3233989292713522E-2</c:v>
                </c:pt>
                <c:pt idx="23">
                  <c:v>1.3725533506141557E-2</c:v>
                </c:pt>
                <c:pt idx="24">
                  <c:v>1.421619350572296E-2</c:v>
                </c:pt>
                <c:pt idx="25">
                  <c:v>1.4706080083315238E-2</c:v>
                </c:pt>
                <c:pt idx="26">
                  <c:v>1.5195288805200977E-2</c:v>
                </c:pt>
                <c:pt idx="27">
                  <c:v>1.5683902288574979E-2</c:v>
                </c:pt>
                <c:pt idx="28">
                  <c:v>1.6171992096911249E-2</c:v>
                </c:pt>
                <c:pt idx="29">
                  <c:v>1.6659620327126621E-2</c:v>
                </c:pt>
                <c:pt idx="30">
                  <c:v>1.7146840945497063E-2</c:v>
                </c:pt>
                <c:pt idx="31">
                  <c:v>1.7633700917256964E-2</c:v>
                </c:pt>
                <c:pt idx="32">
                  <c:v>1.8120241165650731E-2</c:v>
                </c:pt>
                <c:pt idx="33">
                  <c:v>1.8606497389155249E-2</c:v>
                </c:pt>
                <c:pt idx="34">
                  <c:v>1.9092500760112149E-2</c:v>
                </c:pt>
                <c:pt idx="35">
                  <c:v>1.9578278523711933E-2</c:v>
                </c:pt>
                <c:pt idx="36">
                  <c:v>2.0063854512873083E-2</c:v>
                </c:pt>
                <c:pt idx="37">
                  <c:v>2.0549249591849339E-2</c:v>
                </c:pt>
                <c:pt idx="38">
                  <c:v>2.1034482039221206E-2</c:v>
                </c:pt>
                <c:pt idx="39">
                  <c:v>2.1519567879166146E-2</c:v>
                </c:pt>
                <c:pt idx="40">
                  <c:v>2.2004521168467038E-2</c:v>
                </c:pt>
                <c:pt idx="41">
                  <c:v>2.2489354245542457E-2</c:v>
                </c:pt>
                <c:pt idx="42">
                  <c:v>2.2974077946812891E-2</c:v>
                </c:pt>
                <c:pt idx="43">
                  <c:v>2.3458701794913113E-2</c:v>
                </c:pt>
                <c:pt idx="44">
                  <c:v>2.3943234162591691E-2</c:v>
                </c:pt>
                <c:pt idx="45">
                  <c:v>2.4427682415578179E-2</c:v>
                </c:pt>
                <c:pt idx="46">
                  <c:v>2.4912053037227388E-2</c:v>
                </c:pt>
                <c:pt idx="47">
                  <c:v>2.5396351737352888E-2</c:v>
                </c:pt>
                <c:pt idx="48">
                  <c:v>2.5880583547325059E-2</c:v>
                </c:pt>
                <c:pt idx="49">
                  <c:v>2.6364752903222943E-2</c:v>
                </c:pt>
                <c:pt idx="50">
                  <c:v>2.6848863718585327E-2</c:v>
                </c:pt>
                <c:pt idx="51">
                  <c:v>2.7332919448098049E-2</c:v>
                </c:pt>
                <c:pt idx="52">
                  <c:v>2.7816923143375808E-2</c:v>
                </c:pt>
                <c:pt idx="53">
                  <c:v>2.8300877501843482E-2</c:v>
                </c:pt>
                <c:pt idx="54">
                  <c:v>2.8784784909589817E-2</c:v>
                </c:pt>
                <c:pt idx="55">
                  <c:v>2.9268647478952532E-2</c:v>
                </c:pt>
                <c:pt idx="56">
                  <c:v>2.9752467081495607E-2</c:v>
                </c:pt>
                <c:pt idx="57">
                  <c:v>3.0236245376954254E-2</c:v>
                </c:pt>
                <c:pt idx="58">
                  <c:v>3.0719983838649635E-2</c:v>
                </c:pt>
                <c:pt idx="59">
                  <c:v>3.1203683775811137E-2</c:v>
                </c:pt>
                <c:pt idx="60">
                  <c:v>3.1687346353188775E-2</c:v>
                </c:pt>
                <c:pt idx="61">
                  <c:v>3.2170972608289813E-2</c:v>
                </c:pt>
                <c:pt idx="62">
                  <c:v>3.2654563466531762E-2</c:v>
                </c:pt>
                <c:pt idx="63">
                  <c:v>3.3138119754567319E-2</c:v>
                </c:pt>
                <c:pt idx="64">
                  <c:v>3.3621642212004949E-2</c:v>
                </c:pt>
                <c:pt idx="65">
                  <c:v>3.4105131501720828E-2</c:v>
                </c:pt>
                <c:pt idx="66">
                  <c:v>3.458858821893384E-2</c:v>
                </c:pt>
                <c:pt idx="67">
                  <c:v>3.5072012899193844E-2</c:v>
                </c:pt>
                <c:pt idx="68">
                  <c:v>3.5555406025415057E-2</c:v>
                </c:pt>
                <c:pt idx="69">
                  <c:v>3.6038768034070114E-2</c:v>
                </c:pt>
                <c:pt idx="70">
                  <c:v>3.6522099320646192E-2</c:v>
                </c:pt>
                <c:pt idx="71">
                  <c:v>3.7005400244452195E-2</c:v>
                </c:pt>
                <c:pt idx="72">
                  <c:v>3.7488671132855089E-2</c:v>
                </c:pt>
                <c:pt idx="73">
                  <c:v>3.797191228501396E-2</c:v>
                </c:pt>
                <c:pt idx="74">
                  <c:v>3.8455123975172104E-2</c:v>
                </c:pt>
                <c:pt idx="75">
                  <c:v>3.8938306455559984E-2</c:v>
                </c:pt>
                <c:pt idx="76">
                  <c:v>3.9421459958955615E-2</c:v>
                </c:pt>
                <c:pt idx="77">
                  <c:v>3.9904584700943289E-2</c:v>
                </c:pt>
                <c:pt idx="78">
                  <c:v>4.0387680881906515E-2</c:v>
                </c:pt>
                <c:pt idx="79">
                  <c:v>4.087074868878688E-2</c:v>
                </c:pt>
                <c:pt idx="80">
                  <c:v>4.1353788296636537E-2</c:v>
                </c:pt>
                <c:pt idx="81">
                  <c:v>4.1836799869988922E-2</c:v>
                </c:pt>
                <c:pt idx="82">
                  <c:v>4.2319783564069083E-2</c:v>
                </c:pt>
                <c:pt idx="83">
                  <c:v>4.2802739525862714E-2</c:v>
                </c:pt>
                <c:pt idx="84">
                  <c:v>4.3285667895060491E-2</c:v>
                </c:pt>
                <c:pt idx="85">
                  <c:v>4.3768568804892459E-2</c:v>
                </c:pt>
                <c:pt idx="86">
                  <c:v>4.4251442382865394E-2</c:v>
                </c:pt>
                <c:pt idx="87">
                  <c:v>4.4734288751414546E-2</c:v>
                </c:pt>
                <c:pt idx="88">
                  <c:v>4.5217108028479815E-2</c:v>
                </c:pt>
                <c:pt idx="89">
                  <c:v>4.5699900328015235E-2</c:v>
                </c:pt>
                <c:pt idx="90">
                  <c:v>4.6182665760439529E-2</c:v>
                </c:pt>
                <c:pt idx="91">
                  <c:v>4.6665404433034678E-2</c:v>
                </c:pt>
                <c:pt idx="92">
                  <c:v>4.7148116450298531E-2</c:v>
                </c:pt>
                <c:pt idx="93">
                  <c:v>4.763080191425683E-2</c:v>
                </c:pt>
                <c:pt idx="94">
                  <c:v>4.8113460924739358E-2</c:v>
                </c:pt>
                <c:pt idx="95">
                  <c:v>4.8596093579624411E-2</c:v>
                </c:pt>
                <c:pt idx="96">
                  <c:v>4.9078699975055227E-2</c:v>
                </c:pt>
                <c:pt idx="97">
                  <c:v>4.9561280205631678E-2</c:v>
                </c:pt>
                <c:pt idx="98">
                  <c:v>5.0043834364580021E-2</c:v>
                </c:pt>
                <c:pt idx="99">
                  <c:v>5.0526362543903303E-2</c:v>
                </c:pt>
                <c:pt idx="100">
                  <c:v>5.1008864834514618E-2</c:v>
                </c:pt>
                <c:pt idx="101">
                  <c:v>5.1491341326355203E-2</c:v>
                </c:pt>
                <c:pt idx="102">
                  <c:v>5.1973792108499117E-2</c:v>
                </c:pt>
                <c:pt idx="103">
                  <c:v>5.2456217269246076E-2</c:v>
                </c:pt>
                <c:pt idx="104">
                  <c:v>5.2938616896203723E-2</c:v>
                </c:pt>
                <c:pt idx="105">
                  <c:v>5.3420991076360634E-2</c:v>
                </c:pt>
                <c:pt idx="106">
                  <c:v>5.3903339896151072E-2</c:v>
                </c:pt>
                <c:pt idx="107">
                  <c:v>5.4385663441512438E-2</c:v>
                </c:pt>
                <c:pt idx="108">
                  <c:v>5.4867961797936265E-2</c:v>
                </c:pt>
                <c:pt idx="109">
                  <c:v>5.5350235050513466E-2</c:v>
                </c:pt>
                <c:pt idx="110">
                  <c:v>5.5832483283974534E-2</c:v>
                </c:pt>
                <c:pt idx="111">
                  <c:v>5.6314706582725221E-2</c:v>
                </c:pt>
                <c:pt idx="112">
                  <c:v>5.6796905030878232E-2</c:v>
                </c:pt>
                <c:pt idx="113">
                  <c:v>5.7279078712281391E-2</c:v>
                </c:pt>
                <c:pt idx="114">
                  <c:v>5.7761227710542672E-2</c:v>
                </c:pt>
                <c:pt idx="115">
                  <c:v>5.8243352109052432E-2</c:v>
                </c:pt>
                <c:pt idx="116">
                  <c:v>5.8725451991003208E-2</c:v>
                </c:pt>
                <c:pt idx="117">
                  <c:v>5.9207527439407298E-2</c:v>
                </c:pt>
                <c:pt idx="118">
                  <c:v>5.9689578537112403E-2</c:v>
                </c:pt>
                <c:pt idx="119">
                  <c:v>6.017160536681556E-2</c:v>
                </c:pt>
                <c:pt idx="120">
                  <c:v>6.0653608011075541E-2</c:v>
                </c:pt>
                <c:pt idx="121">
                  <c:v>6.1135586552323873E-2</c:v>
                </c:pt>
                <c:pt idx="122">
                  <c:v>6.161754107287469E-2</c:v>
                </c:pt>
                <c:pt idx="123">
                  <c:v>6.2099471654933472E-2</c:v>
                </c:pt>
                <c:pt idx="124">
                  <c:v>6.2581378380604874E-2</c:v>
                </c:pt>
                <c:pt idx="125">
                  <c:v>6.3063261331899656E-2</c:v>
                </c:pt>
                <c:pt idx="126">
                  <c:v>6.3545120590740939E-2</c:v>
                </c:pt>
                <c:pt idx="127">
                  <c:v>6.4026956238969701E-2</c:v>
                </c:pt>
                <c:pt idx="128">
                  <c:v>6.4508768358349761E-2</c:v>
                </c:pt>
                <c:pt idx="129">
                  <c:v>6.4990557030572174E-2</c:v>
                </c:pt>
                <c:pt idx="130">
                  <c:v>6.5472322337259206E-2</c:v>
                </c:pt>
                <c:pt idx="131">
                  <c:v>6.5954064359967882E-2</c:v>
                </c:pt>
                <c:pt idx="132">
                  <c:v>6.6435783180193109E-2</c:v>
                </c:pt>
                <c:pt idx="133">
                  <c:v>6.6917478879370537E-2</c:v>
                </c:pt>
                <c:pt idx="134">
                  <c:v>6.7399151538879112E-2</c:v>
                </c:pt>
                <c:pt idx="135">
                  <c:v>6.7880801240043309E-2</c:v>
                </c:pt>
                <c:pt idx="136">
                  <c:v>6.8362428064135242E-2</c:v>
                </c:pt>
                <c:pt idx="137">
                  <c:v>6.8844032092376467E-2</c:v>
                </c:pt>
                <c:pt idx="138">
                  <c:v>6.932561340593961E-2</c:v>
                </c:pt>
                <c:pt idx="139">
                  <c:v>6.9807172085949942E-2</c:v>
                </c:pt>
                <c:pt idx="140">
                  <c:v>7.028870821348665E-2</c:v>
                </c:pt>
                <c:pt idx="141">
                  <c:v>7.077022186958408E-2</c:v>
                </c:pt>
                <c:pt idx="142">
                  <c:v>7.1251713135232819E-2</c:v>
                </c:pt>
                <c:pt idx="143">
                  <c:v>7.1733182091380701E-2</c:v>
                </c:pt>
                <c:pt idx="144">
                  <c:v>7.2214628818933729E-2</c:v>
                </c:pt>
                <c:pt idx="145">
                  <c:v>7.2696053398756871E-2</c:v>
                </c:pt>
                <c:pt idx="146">
                  <c:v>7.3177455911674807E-2</c:v>
                </c:pt>
                <c:pt idx="147">
                  <c:v>7.3658836438472639E-2</c:v>
                </c:pt>
                <c:pt idx="148">
                  <c:v>7.4140195059896455E-2</c:v>
                </c:pt>
                <c:pt idx="149">
                  <c:v>7.4621531856653989E-2</c:v>
                </c:pt>
                <c:pt idx="150">
                  <c:v>7.5102846909415058E-2</c:v>
                </c:pt>
                <c:pt idx="151">
                  <c:v>7.5584140298812094E-2</c:v>
                </c:pt>
                <c:pt idx="152">
                  <c:v>7.60654121054406E-2</c:v>
                </c:pt>
                <c:pt idx="153">
                  <c:v>7.6546662409859523E-2</c:v>
                </c:pt>
                <c:pt idx="154">
                  <c:v>7.7027891292591674E-2</c:v>
                </c:pt>
                <c:pt idx="155">
                  <c:v>7.7509098834124088E-2</c:v>
                </c:pt>
                <c:pt idx="156">
                  <c:v>7.7990285114908312E-2</c:v>
                </c:pt>
                <c:pt idx="157">
                  <c:v>7.8471450215360769E-2</c:v>
                </c:pt>
                <c:pt idx="158">
                  <c:v>7.8952594215863051E-2</c:v>
                </c:pt>
                <c:pt idx="159">
                  <c:v>7.9433717196762149E-2</c:v>
                </c:pt>
                <c:pt idx="160">
                  <c:v>7.9914819238370766E-2</c:v>
                </c:pt>
                <c:pt idx="161">
                  <c:v>8.0395900420967545E-2</c:v>
                </c:pt>
                <c:pt idx="162">
                  <c:v>8.0876960824797312E-2</c:v>
                </c:pt>
                <c:pt idx="163">
                  <c:v>8.1358000530071292E-2</c:v>
                </c:pt>
                <c:pt idx="164">
                  <c:v>8.1839019616967351E-2</c:v>
                </c:pt>
                <c:pt idx="165">
                  <c:v>8.2320018165630171E-2</c:v>
                </c:pt>
                <c:pt idx="166">
                  <c:v>8.2800996256171475E-2</c:v>
                </c:pt>
                <c:pt idx="167">
                  <c:v>8.3281953968670219E-2</c:v>
                </c:pt>
                <c:pt idx="168">
                  <c:v>8.3762891383172763E-2</c:v>
                </c:pt>
                <c:pt idx="169">
                  <c:v>8.4243808579693089E-2</c:v>
                </c:pt>
                <c:pt idx="170">
                  <c:v>8.4724705638212924E-2</c:v>
                </c:pt>
                <c:pt idx="171">
                  <c:v>8.5205582638681943E-2</c:v>
                </c:pt>
                <c:pt idx="172">
                  <c:v>8.5686439661017966E-2</c:v>
                </c:pt>
                <c:pt idx="173">
                  <c:v>8.6167276785107064E-2</c:v>
                </c:pt>
                <c:pt idx="174">
                  <c:v>8.6648094090803776E-2</c:v>
                </c:pt>
                <c:pt idx="175">
                  <c:v>8.7128891657931209E-2</c:v>
                </c:pt>
                <c:pt idx="176">
                  <c:v>8.7609669566281259E-2</c:v>
                </c:pt>
                <c:pt idx="177">
                  <c:v>8.809042789561472E-2</c:v>
                </c:pt>
                <c:pt idx="178">
                  <c:v>8.857116672566144E-2</c:v>
                </c:pt>
                <c:pt idx="179">
                  <c:v>8.9051886136120501E-2</c:v>
                </c:pt>
                <c:pt idx="180">
                  <c:v>8.9532586206660325E-2</c:v>
                </c:pt>
                <c:pt idx="181">
                  <c:v>9.0013267016918849E-2</c:v>
                </c:pt>
                <c:pt idx="182">
                  <c:v>9.0493928646503657E-2</c:v>
                </c:pt>
                <c:pt idx="183">
                  <c:v>9.0974571174992136E-2</c:v>
                </c:pt>
                <c:pt idx="184">
                  <c:v>9.1455194681931598E-2</c:v>
                </c:pt>
                <c:pt idx="185">
                  <c:v>9.1935799246839436E-2</c:v>
                </c:pt>
                <c:pt idx="186">
                  <c:v>9.2416384949203276E-2</c:v>
                </c:pt>
                <c:pt idx="187">
                  <c:v>9.2896951868481098E-2</c:v>
                </c:pt>
                <c:pt idx="188">
                  <c:v>9.3377500084101367E-2</c:v>
                </c:pt>
                <c:pt idx="189">
                  <c:v>9.3858029675463195E-2</c:v>
                </c:pt>
                <c:pt idx="190">
                  <c:v>9.4338540721936467E-2</c:v>
                </c:pt>
                <c:pt idx="191">
                  <c:v>9.4819033302861969E-2</c:v>
                </c:pt>
                <c:pt idx="192">
                  <c:v>9.5299507497551547E-2</c:v>
                </c:pt>
                <c:pt idx="193">
                  <c:v>9.5779963385288214E-2</c:v>
                </c:pt>
                <c:pt idx="194">
                  <c:v>9.6260401045326308E-2</c:v>
                </c:pt>
                <c:pt idx="195">
                  <c:v>9.6740820556891607E-2</c:v>
                </c:pt>
                <c:pt idx="196">
                  <c:v>9.7221221999181484E-2</c:v>
                </c:pt>
                <c:pt idx="197">
                  <c:v>9.7701605451365039E-2</c:v>
                </c:pt>
                <c:pt idx="198">
                  <c:v>9.8181970992583203E-2</c:v>
                </c:pt>
                <c:pt idx="199">
                  <c:v>9.8662318701948928E-2</c:v>
                </c:pt>
                <c:pt idx="200">
                  <c:v>9.9142648658547244E-2</c:v>
                </c:pt>
                <c:pt idx="201">
                  <c:v>9.9622960941435468E-2</c:v>
                </c:pt>
                <c:pt idx="202">
                  <c:v>0.10010325562964328</c:v>
                </c:pt>
                <c:pt idx="203">
                  <c:v>0.10058353280217289</c:v>
                </c:pt>
                <c:pt idx="204">
                  <c:v>0.10106379253799913</c:v>
                </c:pt>
                <c:pt idx="205">
                  <c:v>0.10154403491606967</c:v>
                </c:pt>
                <c:pt idx="206">
                  <c:v>0.10202426001530503</c:v>
                </c:pt>
                <c:pt idx="207">
                  <c:v>0.10250446791459879</c:v>
                </c:pt>
                <c:pt idx="208">
                  <c:v>0.10298465869281773</c:v>
                </c:pt>
                <c:pt idx="209">
                  <c:v>0.1034648324288019</c:v>
                </c:pt>
                <c:pt idx="210">
                  <c:v>0.10394498920136482</c:v>
                </c:pt>
                <c:pt idx="211">
                  <c:v>0.10442512908929354</c:v>
                </c:pt>
                <c:pt idx="212">
                  <c:v>0.10490525217134881</c:v>
                </c:pt>
                <c:pt idx="213">
                  <c:v>0.10538535852626525</c:v>
                </c:pt>
                <c:pt idx="214">
                  <c:v>0.1058654482327514</c:v>
                </c:pt>
                <c:pt idx="215">
                  <c:v>0.1063455213694899</c:v>
                </c:pt>
                <c:pt idx="216">
                  <c:v>0.10682557801513758</c:v>
                </c:pt>
                <c:pt idx="217">
                  <c:v>0.10730561824832563</c:v>
                </c:pt>
                <c:pt idx="218">
                  <c:v>0.10778564214765975</c:v>
                </c:pt>
                <c:pt idx="219">
                  <c:v>0.10826564979172019</c:v>
                </c:pt>
                <c:pt idx="220">
                  <c:v>0.10874564125906198</c:v>
                </c:pt>
                <c:pt idx="221">
                  <c:v>0.10922561662821498</c:v>
                </c:pt>
                <c:pt idx="222">
                  <c:v>0.10970557597768404</c:v>
                </c:pt>
                <c:pt idx="223">
                  <c:v>0.11018551938594917</c:v>
                </c:pt>
                <c:pt idx="224">
                  <c:v>0.1106654469314656</c:v>
                </c:pt>
                <c:pt idx="225">
                  <c:v>0.11114535869266393</c:v>
                </c:pt>
                <c:pt idx="226">
                  <c:v>0.11162525474795028</c:v>
                </c:pt>
                <c:pt idx="227">
                  <c:v>0.1121051351757064</c:v>
                </c:pt>
                <c:pt idx="228">
                  <c:v>0.11258500005428981</c:v>
                </c:pt>
                <c:pt idx="229">
                  <c:v>0.11306484946203392</c:v>
                </c:pt>
                <c:pt idx="230">
                  <c:v>0.11354468347724815</c:v>
                </c:pt>
                <c:pt idx="231">
                  <c:v>0.11402450217821807</c:v>
                </c:pt>
                <c:pt idx="232">
                  <c:v>0.11450430564320552</c:v>
                </c:pt>
                <c:pt idx="233">
                  <c:v>0.11498409395044876</c:v>
                </c:pt>
                <c:pt idx="234">
                  <c:v>0.11546386717816257</c:v>
                </c:pt>
                <c:pt idx="235">
                  <c:v>0.11594362540453836</c:v>
                </c:pt>
                <c:pt idx="236">
                  <c:v>0.11642336870774438</c:v>
                </c:pt>
                <c:pt idx="237">
                  <c:v>0.11690309716592574</c:v>
                </c:pt>
                <c:pt idx="238">
                  <c:v>0.11738281085720463</c:v>
                </c:pt>
                <c:pt idx="239">
                  <c:v>0.11786250985968037</c:v>
                </c:pt>
                <c:pt idx="240">
                  <c:v>0.1183421942514296</c:v>
                </c:pt>
                <c:pt idx="241">
                  <c:v>0.11882186411050635</c:v>
                </c:pt>
                <c:pt idx="242">
                  <c:v>0.11930151951494224</c:v>
                </c:pt>
                <c:pt idx="243">
                  <c:v>0.11978116054274651</c:v>
                </c:pt>
                <c:pt idx="244">
                  <c:v>0.12026078727190626</c:v>
                </c:pt>
                <c:pt idx="245">
                  <c:v>0.12074039978038646</c:v>
                </c:pt>
                <c:pt idx="246">
                  <c:v>0.12121999814613017</c:v>
                </c:pt>
                <c:pt idx="247">
                  <c:v>0.1216995824470586</c:v>
                </c:pt>
                <c:pt idx="248">
                  <c:v>0.12217915276107129</c:v>
                </c:pt>
                <c:pt idx="249">
                  <c:v>0.1226587091660462</c:v>
                </c:pt>
                <c:pt idx="250">
                  <c:v>0.12313825173983983</c:v>
                </c:pt>
                <c:pt idx="251">
                  <c:v>0.1236177805602874</c:v>
                </c:pt>
                <c:pt idx="252">
                  <c:v>0.12409729570520289</c:v>
                </c:pt>
                <c:pt idx="253">
                  <c:v>0.12457679725237927</c:v>
                </c:pt>
                <c:pt idx="254">
                  <c:v>0.12505628527958854</c:v>
                </c:pt>
                <c:pt idx="255">
                  <c:v>0.12553575986458188</c:v>
                </c:pt>
                <c:pt idx="256">
                  <c:v>0.12601522108508975</c:v>
                </c:pt>
                <c:pt idx="257">
                  <c:v>0.12649466901882214</c:v>
                </c:pt>
                <c:pt idx="258">
                  <c:v>0.12697410374346851</c:v>
                </c:pt>
                <c:pt idx="259">
                  <c:v>0.12745352533669804</c:v>
                </c:pt>
                <c:pt idx="260">
                  <c:v>0.12793293387615973</c:v>
                </c:pt>
                <c:pt idx="261">
                  <c:v>0.1284123294394825</c:v>
                </c:pt>
                <c:pt idx="262">
                  <c:v>0.12889171210427533</c:v>
                </c:pt>
                <c:pt idx="263">
                  <c:v>0.12937108194812741</c:v>
                </c:pt>
                <c:pt idx="264">
                  <c:v>0.12985043904860821</c:v>
                </c:pt>
                <c:pt idx="265">
                  <c:v>0.13032978348326768</c:v>
                </c:pt>
                <c:pt idx="266">
                  <c:v>0.13080911532963627</c:v>
                </c:pt>
                <c:pt idx="267">
                  <c:v>0.13128843466522513</c:v>
                </c:pt>
                <c:pt idx="268">
                  <c:v>0.13176774156752627</c:v>
                </c:pt>
                <c:pt idx="269">
                  <c:v>0.13224703611401256</c:v>
                </c:pt>
                <c:pt idx="270">
                  <c:v>0.13272631838213797</c:v>
                </c:pt>
                <c:pt idx="271">
                  <c:v>0.13320558844933766</c:v>
                </c:pt>
                <c:pt idx="272">
                  <c:v>0.13368484639302808</c:v>
                </c:pt>
                <c:pt idx="273">
                  <c:v>0.13416409229060708</c:v>
                </c:pt>
                <c:pt idx="274">
                  <c:v>0.1346433262194541</c:v>
                </c:pt>
                <c:pt idx="275">
                  <c:v>0.13512254825693024</c:v>
                </c:pt>
                <c:pt idx="276">
                  <c:v>0.13560175848037842</c:v>
                </c:pt>
                <c:pt idx="277">
                  <c:v>0.13608095696712347</c:v>
                </c:pt>
                <c:pt idx="278">
                  <c:v>0.13656014379447226</c:v>
                </c:pt>
                <c:pt idx="279">
                  <c:v>0.13703931903971386</c:v>
                </c:pt>
                <c:pt idx="280">
                  <c:v>0.13751848278011961</c:v>
                </c:pt>
                <c:pt idx="281">
                  <c:v>0.13799763509294324</c:v>
                </c:pt>
                <c:pt idx="282">
                  <c:v>0.13847677605542111</c:v>
                </c:pt>
                <c:pt idx="283">
                  <c:v>0.13895590574477215</c:v>
                </c:pt>
                <c:pt idx="284">
                  <c:v>0.13943502423819812</c:v>
                </c:pt>
                <c:pt idx="285">
                  <c:v>0.13991413161288371</c:v>
                </c:pt>
                <c:pt idx="286">
                  <c:v>0.1403932279459966</c:v>
                </c:pt>
                <c:pt idx="287">
                  <c:v>0.14087231331468766</c:v>
                </c:pt>
                <c:pt idx="288">
                  <c:v>0.14135138779609102</c:v>
                </c:pt>
                <c:pt idx="289">
                  <c:v>0.14183045146732423</c:v>
                </c:pt>
                <c:pt idx="290">
                  <c:v>0.14230950440548834</c:v>
                </c:pt>
                <c:pt idx="291">
                  <c:v>0.14278854668766808</c:v>
                </c:pt>
                <c:pt idx="292">
                  <c:v>0.1432675783909319</c:v>
                </c:pt>
                <c:pt idx="293">
                  <c:v>0.14374659959233221</c:v>
                </c:pt>
                <c:pt idx="294">
                  <c:v>0.14422561036890538</c:v>
                </c:pt>
                <c:pt idx="295">
                  <c:v>0.14470461079767194</c:v>
                </c:pt>
                <c:pt idx="296">
                  <c:v>0.14518360095563668</c:v>
                </c:pt>
                <c:pt idx="297">
                  <c:v>0.14566258091978876</c:v>
                </c:pt>
                <c:pt idx="298">
                  <c:v>0.14614155076710186</c:v>
                </c:pt>
                <c:pt idx="299">
                  <c:v>0.14662051057453429</c:v>
                </c:pt>
                <c:pt idx="300">
                  <c:v>0.14709946041902908</c:v>
                </c:pt>
                <c:pt idx="301">
                  <c:v>0.14757840037751416</c:v>
                </c:pt>
                <c:pt idx="302">
                  <c:v>0.14805733052690243</c:v>
                </c:pt>
                <c:pt idx="303">
                  <c:v>0.1485362509440919</c:v>
                </c:pt>
                <c:pt idx="304">
                  <c:v>0.14901516170596582</c:v>
                </c:pt>
                <c:pt idx="305">
                  <c:v>0.14949406288939285</c:v>
                </c:pt>
                <c:pt idx="306">
                  <c:v>0.14997295457122703</c:v>
                </c:pt>
                <c:pt idx="307">
                  <c:v>0.15045183682830809</c:v>
                </c:pt>
                <c:pt idx="308">
                  <c:v>0.15093070973746142</c:v>
                </c:pt>
                <c:pt idx="309">
                  <c:v>0.15140957337549829</c:v>
                </c:pt>
                <c:pt idx="310">
                  <c:v>0.15188842781921594</c:v>
                </c:pt>
                <c:pt idx="311">
                  <c:v>0.15236727314539766</c:v>
                </c:pt>
                <c:pt idx="312">
                  <c:v>0.15284610943081298</c:v>
                </c:pt>
                <c:pt idx="313">
                  <c:v>0.15332493675221773</c:v>
                </c:pt>
                <c:pt idx="314">
                  <c:v>0.1538037551863542</c:v>
                </c:pt>
                <c:pt idx="315">
                  <c:v>0.15428256480995126</c:v>
                </c:pt>
                <c:pt idx="316">
                  <c:v>0.15476136569972448</c:v>
                </c:pt>
                <c:pt idx="317">
                  <c:v>0.15524015793237622</c:v>
                </c:pt>
                <c:pt idx="318">
                  <c:v>0.15571894158459579</c:v>
                </c:pt>
                <c:pt idx="319">
                  <c:v>0.15619771673305954</c:v>
                </c:pt>
                <c:pt idx="320">
                  <c:v>0.156676483454431</c:v>
                </c:pt>
                <c:pt idx="321">
                  <c:v>0.157155241825361</c:v>
                </c:pt>
                <c:pt idx="322">
                  <c:v>0.15763399192248781</c:v>
                </c:pt>
                <c:pt idx="323">
                  <c:v>0.15811273382243718</c:v>
                </c:pt>
                <c:pt idx="324">
                  <c:v>0.15859146760182258</c:v>
                </c:pt>
                <c:pt idx="325">
                  <c:v>0.1590701933372452</c:v>
                </c:pt>
                <c:pt idx="326">
                  <c:v>0.15954891110529421</c:v>
                </c:pt>
                <c:pt idx="327">
                  <c:v>0.16002762098254672</c:v>
                </c:pt>
                <c:pt idx="328">
                  <c:v>0.160506323045568</c:v>
                </c:pt>
                <c:pt idx="329">
                  <c:v>0.16098501737091162</c:v>
                </c:pt>
                <c:pt idx="330">
                  <c:v>0.16146370403511948</c:v>
                </c:pt>
                <c:pt idx="331">
                  <c:v>0.161942383114722</c:v>
                </c:pt>
                <c:pt idx="332">
                  <c:v>0.16242105468623821</c:v>
                </c:pt>
                <c:pt idx="333">
                  <c:v>0.16289971882617593</c:v>
                </c:pt>
                <c:pt idx="334">
                  <c:v>0.1633783756110318</c:v>
                </c:pt>
                <c:pt idx="335">
                  <c:v>0.16385702511729142</c:v>
                </c:pt>
                <c:pt idx="336">
                  <c:v>0.16433566742142955</c:v>
                </c:pt>
                <c:pt idx="337">
                  <c:v>0.16481430259991012</c:v>
                </c:pt>
                <c:pt idx="338">
                  <c:v>0.16529293072918641</c:v>
                </c:pt>
                <c:pt idx="339">
                  <c:v>0.16577155188570122</c:v>
                </c:pt>
                <c:pt idx="340">
                  <c:v>0.16625016614588686</c:v>
                </c:pt>
                <c:pt idx="341">
                  <c:v>0.16672877358616536</c:v>
                </c:pt>
                <c:pt idx="342">
                  <c:v>0.16720737428294857</c:v>
                </c:pt>
                <c:pt idx="343">
                  <c:v>0.16768596831263829</c:v>
                </c:pt>
                <c:pt idx="344">
                  <c:v>0.16816455575162639</c:v>
                </c:pt>
                <c:pt idx="345">
                  <c:v>0.16864313667629491</c:v>
                </c:pt>
                <c:pt idx="346">
                  <c:v>0.16912171116301616</c:v>
                </c:pt>
                <c:pt idx="347">
                  <c:v>0.16960027928815291</c:v>
                </c:pt>
                <c:pt idx="348">
                  <c:v>0.17007884112805846</c:v>
                </c:pt>
                <c:pt idx="349">
                  <c:v>0.17055739675907675</c:v>
                </c:pt>
                <c:pt idx="350">
                  <c:v>0.17103594625754251</c:v>
                </c:pt>
                <c:pt idx="351">
                  <c:v>0.17151448969978136</c:v>
                </c:pt>
                <c:pt idx="352">
                  <c:v>0.17199302716210996</c:v>
                </c:pt>
                <c:pt idx="353">
                  <c:v>0.17247155872083608</c:v>
                </c:pt>
                <c:pt idx="354">
                  <c:v>0.17295008445225873</c:v>
                </c:pt>
                <c:pt idx="355">
                  <c:v>0.17342860443266833</c:v>
                </c:pt>
                <c:pt idx="356">
                  <c:v>0.1739071187383468</c:v>
                </c:pt>
                <c:pt idx="357">
                  <c:v>0.1743856274455676</c:v>
                </c:pt>
                <c:pt idx="358">
                  <c:v>0.174864130630596</c:v>
                </c:pt>
                <c:pt idx="359">
                  <c:v>0.17534262836968909</c:v>
                </c:pt>
                <c:pt idx="360">
                  <c:v>0.17582112073909592</c:v>
                </c:pt>
                <c:pt idx="361">
                  <c:v>0.17629960781505766</c:v>
                </c:pt>
                <c:pt idx="362">
                  <c:v>0.17677808967380765</c:v>
                </c:pt>
                <c:pt idx="363">
                  <c:v>0.17725656639157159</c:v>
                </c:pt>
                <c:pt idx="364">
                  <c:v>0.17773503804456758</c:v>
                </c:pt>
                <c:pt idx="365">
                  <c:v>0.17821350470900635</c:v>
                </c:pt>
                <c:pt idx="366">
                  <c:v>0.17869196646109123</c:v>
                </c:pt>
                <c:pt idx="367">
                  <c:v>0.17917042337701844</c:v>
                </c:pt>
                <c:pt idx="368">
                  <c:v>0.17964887553297704</c:v>
                </c:pt>
                <c:pt idx="369">
                  <c:v>0.18012732300514919</c:v>
                </c:pt>
                <c:pt idx="370">
                  <c:v>0.18060576586971019</c:v>
                </c:pt>
                <c:pt idx="371">
                  <c:v>0.18108420420282861</c:v>
                </c:pt>
                <c:pt idx="372">
                  <c:v>0.18156263808066642</c:v>
                </c:pt>
                <c:pt idx="373">
                  <c:v>0.1820410675793791</c:v>
                </c:pt>
                <c:pt idx="374">
                  <c:v>0.18251949277511578</c:v>
                </c:pt>
                <c:pt idx="375">
                  <c:v>0.1829979137440193</c:v>
                </c:pt>
                <c:pt idx="376">
                  <c:v>0.18347633056222643</c:v>
                </c:pt>
                <c:pt idx="377">
                  <c:v>0.18395474330586789</c:v>
                </c:pt>
                <c:pt idx="378">
                  <c:v>0.1844331520510685</c:v>
                </c:pt>
                <c:pt idx="379">
                  <c:v>0.18491155687394734</c:v>
                </c:pt>
                <c:pt idx="380">
                  <c:v>0.18538995785061779</c:v>
                </c:pt>
                <c:pt idx="381">
                  <c:v>0.18586835505718774</c:v>
                </c:pt>
                <c:pt idx="382">
                  <c:v>0.18634674856975963</c:v>
                </c:pt>
                <c:pt idx="383">
                  <c:v>0.18682513846443063</c:v>
                </c:pt>
                <c:pt idx="384">
                  <c:v>0.18730352481729268</c:v>
                </c:pt>
                <c:pt idx="385">
                  <c:v>0.1877819077044327</c:v>
                </c:pt>
                <c:pt idx="386">
                  <c:v>0.18826028720193264</c:v>
                </c:pt>
                <c:pt idx="387">
                  <c:v>0.18873866338586964</c:v>
                </c:pt>
                <c:pt idx="388">
                  <c:v>0.18921703633231612</c:v>
                </c:pt>
                <c:pt idx="389">
                  <c:v>0.18969540611733993</c:v>
                </c:pt>
                <c:pt idx="390">
                  <c:v>0.1901737728170044</c:v>
                </c:pt>
                <c:pt idx="391">
                  <c:v>0.19065213650736856</c:v>
                </c:pt>
                <c:pt idx="392">
                  <c:v>0.19113049726448716</c:v>
                </c:pt>
                <c:pt idx="393">
                  <c:v>0.1916088551644109</c:v>
                </c:pt>
                <c:pt idx="394">
                  <c:v>0.1920872102831864</c:v>
                </c:pt>
                <c:pt idx="395">
                  <c:v>0.19256556269685643</c:v>
                </c:pt>
                <c:pt idx="396">
                  <c:v>0.19304391248146002</c:v>
                </c:pt>
                <c:pt idx="397">
                  <c:v>0.19352225971303255</c:v>
                </c:pt>
                <c:pt idx="398">
                  <c:v>0.19400060446760586</c:v>
                </c:pt>
                <c:pt idx="399">
                  <c:v>0.19447894682120836</c:v>
                </c:pt>
                <c:pt idx="400">
                  <c:v>0.19495728684986521</c:v>
                </c:pt>
                <c:pt idx="401">
                  <c:v>0.1954356246295984</c:v>
                </c:pt>
                <c:pt idx="402">
                  <c:v>0.19591396023642685</c:v>
                </c:pt>
                <c:pt idx="403">
                  <c:v>0.19639229374636652</c:v>
                </c:pt>
                <c:pt idx="404">
                  <c:v>0.19687062523543059</c:v>
                </c:pt>
                <c:pt idx="405">
                  <c:v>0.19734895477962952</c:v>
                </c:pt>
                <c:pt idx="406">
                  <c:v>0.19782728245497119</c:v>
                </c:pt>
                <c:pt idx="407">
                  <c:v>0.19830560833746103</c:v>
                </c:pt>
                <c:pt idx="408">
                  <c:v>0.19878393250310211</c:v>
                </c:pt>
                <c:pt idx="409">
                  <c:v>0.1992622550278953</c:v>
                </c:pt>
                <c:pt idx="410">
                  <c:v>0.19974057598783931</c:v>
                </c:pt>
                <c:pt idx="411">
                  <c:v>0.20021889545893093</c:v>
                </c:pt>
                <c:pt idx="412">
                  <c:v>0.20069721351716502</c:v>
                </c:pt>
                <c:pt idx="413">
                  <c:v>0.20117553023853468</c:v>
                </c:pt>
                <c:pt idx="414">
                  <c:v>0.20165384569903141</c:v>
                </c:pt>
                <c:pt idx="415">
                  <c:v>0.20213215997464518</c:v>
                </c:pt>
                <c:pt idx="416">
                  <c:v>0.20261047314136452</c:v>
                </c:pt>
                <c:pt idx="417">
                  <c:v>0.20308878527517674</c:v>
                </c:pt>
                <c:pt idx="418">
                  <c:v>0.20356709645206794</c:v>
                </c:pt>
                <c:pt idx="419">
                  <c:v>0.20404540674802321</c:v>
                </c:pt>
                <c:pt idx="420">
                  <c:v>0.20452371623902668</c:v>
                </c:pt>
                <c:pt idx="421">
                  <c:v>0.20500202500106166</c:v>
                </c:pt>
                <c:pt idx="422">
                  <c:v>0.20548033311011077</c:v>
                </c:pt>
                <c:pt idx="423">
                  <c:v>0.2059586406421561</c:v>
                </c:pt>
                <c:pt idx="424">
                  <c:v>0.20643694767317924</c:v>
                </c:pt>
                <c:pt idx="425">
                  <c:v>0.20691525427916144</c:v>
                </c:pt>
                <c:pt idx="426">
                  <c:v>0.20739356053608374</c:v>
                </c:pt>
                <c:pt idx="427">
                  <c:v>0.20787186651992706</c:v>
                </c:pt>
                <c:pt idx="428">
                  <c:v>0.20835017230667235</c:v>
                </c:pt>
                <c:pt idx="429">
                  <c:v>0.20882847797230072</c:v>
                </c:pt>
                <c:pt idx="430">
                  <c:v>0.20930678359279348</c:v>
                </c:pt>
                <c:pt idx="431">
                  <c:v>0.20978508924413231</c:v>
                </c:pt>
                <c:pt idx="432">
                  <c:v>0.2102633950022994</c:v>
                </c:pt>
                <c:pt idx="433">
                  <c:v>0.21074170094327757</c:v>
                </c:pt>
                <c:pt idx="434">
                  <c:v>0.21122000714305031</c:v>
                </c:pt>
                <c:pt idx="435">
                  <c:v>0.21169831367760197</c:v>
                </c:pt>
                <c:pt idx="436">
                  <c:v>0.21217662062291787</c:v>
                </c:pt>
                <c:pt idx="437">
                  <c:v>0.21265492805498434</c:v>
                </c:pt>
                <c:pt idx="438">
                  <c:v>0.21313323604978901</c:v>
                </c:pt>
                <c:pt idx="439">
                  <c:v>0.21361154468332075</c:v>
                </c:pt>
                <c:pt idx="440">
                  <c:v>0.21408985403156988</c:v>
                </c:pt>
                <c:pt idx="441">
                  <c:v>0.21456816417052829</c:v>
                </c:pt>
                <c:pt idx="442">
                  <c:v>0.21504647517618949</c:v>
                </c:pt>
                <c:pt idx="443">
                  <c:v>0.21552478712454878</c:v>
                </c:pt>
                <c:pt idx="444">
                  <c:v>0.21600310009160339</c:v>
                </c:pt>
                <c:pt idx="445">
                  <c:v>0.21648141415335259</c:v>
                </c:pt>
                <c:pt idx="446">
                  <c:v>0.21695972938579772</c:v>
                </c:pt>
                <c:pt idx="447">
                  <c:v>0.21743804586494242</c:v>
                </c:pt>
                <c:pt idx="448">
                  <c:v>0.21791636366679268</c:v>
                </c:pt>
                <c:pt idx="449">
                  <c:v>0.21839468286735703</c:v>
                </c:pt>
                <c:pt idx="450">
                  <c:v>0.21887300354264655</c:v>
                </c:pt>
                <c:pt idx="451">
                  <c:v>0.21935132576867508</c:v>
                </c:pt>
                <c:pt idx="452">
                  <c:v>0.21982964962145932</c:v>
                </c:pt>
                <c:pt idx="453">
                  <c:v>0.22030797517701892</c:v>
                </c:pt>
                <c:pt idx="454">
                  <c:v>0.2207863025113766</c:v>
                </c:pt>
                <c:pt idx="455">
                  <c:v>0.22126463170055827</c:v>
                </c:pt>
                <c:pt idx="456">
                  <c:v>0.22174296282059319</c:v>
                </c:pt>
                <c:pt idx="457">
                  <c:v>0.22222129594751408</c:v>
                </c:pt>
                <c:pt idx="458">
                  <c:v>0.22269963115735716</c:v>
                </c:pt>
                <c:pt idx="459">
                  <c:v>0.22317796852616234</c:v>
                </c:pt>
                <c:pt idx="460">
                  <c:v>0.22365630812997334</c:v>
                </c:pt>
                <c:pt idx="461">
                  <c:v>0.22413465004483776</c:v>
                </c:pt>
                <c:pt idx="462">
                  <c:v>0.22461299434680726</c:v>
                </c:pt>
                <c:pt idx="463">
                  <c:v>0.22509134111193763</c:v>
                </c:pt>
                <c:pt idx="464">
                  <c:v>0.22556969041628894</c:v>
                </c:pt>
                <c:pt idx="465">
                  <c:v>0.22604804233592563</c:v>
                </c:pt>
                <c:pt idx="466">
                  <c:v>0.22652639694691662</c:v>
                </c:pt>
                <c:pt idx="467">
                  <c:v>0.22700475432533551</c:v>
                </c:pt>
                <c:pt idx="468">
                  <c:v>0.22748311454726058</c:v>
                </c:pt>
                <c:pt idx="469">
                  <c:v>0.22796147768877498</c:v>
                </c:pt>
                <c:pt idx="470">
                  <c:v>0.22843984382596685</c:v>
                </c:pt>
                <c:pt idx="471">
                  <c:v>0.22891821303492943</c:v>
                </c:pt>
                <c:pt idx="472">
                  <c:v>0.22939658539176114</c:v>
                </c:pt>
                <c:pt idx="473">
                  <c:v>0.22987496097256577</c:v>
                </c:pt>
                <c:pt idx="474">
                  <c:v>0.23035333985345252</c:v>
                </c:pt>
                <c:pt idx="475">
                  <c:v>0.23083172211053621</c:v>
                </c:pt>
                <c:pt idx="476">
                  <c:v>0.23131010781993727</c:v>
                </c:pt>
                <c:pt idx="477">
                  <c:v>0.23178849705778201</c:v>
                </c:pt>
                <c:pt idx="478">
                  <c:v>0.23226688990020264</c:v>
                </c:pt>
                <c:pt idx="479">
                  <c:v>0.23274528642333736</c:v>
                </c:pt>
                <c:pt idx="480">
                  <c:v>0.23322368670333063</c:v>
                </c:pt>
                <c:pt idx="481">
                  <c:v>0.23370209081633309</c:v>
                </c:pt>
                <c:pt idx="482">
                  <c:v>0.23418049883850184</c:v>
                </c:pt>
                <c:pt idx="483">
                  <c:v>0.23465891084600049</c:v>
                </c:pt>
                <c:pt idx="484">
                  <c:v>0.23513732691499925</c:v>
                </c:pt>
                <c:pt idx="485">
                  <c:v>0.23561574712167513</c:v>
                </c:pt>
                <c:pt idx="486">
                  <c:v>0.23609417154221199</c:v>
                </c:pt>
                <c:pt idx="487">
                  <c:v>0.23657260025280069</c:v>
                </c:pt>
                <c:pt idx="488">
                  <c:v>0.2370510333296392</c:v>
                </c:pt>
                <c:pt idx="489">
                  <c:v>0.23752947084893269</c:v>
                </c:pt>
                <c:pt idx="490">
                  <c:v>0.23800791288689374</c:v>
                </c:pt>
                <c:pt idx="491">
                  <c:v>0.23848635951974234</c:v>
                </c:pt>
                <c:pt idx="492">
                  <c:v>0.2389648108237061</c:v>
                </c:pt>
                <c:pt idx="493">
                  <c:v>0.23944326687502032</c:v>
                </c:pt>
                <c:pt idx="494">
                  <c:v>0.23992172774992815</c:v>
                </c:pt>
                <c:pt idx="495">
                  <c:v>0.24040019352468067</c:v>
                </c:pt>
                <c:pt idx="496">
                  <c:v>0.240878664275537</c:v>
                </c:pt>
                <c:pt idx="497">
                  <c:v>0.24135714007876449</c:v>
                </c:pt>
                <c:pt idx="498">
                  <c:v>0.24183562101063874</c:v>
                </c:pt>
                <c:pt idx="499">
                  <c:v>0.24231410714744381</c:v>
                </c:pt>
                <c:pt idx="500">
                  <c:v>0.24279259856547231</c:v>
                </c:pt>
                <c:pt idx="501">
                  <c:v>0.24327109534102545</c:v>
                </c:pt>
                <c:pt idx="502">
                  <c:v>0.24374959755041328</c:v>
                </c:pt>
                <c:pt idx="503">
                  <c:v>0.24422810526995473</c:v>
                </c:pt>
                <c:pt idx="504">
                  <c:v>0.24470661857597772</c:v>
                </c:pt>
                <c:pt idx="505">
                  <c:v>0.24518513754481938</c:v>
                </c:pt>
                <c:pt idx="506">
                  <c:v>0.24566366225282601</c:v>
                </c:pt>
                <c:pt idx="507">
                  <c:v>0.24614219277635335</c:v>
                </c:pt>
                <c:pt idx="508">
                  <c:v>0.24662072919176659</c:v>
                </c:pt>
                <c:pt idx="509">
                  <c:v>0.24709927157544057</c:v>
                </c:pt>
                <c:pt idx="510">
                  <c:v>0.24757782000375986</c:v>
                </c:pt>
                <c:pt idx="511">
                  <c:v>0.24805637455311888</c:v>
                </c:pt>
                <c:pt idx="512">
                  <c:v>0.24853493529992204</c:v>
                </c:pt>
                <c:pt idx="513">
                  <c:v>0.24901350232058381</c:v>
                </c:pt>
                <c:pt idx="514">
                  <c:v>0.2494920756915289</c:v>
                </c:pt>
                <c:pt idx="515">
                  <c:v>0.24997065548919237</c:v>
                </c:pt>
                <c:pt idx="516">
                  <c:v>0.25044924179001971</c:v>
                </c:pt>
                <c:pt idx="517">
                  <c:v>0.25092783467046698</c:v>
                </c:pt>
                <c:pt idx="518">
                  <c:v>0.25140643420700098</c:v>
                </c:pt>
                <c:pt idx="519">
                  <c:v>0.25188504047609928</c:v>
                </c:pt>
                <c:pt idx="520">
                  <c:v>0.25236365355425039</c:v>
                </c:pt>
                <c:pt idx="521">
                  <c:v>0.25284227351795391</c:v>
                </c:pt>
                <c:pt idx="522">
                  <c:v>0.25332090044372058</c:v>
                </c:pt>
                <c:pt idx="523">
                  <c:v>0.25379953440807246</c:v>
                </c:pt>
                <c:pt idx="524">
                  <c:v>0.254278175487543</c:v>
                </c:pt>
                <c:pt idx="525">
                  <c:v>0.2547568237586772</c:v>
                </c:pt>
                <c:pt idx="526">
                  <c:v>0.2552354792980317</c:v>
                </c:pt>
                <c:pt idx="527">
                  <c:v>0.25571414218217497</c:v>
                </c:pt>
                <c:pt idx="528">
                  <c:v>0.25619281248768738</c:v>
                </c:pt>
                <c:pt idx="529">
                  <c:v>0.25667149029116121</c:v>
                </c:pt>
                <c:pt idx="530">
                  <c:v>0.25715017566920101</c:v>
                </c:pt>
                <c:pt idx="531">
                  <c:v>0.2576288686984235</c:v>
                </c:pt>
                <c:pt idx="532">
                  <c:v>0.25810756945545782</c:v>
                </c:pt>
                <c:pt idx="533">
                  <c:v>0.25858627801694567</c:v>
                </c:pt>
                <c:pt idx="534">
                  <c:v>0.25906499445954123</c:v>
                </c:pt>
                <c:pt idx="535">
                  <c:v>0.25954371885991157</c:v>
                </c:pt>
                <c:pt idx="536">
                  <c:v>0.2600224512947365</c:v>
                </c:pt>
                <c:pt idx="537">
                  <c:v>0.26050119184070897</c:v>
                </c:pt>
                <c:pt idx="538">
                  <c:v>0.26097994057453489</c:v>
                </c:pt>
                <c:pt idx="539">
                  <c:v>0.26145869757293344</c:v>
                </c:pt>
                <c:pt idx="540">
                  <c:v>0.2619374629126372</c:v>
                </c:pt>
                <c:pt idx="541">
                  <c:v>0.26241623667039216</c:v>
                </c:pt>
                <c:pt idx="542">
                  <c:v>0.26289501892295791</c:v>
                </c:pt>
                <c:pt idx="543">
                  <c:v>0.26337380974710778</c:v>
                </c:pt>
                <c:pt idx="544">
                  <c:v>0.26385260921962894</c:v>
                </c:pt>
                <c:pt idx="545">
                  <c:v>0.26433141741732252</c:v>
                </c:pt>
                <c:pt idx="546">
                  <c:v>0.26481023441700369</c:v>
                </c:pt>
                <c:pt idx="547">
                  <c:v>0.26528906029550181</c:v>
                </c:pt>
                <c:pt idx="548">
                  <c:v>0.26576789512966065</c:v>
                </c:pt>
                <c:pt idx="549">
                  <c:v>0.26624673899633833</c:v>
                </c:pt>
                <c:pt idx="550">
                  <c:v>0.26672559197240758</c:v>
                </c:pt>
                <c:pt idx="551">
                  <c:v>0.2672044541347558</c:v>
                </c:pt>
                <c:pt idx="552">
                  <c:v>0.26768332556028523</c:v>
                </c:pt>
                <c:pt idx="553">
                  <c:v>0.26816220632591298</c:v>
                </c:pt>
                <c:pt idx="554">
                  <c:v>0.26864109650857126</c:v>
                </c:pt>
                <c:pt idx="555">
                  <c:v>0.26911999618520749</c:v>
                </c:pt>
                <c:pt idx="556">
                  <c:v>0.26959890543278431</c:v>
                </c:pt>
                <c:pt idx="557">
                  <c:v>0.27007782432827981</c:v>
                </c:pt>
                <c:pt idx="558">
                  <c:v>0.27055675294868764</c:v>
                </c:pt>
                <c:pt idx="559">
                  <c:v>0.27103569137101707</c:v>
                </c:pt>
                <c:pt idx="560">
                  <c:v>0.27151463967229322</c:v>
                </c:pt>
                <c:pt idx="561">
                  <c:v>0.27199359792955707</c:v>
                </c:pt>
                <c:pt idx="562">
                  <c:v>0.27247256621986565</c:v>
                </c:pt>
                <c:pt idx="563">
                  <c:v>0.27295154462029214</c:v>
                </c:pt>
                <c:pt idx="564">
                  <c:v>0.27343053320792599</c:v>
                </c:pt>
                <c:pt idx="565">
                  <c:v>0.27390953205987306</c:v>
                </c:pt>
                <c:pt idx="566">
                  <c:v>0.27438854125325579</c:v>
                </c:pt>
                <c:pt idx="567">
                  <c:v>0.27486756086521313</c:v>
                </c:pt>
                <c:pt idx="568">
                  <c:v>0.27534659097290093</c:v>
                </c:pt>
                <c:pt idx="569">
                  <c:v>0.27582563165349189</c:v>
                </c:pt>
                <c:pt idx="570">
                  <c:v>0.27630468298417571</c:v>
                </c:pt>
                <c:pt idx="571">
                  <c:v>0.27678374504215925</c:v>
                </c:pt>
                <c:pt idx="572">
                  <c:v>0.27726281790466661</c:v>
                </c:pt>
                <c:pt idx="573">
                  <c:v>0.27774190164893925</c:v>
                </c:pt>
                <c:pt idx="574">
                  <c:v>0.27822099635223624</c:v>
                </c:pt>
                <c:pt idx="575">
                  <c:v>0.27870010209183416</c:v>
                </c:pt>
                <c:pt idx="576">
                  <c:v>0.27917921894502745</c:v>
                </c:pt>
                <c:pt idx="577">
                  <c:v>0.27965834698912839</c:v>
                </c:pt>
                <c:pt idx="578">
                  <c:v>0.28013748630146723</c:v>
                </c:pt>
                <c:pt idx="579">
                  <c:v>0.28061663695939243</c:v>
                </c:pt>
                <c:pt idx="580">
                  <c:v>0.2810957990402706</c:v>
                </c:pt>
                <c:pt idx="581">
                  <c:v>0.28157497262148679</c:v>
                </c:pt>
                <c:pt idx="582">
                  <c:v>0.28205415778044451</c:v>
                </c:pt>
                <c:pt idx="583">
                  <c:v>0.28253335459456597</c:v>
                </c:pt>
                <c:pt idx="584">
                  <c:v>0.28301256314129208</c:v>
                </c:pt>
                <c:pt idx="585">
                  <c:v>0.28349178349808263</c:v>
                </c:pt>
                <c:pt idx="586">
                  <c:v>0.28397101574241634</c:v>
                </c:pt>
                <c:pt idx="587">
                  <c:v>0.28445025995179118</c:v>
                </c:pt>
                <c:pt idx="588">
                  <c:v>0.28492951620372425</c:v>
                </c:pt>
                <c:pt idx="589">
                  <c:v>0.28540878457575214</c:v>
                </c:pt>
                <c:pt idx="590">
                  <c:v>0.2858880651454308</c:v>
                </c:pt>
                <c:pt idx="591">
                  <c:v>0.28636735799033591</c:v>
                </c:pt>
                <c:pt idx="592">
                  <c:v>0.28684666318806284</c:v>
                </c:pt>
                <c:pt idx="593">
                  <c:v>0.2873259808162269</c:v>
                </c:pt>
                <c:pt idx="594">
                  <c:v>0.28780531095246326</c:v>
                </c:pt>
                <c:pt idx="595">
                  <c:v>0.28828465367442735</c:v>
                </c:pt>
                <c:pt idx="596">
                  <c:v>0.28876400905979477</c:v>
                </c:pt>
                <c:pt idx="597">
                  <c:v>0.28924337718626153</c:v>
                </c:pt>
                <c:pt idx="598">
                  <c:v>0.28972275813154413</c:v>
                </c:pt>
                <c:pt idx="599">
                  <c:v>0.29020215197337967</c:v>
                </c:pt>
                <c:pt idx="600">
                  <c:v>0.29068155878952606</c:v>
                </c:pt>
                <c:pt idx="601">
                  <c:v>0.29116097865776197</c:v>
                </c:pt>
                <c:pt idx="602">
                  <c:v>0.29164041165588722</c:v>
                </c:pt>
                <c:pt idx="603">
                  <c:v>0.29211985786172262</c:v>
                </c:pt>
                <c:pt idx="604">
                  <c:v>0.29259931735311034</c:v>
                </c:pt>
                <c:pt idx="605">
                  <c:v>0.29307879020791383</c:v>
                </c:pt>
                <c:pt idx="606">
                  <c:v>0.29355827650401811</c:v>
                </c:pt>
                <c:pt idx="607">
                  <c:v>0.29403777631932987</c:v>
                </c:pt>
                <c:pt idx="608">
                  <c:v>0.29451728973177743</c:v>
                </c:pt>
                <c:pt idx="609">
                  <c:v>0.29499681681931111</c:v>
                </c:pt>
                <c:pt idx="610">
                  <c:v>0.29547635765990321</c:v>
                </c:pt>
                <c:pt idx="611">
                  <c:v>0.29595591233154817</c:v>
                </c:pt>
                <c:pt idx="612">
                  <c:v>0.29643548091226268</c:v>
                </c:pt>
                <c:pt idx="613">
                  <c:v>0.29691506348008584</c:v>
                </c:pt>
                <c:pt idx="614">
                  <c:v>0.29739466011307919</c:v>
                </c:pt>
                <c:pt idx="615">
                  <c:v>0.29787427088932705</c:v>
                </c:pt>
                <c:pt idx="616">
                  <c:v>0.29835389588693639</c:v>
                </c:pt>
                <c:pt idx="617">
                  <c:v>0.29883353518403721</c:v>
                </c:pt>
                <c:pt idx="618">
                  <c:v>0.29931318885878239</c:v>
                </c:pt>
                <c:pt idx="619">
                  <c:v>0.2997928569893481</c:v>
                </c:pt>
                <c:pt idx="620">
                  <c:v>0.30027253965393369</c:v>
                </c:pt>
                <c:pt idx="621">
                  <c:v>0.30075223693076197</c:v>
                </c:pt>
                <c:pt idx="622">
                  <c:v>0.3012319488980793</c:v>
                </c:pt>
                <c:pt idx="623">
                  <c:v>0.30171167563415563</c:v>
                </c:pt>
                <c:pt idx="624">
                  <c:v>0.30219141721728482</c:v>
                </c:pt>
                <c:pt idx="625">
                  <c:v>0.30267117372578456</c:v>
                </c:pt>
                <c:pt idx="626">
                  <c:v>0.30315094523799668</c:v>
                </c:pt>
                <c:pt idx="627">
                  <c:v>0.30363073183228706</c:v>
                </c:pt>
                <c:pt idx="628">
                  <c:v>0.30411053358704604</c:v>
                </c:pt>
                <c:pt idx="629">
                  <c:v>0.30459035058068828</c:v>
                </c:pt>
                <c:pt idx="630">
                  <c:v>0.30507018289165305</c:v>
                </c:pt>
                <c:pt idx="631">
                  <c:v>0.3055500305984043</c:v>
                </c:pt>
                <c:pt idx="632">
                  <c:v>0.30602989377943079</c:v>
                </c:pt>
                <c:pt idx="633">
                  <c:v>0.30650977251324629</c:v>
                </c:pt>
                <c:pt idx="634">
                  <c:v>0.30698966687838958</c:v>
                </c:pt>
                <c:pt idx="635">
                  <c:v>0.30746957695342469</c:v>
                </c:pt>
                <c:pt idx="636">
                  <c:v>0.307949502816941</c:v>
                </c:pt>
                <c:pt idx="637">
                  <c:v>0.30842944454755333</c:v>
                </c:pt>
                <c:pt idx="638">
                  <c:v>0.30890940222390206</c:v>
                </c:pt>
                <c:pt idx="639">
                  <c:v>0.30938937592465343</c:v>
                </c:pt>
                <c:pt idx="640">
                  <c:v>0.30986936572849938</c:v>
                </c:pt>
                <c:pt idx="641">
                  <c:v>0.310349371714158</c:v>
                </c:pt>
                <c:pt idx="642">
                  <c:v>0.31082939396037335</c:v>
                </c:pt>
                <c:pt idx="643">
                  <c:v>0.31130943254591581</c:v>
                </c:pt>
                <c:pt idx="644">
                  <c:v>0.31178948754958208</c:v>
                </c:pt>
                <c:pt idx="645">
                  <c:v>0.31226955905019549</c:v>
                </c:pt>
                <c:pt idx="646">
                  <c:v>0.31274964712660591</c:v>
                </c:pt>
                <c:pt idx="647">
                  <c:v>0.31322975185768998</c:v>
                </c:pt>
                <c:pt idx="648">
                  <c:v>0.31370987332235128</c:v>
                </c:pt>
                <c:pt idx="649">
                  <c:v>0.31419001159952042</c:v>
                </c:pt>
                <c:pt idx="650">
                  <c:v>0.31467016676815512</c:v>
                </c:pt>
                <c:pt idx="651">
                  <c:v>0.31515033890724048</c:v>
                </c:pt>
                <c:pt idx="652">
                  <c:v>0.31563052809578895</c:v>
                </c:pt>
                <c:pt idx="653">
                  <c:v>0.31611073441284054</c:v>
                </c:pt>
                <c:pt idx="654">
                  <c:v>0.316590957937463</c:v>
                </c:pt>
                <c:pt idx="655">
                  <c:v>0.31707119874875184</c:v>
                </c:pt>
                <c:pt idx="656">
                  <c:v>0.31755145692583053</c:v>
                </c:pt>
                <c:pt idx="657">
                  <c:v>0.31803173254785072</c:v>
                </c:pt>
                <c:pt idx="658">
                  <c:v>0.31851202569399212</c:v>
                </c:pt>
                <c:pt idx="659">
                  <c:v>0.31899233644346286</c:v>
                </c:pt>
                <c:pt idx="660">
                  <c:v>0.31947266487549963</c:v>
                </c:pt>
                <c:pt idx="661">
                  <c:v>0.31995301106936758</c:v>
                </c:pt>
                <c:pt idx="662">
                  <c:v>0.32043337510436071</c:v>
                </c:pt>
                <c:pt idx="663">
                  <c:v>0.3209137570598018</c:v>
                </c:pt>
                <c:pt idx="664">
                  <c:v>0.32139415701504276</c:v>
                </c:pt>
                <c:pt idx="665">
                  <c:v>0.32187457504946454</c:v>
                </c:pt>
                <c:pt idx="666">
                  <c:v>0.32235501124247745</c:v>
                </c:pt>
                <c:pt idx="667">
                  <c:v>0.32283546567352112</c:v>
                </c:pt>
                <c:pt idx="668">
                  <c:v>0.32331593842206474</c:v>
                </c:pt>
                <c:pt idx="669">
                  <c:v>0.32379642956760729</c:v>
                </c:pt>
                <c:pt idx="670">
                  <c:v>0.32427693918967737</c:v>
                </c:pt>
                <c:pt idx="671">
                  <c:v>0.32475746736783367</c:v>
                </c:pt>
                <c:pt idx="672">
                  <c:v>0.32523801418166487</c:v>
                </c:pt>
                <c:pt idx="673">
                  <c:v>0.32571857971078993</c:v>
                </c:pt>
                <c:pt idx="674">
                  <c:v>0.3261991640348581</c:v>
                </c:pt>
                <c:pt idx="675">
                  <c:v>0.32667976723354913</c:v>
                </c:pt>
                <c:pt idx="676">
                  <c:v>0.32716038938657332</c:v>
                </c:pt>
                <c:pt idx="677">
                  <c:v>0.32764103057367183</c:v>
                </c:pt>
                <c:pt idx="678">
                  <c:v>0.32812169087461662</c:v>
                </c:pt>
                <c:pt idx="679">
                  <c:v>0.32860237036921069</c:v>
                </c:pt>
                <c:pt idx="680">
                  <c:v>0.32908306913728819</c:v>
                </c:pt>
                <c:pt idx="681">
                  <c:v>0.32956378725871449</c:v>
                </c:pt>
                <c:pt idx="682">
                  <c:v>0.33004452481338653</c:v>
                </c:pt>
                <c:pt idx="683">
                  <c:v>0.33052528188123265</c:v>
                </c:pt>
                <c:pt idx="684">
                  <c:v>0.33100605854221299</c:v>
                </c:pt>
                <c:pt idx="685">
                  <c:v>0.33148685487631946</c:v>
                </c:pt>
                <c:pt idx="686">
                  <c:v>0.33196767096357599</c:v>
                </c:pt>
                <c:pt idx="687">
                  <c:v>0.33244850688403849</c:v>
                </c:pt>
                <c:pt idx="688">
                  <c:v>0.33292936271779522</c:v>
                </c:pt>
                <c:pt idx="689">
                  <c:v>0.33341023854496676</c:v>
                </c:pt>
                <c:pt idx="690">
                  <c:v>0.33389113444570623</c:v>
                </c:pt>
                <c:pt idx="691">
                  <c:v>0.33437205050019936</c:v>
                </c:pt>
                <c:pt idx="692">
                  <c:v>0.33485298678866465</c:v>
                </c:pt>
                <c:pt idx="693">
                  <c:v>0.33533394339135358</c:v>
                </c:pt>
                <c:pt idx="694">
                  <c:v>0.3358149203885506</c:v>
                </c:pt>
                <c:pt idx="695">
                  <c:v>0.33629591786057339</c:v>
                </c:pt>
                <c:pt idx="696">
                  <c:v>0.33677693588777302</c:v>
                </c:pt>
                <c:pt idx="697">
                  <c:v>0.33725797455053391</c:v>
                </c:pt>
                <c:pt idx="698">
                  <c:v>0.33773903392927412</c:v>
                </c:pt>
                <c:pt idx="699">
                  <c:v>0.33822011410444552</c:v>
                </c:pt>
                <c:pt idx="700">
                  <c:v>0.33870121515653379</c:v>
                </c:pt>
                <c:pt idx="701">
                  <c:v>0.33918233716605861</c:v>
                </c:pt>
                <c:pt idx="702">
                  <c:v>0.3396634802135739</c:v>
                </c:pt>
                <c:pt idx="703">
                  <c:v>0.34014464437966774</c:v>
                </c:pt>
                <c:pt idx="704">
                  <c:v>0.34062582974496275</c:v>
                </c:pt>
                <c:pt idx="705">
                  <c:v>0.34110703639011614</c:v>
                </c:pt>
                <c:pt idx="706">
                  <c:v>0.34158826439581969</c:v>
                </c:pt>
                <c:pt idx="707">
                  <c:v>0.34206951384280015</c:v>
                </c:pt>
                <c:pt idx="708">
                  <c:v>0.34255078481181922</c:v>
                </c:pt>
                <c:pt idx="709">
                  <c:v>0.34303207738367375</c:v>
                </c:pt>
                <c:pt idx="710">
                  <c:v>0.34351339163919581</c:v>
                </c:pt>
                <c:pt idx="711">
                  <c:v>0.34399472765925287</c:v>
                </c:pt>
                <c:pt idx="712">
                  <c:v>0.34447608552474795</c:v>
                </c:pt>
                <c:pt idx="713">
                  <c:v>0.3449574653166198</c:v>
                </c:pt>
                <c:pt idx="714">
                  <c:v>0.34543886711584293</c:v>
                </c:pt>
                <c:pt idx="715">
                  <c:v>0.34592029100342786</c:v>
                </c:pt>
                <c:pt idx="716">
                  <c:v>0.34640173706042121</c:v>
                </c:pt>
                <c:pt idx="717">
                  <c:v>0.34688320536790584</c:v>
                </c:pt>
                <c:pt idx="718">
                  <c:v>0.34736469600700098</c:v>
                </c:pt>
                <c:pt idx="719">
                  <c:v>0.34784620905886238</c:v>
                </c:pt>
                <c:pt idx="720">
                  <c:v>0.34832774460468247</c:v>
                </c:pt>
                <c:pt idx="721">
                  <c:v>0.3488093027256905</c:v>
                </c:pt>
                <c:pt idx="722">
                  <c:v>0.34929088350315268</c:v>
                </c:pt>
                <c:pt idx="723">
                  <c:v>0.34977248701837227</c:v>
                </c:pt>
                <c:pt idx="724">
                  <c:v>0.3502541133526898</c:v>
                </c:pt>
                <c:pt idx="725">
                  <c:v>0.35073576258748312</c:v>
                </c:pt>
                <c:pt idx="726">
                  <c:v>0.35121743480416767</c:v>
                </c:pt>
                <c:pt idx="727">
                  <c:v>0.35169913008419645</c:v>
                </c:pt>
                <c:pt idx="728">
                  <c:v>0.3521808485090604</c:v>
                </c:pt>
                <c:pt idx="729">
                  <c:v>0.35266259016028823</c:v>
                </c:pt>
                <c:pt idx="730">
                  <c:v>0.35314435511944692</c:v>
                </c:pt>
                <c:pt idx="731">
                  <c:v>0.35362614346814153</c:v>
                </c:pt>
                <c:pt idx="732">
                  <c:v>0.35410795528801559</c:v>
                </c:pt>
                <c:pt idx="733">
                  <c:v>0.35458979066075108</c:v>
                </c:pt>
                <c:pt idx="734">
                  <c:v>0.3550716496680687</c:v>
                </c:pt>
                <c:pt idx="735">
                  <c:v>0.35555353239172788</c:v>
                </c:pt>
                <c:pt idx="736">
                  <c:v>0.35603543891352707</c:v>
                </c:pt>
                <c:pt idx="737">
                  <c:v>0.35651736931530376</c:v>
                </c:pt>
                <c:pt idx="738">
                  <c:v>0.35699932367893467</c:v>
                </c:pt>
                <c:pt idx="739">
                  <c:v>0.35748130208633588</c:v>
                </c:pt>
                <c:pt idx="740">
                  <c:v>0.35796330461946307</c:v>
                </c:pt>
                <c:pt idx="741">
                  <c:v>0.35844533136031159</c:v>
                </c:pt>
                <c:pt idx="742">
                  <c:v>0.35892738239091648</c:v>
                </c:pt>
                <c:pt idx="743">
                  <c:v>0.35940945779335287</c:v>
                </c:pt>
                <c:pt idx="744">
                  <c:v>0.3598915576497359</c:v>
                </c:pt>
                <c:pt idx="745">
                  <c:v>0.36037368204222098</c:v>
                </c:pt>
                <c:pt idx="746">
                  <c:v>0.36085583105300395</c:v>
                </c:pt>
                <c:pt idx="747">
                  <c:v>0.36133800476432121</c:v>
                </c:pt>
                <c:pt idx="748">
                  <c:v>0.36182020325844971</c:v>
                </c:pt>
                <c:pt idx="749">
                  <c:v>0.3623024266177074</c:v>
                </c:pt>
                <c:pt idx="750">
                  <c:v>0.3627846749244531</c:v>
                </c:pt>
                <c:pt idx="751">
                  <c:v>0.3632669482610868</c:v>
                </c:pt>
                <c:pt idx="752">
                  <c:v>0.36374924671004971</c:v>
                </c:pt>
                <c:pt idx="753">
                  <c:v>0.36423157035382447</c:v>
                </c:pt>
                <c:pt idx="754">
                  <c:v>0.36471391927493535</c:v>
                </c:pt>
                <c:pt idx="755">
                  <c:v>0.36519629355594829</c:v>
                </c:pt>
                <c:pt idx="756">
                  <c:v>0.36567869327947106</c:v>
                </c:pt>
                <c:pt idx="757">
                  <c:v>0.36616111852815347</c:v>
                </c:pt>
                <c:pt idx="758">
                  <c:v>0.36664356938468751</c:v>
                </c:pt>
                <c:pt idx="759">
                  <c:v>0.36712604593180737</c:v>
                </c:pt>
                <c:pt idx="760">
                  <c:v>0.36760854825228984</c:v>
                </c:pt>
                <c:pt idx="761">
                  <c:v>0.36809107642895417</c:v>
                </c:pt>
                <c:pt idx="762">
                  <c:v>0.36857363054466241</c:v>
                </c:pt>
                <c:pt idx="763">
                  <c:v>0.36905621068231959</c:v>
                </c:pt>
                <c:pt idx="764">
                  <c:v>0.36953881692487361</c:v>
                </c:pt>
                <c:pt idx="765">
                  <c:v>0.37002144935531572</c:v>
                </c:pt>
                <c:pt idx="766">
                  <c:v>0.37050410805668049</c:v>
                </c:pt>
                <c:pt idx="767">
                  <c:v>0.37098679311204591</c:v>
                </c:pt>
                <c:pt idx="768">
                  <c:v>0.37146950460453365</c:v>
                </c:pt>
                <c:pt idx="769">
                  <c:v>0.37195224261730919</c:v>
                </c:pt>
                <c:pt idx="770">
                  <c:v>0.37243500723358197</c:v>
                </c:pt>
                <c:pt idx="771">
                  <c:v>0.3729177985366055</c:v>
                </c:pt>
                <c:pt idx="772">
                  <c:v>0.37340061660967749</c:v>
                </c:pt>
                <c:pt idx="773">
                  <c:v>0.37388346153614016</c:v>
                </c:pt>
                <c:pt idx="774">
                  <c:v>0.37436633339938014</c:v>
                </c:pt>
                <c:pt idx="775">
                  <c:v>0.37484923228282885</c:v>
                </c:pt>
                <c:pt idx="776">
                  <c:v>0.37533215826996252</c:v>
                </c:pt>
                <c:pt idx="777">
                  <c:v>0.37581511144430246</c:v>
                </c:pt>
                <c:pt idx="778">
                  <c:v>0.37629809188941499</c:v>
                </c:pt>
                <c:pt idx="779">
                  <c:v>0.37678109968891188</c:v>
                </c:pt>
                <c:pt idx="780">
                  <c:v>0.37726413492645028</c:v>
                </c:pt>
                <c:pt idx="781">
                  <c:v>0.37774719768573295</c:v>
                </c:pt>
                <c:pt idx="782">
                  <c:v>0.3782302880505084</c:v>
                </c:pt>
                <c:pt idx="783">
                  <c:v>0.3787134061045711</c:v>
                </c:pt>
                <c:pt idx="784">
                  <c:v>0.37919655193176161</c:v>
                </c:pt>
                <c:pt idx="785">
                  <c:v>0.37967972561596663</c:v>
                </c:pt>
                <c:pt idx="786">
                  <c:v>0.38016292724111933</c:v>
                </c:pt>
                <c:pt idx="787">
                  <c:v>0.38064615689119935</c:v>
                </c:pt>
                <c:pt idx="788">
                  <c:v>0.38112941465023298</c:v>
                </c:pt>
                <c:pt idx="789">
                  <c:v>0.38161270060229341</c:v>
                </c:pt>
                <c:pt idx="790">
                  <c:v>0.38209601483150085</c:v>
                </c:pt>
                <c:pt idx="791">
                  <c:v>0.38257935742202254</c:v>
                </c:pt>
                <c:pt idx="792">
                  <c:v>0.38306272845807315</c:v>
                </c:pt>
                <c:pt idx="793">
                  <c:v>0.38354612802391475</c:v>
                </c:pt>
                <c:pt idx="794">
                  <c:v>0.38402955620385698</c:v>
                </c:pt>
                <c:pt idx="795">
                  <c:v>0.38451301308225733</c:v>
                </c:pt>
                <c:pt idx="796">
                  <c:v>0.38499649874352121</c:v>
                </c:pt>
                <c:pt idx="797">
                  <c:v>0.38548001327210202</c:v>
                </c:pt>
                <c:pt idx="798">
                  <c:v>0.38596355675250149</c:v>
                </c:pt>
                <c:pt idx="799">
                  <c:v>0.38644712926926966</c:v>
                </c:pt>
                <c:pt idx="800">
                  <c:v>0.38693073090700519</c:v>
                </c:pt>
                <c:pt idx="801">
                  <c:v>0.38741436175035548</c:v>
                </c:pt>
                <c:pt idx="802">
                  <c:v>0.38789802188401667</c:v>
                </c:pt>
                <c:pt idx="803">
                  <c:v>0.38838171139273397</c:v>
                </c:pt>
                <c:pt idx="804">
                  <c:v>0.38886543036130183</c:v>
                </c:pt>
                <c:pt idx="805">
                  <c:v>0.38934917887456399</c:v>
                </c:pt>
                <c:pt idx="806">
                  <c:v>0.38983295701741372</c:v>
                </c:pt>
                <c:pt idx="807">
                  <c:v>0.39031676487479383</c:v>
                </c:pt>
                <c:pt idx="808">
                  <c:v>0.39080060253169707</c:v>
                </c:pt>
                <c:pt idx="809">
                  <c:v>0.39128447007316614</c:v>
                </c:pt>
                <c:pt idx="810">
                  <c:v>0.39176836758429379</c:v>
                </c:pt>
                <c:pt idx="811">
                  <c:v>0.39225229515022308</c:v>
                </c:pt>
                <c:pt idx="812">
                  <c:v>0.39273625285614761</c:v>
                </c:pt>
                <c:pt idx="813">
                  <c:v>0.39322024078731155</c:v>
                </c:pt>
                <c:pt idx="814">
                  <c:v>0.39370425902900974</c:v>
                </c:pt>
                <c:pt idx="815">
                  <c:v>0.39418830766658808</c:v>
                </c:pt>
                <c:pt idx="816">
                  <c:v>0.39467238678544347</c:v>
                </c:pt>
                <c:pt idx="817">
                  <c:v>0.39515649647102408</c:v>
                </c:pt>
                <c:pt idx="818">
                  <c:v>0.39564063680882955</c:v>
                </c:pt>
                <c:pt idx="819">
                  <c:v>0.39612480788441101</c:v>
                </c:pt>
                <c:pt idx="820">
                  <c:v>0.39660900978337132</c:v>
                </c:pt>
                <c:pt idx="821">
                  <c:v>0.3970932425913653</c:v>
                </c:pt>
                <c:pt idx="822">
                  <c:v>0.39757750639409983</c:v>
                </c:pt>
                <c:pt idx="823">
                  <c:v>0.39806180127733393</c:v>
                </c:pt>
                <c:pt idx="824">
                  <c:v>0.39854612732687905</c:v>
                </c:pt>
                <c:pt idx="825">
                  <c:v>0.39903048462859919</c:v>
                </c:pt>
                <c:pt idx="826">
                  <c:v>0.39951487326841106</c:v>
                </c:pt>
                <c:pt idx="827">
                  <c:v>0.39999929333228423</c:v>
                </c:pt>
                <c:pt idx="828">
                  <c:v>0.40048374490624128</c:v>
                </c:pt>
                <c:pt idx="829">
                  <c:v>0.40096822807635801</c:v>
                </c:pt>
                <c:pt idx="830">
                  <c:v>0.40145274292876354</c:v>
                </c:pt>
                <c:pt idx="831">
                  <c:v>0.40193728954964059</c:v>
                </c:pt>
                <c:pt idx="832">
                  <c:v>0.40242186802522556</c:v>
                </c:pt>
                <c:pt idx="833">
                  <c:v>0.40290647844180866</c:v>
                </c:pt>
                <c:pt idx="834">
                  <c:v>0.40339112088573409</c:v>
                </c:pt>
                <c:pt idx="835">
                  <c:v>0.40380591126550303</c:v>
                </c:pt>
                <c:pt idx="836">
                  <c:v>0.40422070164527196</c:v>
                </c:pt>
                <c:pt idx="837">
                  <c:v>0.4046354920250409</c:v>
                </c:pt>
                <c:pt idx="838">
                  <c:v>0.40505028240480984</c:v>
                </c:pt>
                <c:pt idx="839">
                  <c:v>0.40546507278457877</c:v>
                </c:pt>
                <c:pt idx="840">
                  <c:v>0.40587986316434771</c:v>
                </c:pt>
                <c:pt idx="841">
                  <c:v>0.40629465354411665</c:v>
                </c:pt>
                <c:pt idx="842">
                  <c:v>0.40670944392388558</c:v>
                </c:pt>
                <c:pt idx="843">
                  <c:v>0.40712423430365452</c:v>
                </c:pt>
                <c:pt idx="844">
                  <c:v>0.40753902468342346</c:v>
                </c:pt>
                <c:pt idx="845">
                  <c:v>0.40795381506319239</c:v>
                </c:pt>
                <c:pt idx="846">
                  <c:v>0.40836860544296133</c:v>
                </c:pt>
                <c:pt idx="847">
                  <c:v>0.40878339582273027</c:v>
                </c:pt>
                <c:pt idx="848">
                  <c:v>0.4091981862024992</c:v>
                </c:pt>
                <c:pt idx="849">
                  <c:v>0.40961297658226814</c:v>
                </c:pt>
                <c:pt idx="850">
                  <c:v>0.41002776696203708</c:v>
                </c:pt>
                <c:pt idx="851">
                  <c:v>0.41044255734180601</c:v>
                </c:pt>
                <c:pt idx="852">
                  <c:v>0.41085734772157495</c:v>
                </c:pt>
                <c:pt idx="853">
                  <c:v>0.41127213810134389</c:v>
                </c:pt>
                <c:pt idx="854">
                  <c:v>0.41168692848111282</c:v>
                </c:pt>
                <c:pt idx="855">
                  <c:v>0.41210171886088176</c:v>
                </c:pt>
                <c:pt idx="856">
                  <c:v>0.4125165092406507</c:v>
                </c:pt>
                <c:pt idx="857">
                  <c:v>0.41293129962041963</c:v>
                </c:pt>
                <c:pt idx="858">
                  <c:v>0.41334609000018857</c:v>
                </c:pt>
                <c:pt idx="859">
                  <c:v>0.41376088037995751</c:v>
                </c:pt>
                <c:pt idx="860">
                  <c:v>0.41417567075972644</c:v>
                </c:pt>
                <c:pt idx="861">
                  <c:v>0.41459046113949538</c:v>
                </c:pt>
                <c:pt idx="862">
                  <c:v>0.41500525151926432</c:v>
                </c:pt>
                <c:pt idx="863">
                  <c:v>0.41542004189903325</c:v>
                </c:pt>
                <c:pt idx="864">
                  <c:v>0.41583483227880219</c:v>
                </c:pt>
                <c:pt idx="865">
                  <c:v>0.41624962265857113</c:v>
                </c:pt>
                <c:pt idx="866">
                  <c:v>0.41666441303834006</c:v>
                </c:pt>
                <c:pt idx="867">
                  <c:v>0.417079203418109</c:v>
                </c:pt>
                <c:pt idx="868">
                  <c:v>0.41749399379787794</c:v>
                </c:pt>
                <c:pt idx="869">
                  <c:v>0.41790878417764687</c:v>
                </c:pt>
                <c:pt idx="870">
                  <c:v>0.41832357455741581</c:v>
                </c:pt>
                <c:pt idx="871">
                  <c:v>0.41873836493718475</c:v>
                </c:pt>
                <c:pt idx="872">
                  <c:v>0.41915315531695369</c:v>
                </c:pt>
                <c:pt idx="873">
                  <c:v>0.41956794569672262</c:v>
                </c:pt>
                <c:pt idx="874">
                  <c:v>0.41998273607649156</c:v>
                </c:pt>
                <c:pt idx="875">
                  <c:v>0.4203975264562605</c:v>
                </c:pt>
                <c:pt idx="876">
                  <c:v>0.42081231683602943</c:v>
                </c:pt>
                <c:pt idx="877">
                  <c:v>0.42122710721579837</c:v>
                </c:pt>
                <c:pt idx="878">
                  <c:v>0.42164189759556731</c:v>
                </c:pt>
                <c:pt idx="879">
                  <c:v>0.42205668797533624</c:v>
                </c:pt>
                <c:pt idx="880">
                  <c:v>0.42247147835510518</c:v>
                </c:pt>
                <c:pt idx="881">
                  <c:v>0.42288626873487412</c:v>
                </c:pt>
                <c:pt idx="882">
                  <c:v>0.42330105911464305</c:v>
                </c:pt>
              </c:numCache>
            </c:numRef>
          </c:xVal>
          <c:yVal>
            <c:numRef>
              <c:f>Pressure!$AC$28:$AC$910</c:f>
              <c:numCache>
                <c:formatCode>0.000</c:formatCode>
                <c:ptCount val="883"/>
                <c:pt idx="0">
                  <c:v>0</c:v>
                </c:pt>
                <c:pt idx="1">
                  <c:v>0.86438175450539823</c:v>
                </c:pt>
                <c:pt idx="2">
                  <c:v>1.4665064047761169</c:v>
                </c:pt>
                <c:pt idx="3">
                  <c:v>1.9493130715625338</c:v>
                </c:pt>
                <c:pt idx="4">
                  <c:v>2.3479406523559927</c:v>
                </c:pt>
                <c:pt idx="5">
                  <c:v>2.6821537706790362</c:v>
                </c:pt>
                <c:pt idx="6">
                  <c:v>2.9651161696999124</c:v>
                </c:pt>
                <c:pt idx="7">
                  <c:v>3.2063422258353222</c:v>
                </c:pt>
                <c:pt idx="8">
                  <c:v>3.4130494580838224</c:v>
                </c:pt>
                <c:pt idx="9">
                  <c:v>3.5908900130859118</c:v>
                </c:pt>
                <c:pt idx="10">
                  <c:v>3.7443903432481349</c:v>
                </c:pt>
                <c:pt idx="11">
                  <c:v>3.8772356667789944</c:v>
                </c:pt>
                <c:pt idx="12">
                  <c:v>3.9924642578991794</c:v>
                </c:pt>
                <c:pt idx="13">
                  <c:v>4.0926057720055899</c:v>
                </c:pt>
                <c:pt idx="14">
                  <c:v>4.179782995298293</c:v>
                </c:pt>
                <c:pt idx="15">
                  <c:v>4.255788679967579</c:v>
                </c:pt>
                <c:pt idx="16">
                  <c:v>4.3221448222616967</c:v>
                </c:pt>
                <c:pt idx="17">
                  <c:v>4.3801492131734889</c:v>
                </c:pt>
                <c:pt idx="18">
                  <c:v>4.430912539968193</c:v>
                </c:pt>
                <c:pt idx="19">
                  <c:v>4.4753883281061615</c:v>
                </c:pt>
                <c:pt idx="20">
                  <c:v>4.5143973625720015</c:v>
                </c:pt>
                <c:pt idx="21">
                  <c:v>4.5486477874621292</c:v>
                </c:pt>
                <c:pt idx="22">
                  <c:v>4.5787517775037889</c:v>
                </c:pt>
                <c:pt idx="23">
                  <c:v>4.6052394589480192</c:v>
                </c:pt>
                <c:pt idx="24">
                  <c:v>4.6285706010770848</c:v>
                </c:pt>
                <c:pt idx="25">
                  <c:v>4.6491444847592236</c:v>
                </c:pt>
                <c:pt idx="26">
                  <c:v>4.6673082687603342</c:v>
                </c:pt>
                <c:pt idx="27">
                  <c:v>4.6833641095926914</c:v>
                </c:pt>
                <c:pt idx="28">
                  <c:v>4.6975752408677343</c:v>
                </c:pt>
                <c:pt idx="29">
                  <c:v>4.7101711794414474</c:v>
                </c:pt>
                <c:pt idx="30">
                  <c:v>4.7213521952795601</c:v>
                </c:pt>
                <c:pt idx="31">
                  <c:v>4.7312931579045348</c:v>
                </c:pt>
                <c:pt idx="32">
                  <c:v>4.740146853030053</c:v>
                </c:pt>
                <c:pt idx="33">
                  <c:v>4.7480468474601487</c:v>
                </c:pt>
                <c:pt idx="34">
                  <c:v>4.7551099676973765</c:v>
                </c:pt>
                <c:pt idx="35">
                  <c:v>4.7614384473729627</c:v>
                </c:pt>
                <c:pt idx="36">
                  <c:v>4.7671217900954925</c:v>
                </c:pt>
                <c:pt idx="37">
                  <c:v>4.772238387253644</c:v>
                </c:pt>
                <c:pt idx="38">
                  <c:v>4.7768569244361885</c:v>
                </c:pt>
                <c:pt idx="39">
                  <c:v>4.7810376052055794</c:v>
                </c:pt>
                <c:pt idx="40">
                  <c:v>4.7848332168274403</c:v>
                </c:pt>
                <c:pt idx="41">
                  <c:v>4.7882900590603255</c:v>
                </c:pt>
                <c:pt idx="42">
                  <c:v>4.7914487541607675</c:v>
                </c:pt>
                <c:pt idx="43">
                  <c:v>4.7943449537332707</c:v>
                </c:pt>
                <c:pt idx="44">
                  <c:v>4.7970099559154713</c:v>
                </c:pt>
                <c:pt idx="45">
                  <c:v>4.7994712445635725</c:v>
                </c:pt>
                <c:pt idx="46">
                  <c:v>4.8017529605184945</c:v>
                </c:pt>
                <c:pt idx="47">
                  <c:v>4.8038763137009708</c:v>
                </c:pt>
                <c:pt idx="48">
                  <c:v>4.805859943615868</c:v>
                </c:pt>
                <c:pt idx="49">
                  <c:v>4.8077202348502226</c:v>
                </c:pt>
                <c:pt idx="50">
                  <c:v>4.8094715932852639</c:v>
                </c:pt>
                <c:pt idx="51">
                  <c:v>4.8111266880019103</c:v>
                </c:pt>
                <c:pt idx="52">
                  <c:v>4.8126966632101995</c:v>
                </c:pt>
                <c:pt idx="53">
                  <c:v>4.8141913239759431</c:v>
                </c:pt>
                <c:pt idx="54">
                  <c:v>4.8156192990354247</c:v>
                </c:pt>
                <c:pt idx="55">
                  <c:v>4.8169881835622794</c:v>
                </c:pt>
                <c:pt idx="56">
                  <c:v>4.8183046643963898</c:v>
                </c:pt>
                <c:pt idx="57">
                  <c:v>4.819574629911286</c:v>
                </c:pt>
                <c:pt idx="58">
                  <c:v>4.8208032664372542</c:v>
                </c:pt>
                <c:pt idx="59">
                  <c:v>4.8219951428996533</c:v>
                </c:pt>
                <c:pt idx="60">
                  <c:v>4.8231542851364377</c:v>
                </c:pt>
                <c:pt idx="61">
                  <c:v>4.8242842411665334</c:v>
                </c:pt>
                <c:pt idx="62">
                  <c:v>4.8253881385241888</c:v>
                </c:pt>
                <c:pt idx="63">
                  <c:v>4.8264687346360144</c:v>
                </c:pt>
                <c:pt idx="64">
                  <c:v>4.8275284610957714</c:v>
                </c:pt>
                <c:pt idx="65">
                  <c:v>4.8285694625830891</c:v>
                </c:pt>
                <c:pt idx="66">
                  <c:v>4.8295936310817487</c:v>
                </c:pt>
                <c:pt idx="67">
                  <c:v>4.8306026359725305</c:v>
                </c:pt>
                <c:pt idx="68">
                  <c:v>4.8315979505037676</c:v>
                </c:pt>
                <c:pt idx="69">
                  <c:v>4.8325808750786887</c:v>
                </c:pt>
                <c:pt idx="70">
                  <c:v>4.8335525577483605</c:v>
                </c:pt>
                <c:pt idx="71">
                  <c:v>4.8345140122491559</c:v>
                </c:pt>
                <c:pt idx="72">
                  <c:v>4.8354661338809777</c:v>
                </c:pt>
                <c:pt idx="73">
                  <c:v>4.8364097134879582</c:v>
                </c:pt>
                <c:pt idx="74">
                  <c:v>4.8373454497719095</c:v>
                </c:pt>
                <c:pt idx="75">
                  <c:v>4.8382739601390758</c:v>
                </c:pt>
                <c:pt idx="76">
                  <c:v>4.8391957902541423</c:v>
                </c:pt>
                <c:pt idx="77">
                  <c:v>4.8401114224623782</c:v>
                </c:pt>
                <c:pt idx="78">
                  <c:v>4.8410212832101127</c:v>
                </c:pt>
                <c:pt idx="79">
                  <c:v>4.8419257495886834</c:v>
                </c:pt>
                <c:pt idx="80">
                  <c:v>4.8428251551006314</c:v>
                </c:pt>
                <c:pt idx="81">
                  <c:v>4.843719794750033</c:v>
                </c:pt>
                <c:pt idx="82">
                  <c:v>4.8446099295268494</c:v>
                </c:pt>
                <c:pt idx="83">
                  <c:v>4.8454957903674662</c:v>
                </c:pt>
                <c:pt idx="84">
                  <c:v>4.8463775816467347</c:v>
                </c:pt>
                <c:pt idx="85">
                  <c:v>4.8472554842612938</c:v>
                </c:pt>
                <c:pt idx="86">
                  <c:v>4.848129658350218</c:v>
                </c:pt>
                <c:pt idx="87">
                  <c:v>4.8490002456982477</c:v>
                </c:pt>
                <c:pt idx="88">
                  <c:v>4.8498673718562948</c:v>
                </c:pt>
                <c:pt idx="89">
                  <c:v>4.8507311480164734</c:v>
                </c:pt>
                <c:pt idx="90">
                  <c:v>4.8515916726655588</c:v>
                </c:pt>
                <c:pt idx="91">
                  <c:v>4.8524490330484351</c:v>
                </c:pt>
                <c:pt idx="92">
                  <c:v>4.8533033064604227</c:v>
                </c:pt>
                <c:pt idx="93">
                  <c:v>4.8541545613888859</c:v>
                </c:pt>
                <c:pt idx="94">
                  <c:v>4.8550028585228517</c:v>
                </c:pt>
                <c:pt idx="95">
                  <c:v>4.8558482516468402</c:v>
                </c:pt>
                <c:pt idx="96">
                  <c:v>4.8566907884285229</c:v>
                </c:pt>
                <c:pt idx="97">
                  <c:v>4.8575305111184797</c:v>
                </c:pt>
                <c:pt idx="98">
                  <c:v>4.8583674571672404</c:v>
                </c:pt>
                <c:pt idx="99">
                  <c:v>4.8592016597718439</c:v>
                </c:pt>
                <c:pt idx="100">
                  <c:v>4.8600331483599906</c:v>
                </c:pt>
                <c:pt idx="101">
                  <c:v>4.8608619490172185</c:v>
                </c:pt>
                <c:pt idx="102">
                  <c:v>4.8616880848666426</c:v>
                </c:pt>
                <c:pt idx="103">
                  <c:v>4.8625115764042546</c:v>
                </c:pt>
                <c:pt idx="104">
                  <c:v>4.8633324417960191</c:v>
                </c:pt>
                <c:pt idx="105">
                  <c:v>4.8641506971415724</c:v>
                </c:pt>
                <c:pt idx="106">
                  <c:v>4.8649663567064474</c:v>
                </c:pt>
                <c:pt idx="107">
                  <c:v>4.865779433129342</c:v>
                </c:pt>
                <c:pt idx="108">
                  <c:v>4.8665899376054798</c:v>
                </c:pt>
                <c:pt idx="109">
                  <c:v>4.8673978800479638</c:v>
                </c:pt>
                <c:pt idx="110">
                  <c:v>4.868203269232187</c:v>
                </c:pt>
                <c:pt idx="111">
                  <c:v>4.8690061129238691</c:v>
                </c:pt>
                <c:pt idx="112">
                  <c:v>4.869806417991434</c:v>
                </c:pt>
                <c:pt idx="113">
                  <c:v>4.8706041905061719</c:v>
                </c:pt>
                <c:pt idx="114">
                  <c:v>4.8713994358320605</c:v>
                </c:pt>
                <c:pt idx="115">
                  <c:v>4.8721921587042258</c:v>
                </c:pt>
                <c:pt idx="116">
                  <c:v>4.872982363299184</c:v>
                </c:pt>
                <c:pt idx="117">
                  <c:v>4.8737700532966652</c:v>
                </c:pt>
                <c:pt idx="118">
                  <c:v>4.8745552319356511</c:v>
                </c:pt>
                <c:pt idx="119">
                  <c:v>4.8753379020620544</c:v>
                </c:pt>
                <c:pt idx="120">
                  <c:v>4.8761180661741967</c:v>
                </c:pt>
                <c:pt idx="121">
                  <c:v>4.8768957264593125</c:v>
                </c:pt>
                <c:pt idx="122">
                  <c:v>4.8776708848295476</c:v>
                </c:pt>
                <c:pt idx="123">
                  <c:v>4.8784435429514588</c:v>
                </c:pt>
                <c:pt idx="124">
                  <c:v>4.8792137022740061</c:v>
                </c:pt>
                <c:pt idx="125">
                  <c:v>4.8799813640513987</c:v>
                </c:pt>
                <c:pt idx="126">
                  <c:v>4.8807465293663617</c:v>
                </c:pt>
                <c:pt idx="127">
                  <c:v>4.8815091991471018</c:v>
                </c:pt>
                <c:pt idx="128">
                  <c:v>4.8822693741859462</c:v>
                </c:pt>
                <c:pt idx="129">
                  <c:v>4.8830270551530131</c:v>
                </c:pt>
                <c:pt idx="130">
                  <c:v>4.8837822426109119</c:v>
                </c:pt>
                <c:pt idx="131">
                  <c:v>4.8845349370258822</c:v>
                </c:pt>
                <c:pt idx="132">
                  <c:v>4.8852851387782001</c:v>
                </c:pt>
                <c:pt idx="133">
                  <c:v>4.8860328481726647</c:v>
                </c:pt>
                <c:pt idx="134">
                  <c:v>4.8867780654458404</c:v>
                </c:pt>
                <c:pt idx="135">
                  <c:v>4.8875207907736691</c:v>
                </c:pt>
                <c:pt idx="136">
                  <c:v>4.8882610242789326</c:v>
                </c:pt>
                <c:pt idx="137">
                  <c:v>4.8889987660370524</c:v>
                </c:pt>
                <c:pt idx="138">
                  <c:v>4.8897340160797871</c:v>
                </c:pt>
                <c:pt idx="139">
                  <c:v>4.8904667744024026</c:v>
                </c:pt>
                <c:pt idx="140">
                  <c:v>4.8911970409662144</c:v>
                </c:pt>
                <c:pt idx="141">
                  <c:v>4.891924815702331</c:v>
                </c:pt>
                <c:pt idx="142">
                  <c:v>4.8926500985158965</c:v>
                </c:pt>
                <c:pt idx="143">
                  <c:v>4.8933728892881403</c:v>
                </c:pt>
                <c:pt idx="144">
                  <c:v>4.8940931878796858</c:v>
                </c:pt>
                <c:pt idx="145">
                  <c:v>4.8948109941325413</c:v>
                </c:pt>
                <c:pt idx="146">
                  <c:v>4.895526307872391</c:v>
                </c:pt>
                <c:pt idx="147">
                  <c:v>4.8962391289102447</c:v>
                </c:pt>
                <c:pt idx="148">
                  <c:v>4.8969494570439158</c:v>
                </c:pt>
                <c:pt idx="149">
                  <c:v>4.8976572920606571</c:v>
                </c:pt>
                <c:pt idx="150">
                  <c:v>4.8983626337370936</c:v>
                </c:pt>
                <c:pt idx="151">
                  <c:v>4.8990654818408128</c:v>
                </c:pt>
                <c:pt idx="152">
                  <c:v>4.8997658361322474</c:v>
                </c:pt>
                <c:pt idx="153">
                  <c:v>4.9004636963643087</c:v>
                </c:pt>
                <c:pt idx="154">
                  <c:v>4.9011590622843775</c:v>
                </c:pt>
                <c:pt idx="155">
                  <c:v>4.9018519336342505</c:v>
                </c:pt>
                <c:pt idx="156">
                  <c:v>4.9025423101512029</c:v>
                </c:pt>
                <c:pt idx="157">
                  <c:v>4.9032301915686878</c:v>
                </c:pt>
                <c:pt idx="158">
                  <c:v>4.9039155776167718</c:v>
                </c:pt>
                <c:pt idx="159">
                  <c:v>4.9045984680221126</c:v>
                </c:pt>
                <c:pt idx="160">
                  <c:v>4.9052788625091281</c:v>
                </c:pt>
                <c:pt idx="161">
                  <c:v>4.9059567608002554</c:v>
                </c:pt>
                <c:pt idx="162">
                  <c:v>4.9066321626159182</c:v>
                </c:pt>
                <c:pt idx="163">
                  <c:v>4.9073050676748586</c:v>
                </c:pt>
                <c:pt idx="164">
                  <c:v>4.9079754756948715</c:v>
                </c:pt>
                <c:pt idx="165">
                  <c:v>4.9086433863926837</c:v>
                </c:pt>
                <c:pt idx="166">
                  <c:v>4.9093087994843305</c:v>
                </c:pt>
                <c:pt idx="167">
                  <c:v>4.9099717146850788</c:v>
                </c:pt>
                <c:pt idx="168">
                  <c:v>4.9106321317097423</c:v>
                </c:pt>
                <c:pt idx="169">
                  <c:v>4.9112900502734256</c:v>
                </c:pt>
                <c:pt idx="170">
                  <c:v>4.9119454700906724</c:v>
                </c:pt>
                <c:pt idx="171">
                  <c:v>4.9125983908759787</c:v>
                </c:pt>
                <c:pt idx="172">
                  <c:v>4.9132488123440528</c:v>
                </c:pt>
                <c:pt idx="173">
                  <c:v>4.9138967342104385</c:v>
                </c:pt>
                <c:pt idx="174">
                  <c:v>4.9145421561900937</c:v>
                </c:pt>
                <c:pt idx="175">
                  <c:v>4.9151850779989434</c:v>
                </c:pt>
                <c:pt idx="176">
                  <c:v>4.9158254993531534</c:v>
                </c:pt>
                <c:pt idx="177">
                  <c:v>4.9164634199698272</c:v>
                </c:pt>
                <c:pt idx="178">
                  <c:v>4.9170988395660151</c:v>
                </c:pt>
                <c:pt idx="179">
                  <c:v>4.9177317578601691</c:v>
                </c:pt>
                <c:pt idx="180">
                  <c:v>4.9183621745707864</c:v>
                </c:pt>
                <c:pt idx="181">
                  <c:v>4.9189900894174139</c:v>
                </c:pt>
                <c:pt idx="182">
                  <c:v>4.9196155021206458</c:v>
                </c:pt>
                <c:pt idx="183">
                  <c:v>4.9202384124013978</c:v>
                </c:pt>
                <c:pt idx="184">
                  <c:v>4.9208588199815644</c:v>
                </c:pt>
                <c:pt idx="185">
                  <c:v>4.9214767245841893</c:v>
                </c:pt>
                <c:pt idx="186">
                  <c:v>4.9220921259327204</c:v>
                </c:pt>
                <c:pt idx="187">
                  <c:v>4.9227050237522736</c:v>
                </c:pt>
                <c:pt idx="188">
                  <c:v>4.923315417767979</c:v>
                </c:pt>
                <c:pt idx="189">
                  <c:v>4.9239233077065796</c:v>
                </c:pt>
                <c:pt idx="190">
                  <c:v>4.924528693295585</c:v>
                </c:pt>
                <c:pt idx="191">
                  <c:v>4.9251315742635926</c:v>
                </c:pt>
                <c:pt idx="192">
                  <c:v>4.9257319503399746</c:v>
                </c:pt>
                <c:pt idx="193">
                  <c:v>4.9263298212550719</c:v>
                </c:pt>
                <c:pt idx="194">
                  <c:v>4.9269251867408528</c:v>
                </c:pt>
                <c:pt idx="195">
                  <c:v>4.9275180465293937</c:v>
                </c:pt>
                <c:pt idx="196">
                  <c:v>4.9281084003545548</c:v>
                </c:pt>
                <c:pt idx="197">
                  <c:v>4.9286962479508318</c:v>
                </c:pt>
                <c:pt idx="198">
                  <c:v>4.929281589053816</c:v>
                </c:pt>
                <c:pt idx="199">
                  <c:v>4.9298644234004598</c:v>
                </c:pt>
                <c:pt idx="200">
                  <c:v>4.930444750728098</c:v>
                </c:pt>
                <c:pt idx="201">
                  <c:v>4.9310225707759185</c:v>
                </c:pt>
                <c:pt idx="202">
                  <c:v>4.9315978832838905</c:v>
                </c:pt>
                <c:pt idx="203">
                  <c:v>4.9321706879926994</c:v>
                </c:pt>
                <c:pt idx="204">
                  <c:v>4.9327409846443002</c:v>
                </c:pt>
                <c:pt idx="205">
                  <c:v>4.9333087729821345</c:v>
                </c:pt>
                <c:pt idx="206">
                  <c:v>4.9338740527501326</c:v>
                </c:pt>
                <c:pt idx="207">
                  <c:v>4.934436823693825</c:v>
                </c:pt>
                <c:pt idx="208">
                  <c:v>4.9349970855591652</c:v>
                </c:pt>
                <c:pt idx="209">
                  <c:v>4.9355548380939549</c:v>
                </c:pt>
                <c:pt idx="210">
                  <c:v>4.9361100810462561</c:v>
                </c:pt>
                <c:pt idx="211">
                  <c:v>4.936662814166203</c:v>
                </c:pt>
                <c:pt idx="212">
                  <c:v>4.9372130372040299</c:v>
                </c:pt>
                <c:pt idx="213">
                  <c:v>4.9377607499115994</c:v>
                </c:pt>
                <c:pt idx="214">
                  <c:v>4.9383059520420245</c:v>
                </c:pt>
                <c:pt idx="215">
                  <c:v>4.9388486433490595</c:v>
                </c:pt>
                <c:pt idx="216">
                  <c:v>4.9393888235877483</c:v>
                </c:pt>
                <c:pt idx="217">
                  <c:v>4.9399264925140587</c:v>
                </c:pt>
                <c:pt idx="218">
                  <c:v>4.9404616498854592</c:v>
                </c:pt>
                <c:pt idx="219">
                  <c:v>4.9409942954602535</c:v>
                </c:pt>
                <c:pt idx="220">
                  <c:v>4.9415244289976563</c:v>
                </c:pt>
                <c:pt idx="221">
                  <c:v>4.9420520502582717</c:v>
                </c:pt>
                <c:pt idx="222">
                  <c:v>4.9425771590038385</c:v>
                </c:pt>
                <c:pt idx="223">
                  <c:v>4.9430997549965863</c:v>
                </c:pt>
                <c:pt idx="224">
                  <c:v>4.943619838000644</c:v>
                </c:pt>
                <c:pt idx="225">
                  <c:v>4.9441374077807954</c:v>
                </c:pt>
                <c:pt idx="226">
                  <c:v>4.9446524641029734</c:v>
                </c:pt>
                <c:pt idx="227">
                  <c:v>4.9451650067342365</c:v>
                </c:pt>
                <c:pt idx="228">
                  <c:v>4.9456750354427168</c:v>
                </c:pt>
                <c:pt idx="229">
                  <c:v>4.9461825499976371</c:v>
                </c:pt>
                <c:pt idx="230">
                  <c:v>4.9466875501692291</c:v>
                </c:pt>
                <c:pt idx="231">
                  <c:v>4.9471900357291041</c:v>
                </c:pt>
                <c:pt idx="232">
                  <c:v>4.9476900064495677</c:v>
                </c:pt>
                <c:pt idx="233">
                  <c:v>4.9481874621043973</c:v>
                </c:pt>
                <c:pt idx="234">
                  <c:v>4.9486824024682603</c:v>
                </c:pt>
                <c:pt idx="235">
                  <c:v>4.9491748273166225</c:v>
                </c:pt>
                <c:pt idx="236">
                  <c:v>4.949664736426679</c:v>
                </c:pt>
                <c:pt idx="237">
                  <c:v>4.9501521295763986</c:v>
                </c:pt>
                <c:pt idx="238">
                  <c:v>4.9506370065446497</c:v>
                </c:pt>
                <c:pt idx="239">
                  <c:v>4.9511193671116684</c:v>
                </c:pt>
                <c:pt idx="240">
                  <c:v>4.9515992110586886</c:v>
                </c:pt>
                <c:pt idx="241">
                  <c:v>4.9520765381681109</c:v>
                </c:pt>
                <c:pt idx="242">
                  <c:v>4.9525513482231682</c:v>
                </c:pt>
                <c:pt idx="243">
                  <c:v>4.9530236410083788</c:v>
                </c:pt>
                <c:pt idx="244">
                  <c:v>4.9534934163095787</c:v>
                </c:pt>
                <c:pt idx="245">
                  <c:v>4.9539606739130875</c:v>
                </c:pt>
                <c:pt idx="246">
                  <c:v>4.9544254136069528</c:v>
                </c:pt>
                <c:pt idx="247">
                  <c:v>4.9548876351799525</c:v>
                </c:pt>
                <c:pt idx="248">
                  <c:v>4.9553473384218378</c:v>
                </c:pt>
                <c:pt idx="249">
                  <c:v>4.9558045231239198</c:v>
                </c:pt>
                <c:pt idx="250">
                  <c:v>4.9562591890783052</c:v>
                </c:pt>
                <c:pt idx="251">
                  <c:v>4.9567113360780297</c:v>
                </c:pt>
                <c:pt idx="252">
                  <c:v>4.9571609639174827</c:v>
                </c:pt>
                <c:pt idx="253">
                  <c:v>4.9576080723920271</c:v>
                </c:pt>
                <c:pt idx="254">
                  <c:v>4.9580526612980513</c:v>
                </c:pt>
                <c:pt idx="255">
                  <c:v>4.9584947304333555</c:v>
                </c:pt>
                <c:pt idx="256">
                  <c:v>4.9589342795963578</c:v>
                </c:pt>
                <c:pt idx="257">
                  <c:v>4.9593713085867321</c:v>
                </c:pt>
                <c:pt idx="258">
                  <c:v>4.95980581720542</c:v>
                </c:pt>
                <c:pt idx="259">
                  <c:v>4.9602378052542759</c:v>
                </c:pt>
                <c:pt idx="260">
                  <c:v>4.9606672725363143</c:v>
                </c:pt>
                <c:pt idx="261">
                  <c:v>4.9610942188557532</c:v>
                </c:pt>
                <c:pt idx="262">
                  <c:v>4.9615186440174543</c:v>
                </c:pt>
                <c:pt idx="263">
                  <c:v>4.9619405478277754</c:v>
                </c:pt>
                <c:pt idx="264">
                  <c:v>4.9623599300938368</c:v>
                </c:pt>
                <c:pt idx="265">
                  <c:v>4.9627767906245204</c:v>
                </c:pt>
                <c:pt idx="266">
                  <c:v>4.9631911292289095</c:v>
                </c:pt>
                <c:pt idx="267">
                  <c:v>4.9636029457175814</c:v>
                </c:pt>
                <c:pt idx="268">
                  <c:v>4.9640122399024627</c:v>
                </c:pt>
                <c:pt idx="269">
                  <c:v>4.9644190115960445</c:v>
                </c:pt>
                <c:pt idx="270">
                  <c:v>4.9648232606122349</c:v>
                </c:pt>
                <c:pt idx="271">
                  <c:v>4.9652249867658913</c:v>
                </c:pt>
                <c:pt idx="272">
                  <c:v>4.9656241898730125</c:v>
                </c:pt>
                <c:pt idx="273">
                  <c:v>4.9660208697505936</c:v>
                </c:pt>
                <c:pt idx="274">
                  <c:v>4.9664150262168167</c:v>
                </c:pt>
                <c:pt idx="275">
                  <c:v>4.9668066590909694</c:v>
                </c:pt>
                <c:pt idx="276">
                  <c:v>4.9671957681934691</c:v>
                </c:pt>
                <c:pt idx="277">
                  <c:v>4.967582353345386</c:v>
                </c:pt>
                <c:pt idx="278">
                  <c:v>4.9679664143692808</c:v>
                </c:pt>
                <c:pt idx="279">
                  <c:v>4.9683479510889619</c:v>
                </c:pt>
                <c:pt idx="280">
                  <c:v>4.9687269633287379</c:v>
                </c:pt>
                <c:pt idx="281">
                  <c:v>4.9691034509144485</c:v>
                </c:pt>
                <c:pt idx="282">
                  <c:v>4.9694774136726849</c:v>
                </c:pt>
                <c:pt idx="283">
                  <c:v>4.9698488514316672</c:v>
                </c:pt>
                <c:pt idx="284">
                  <c:v>4.9702177640201688</c:v>
                </c:pt>
                <c:pt idx="285">
                  <c:v>4.9705841512680058</c:v>
                </c:pt>
                <c:pt idx="286">
                  <c:v>4.9709480130065833</c:v>
                </c:pt>
                <c:pt idx="287">
                  <c:v>4.9713093490679299</c:v>
                </c:pt>
                <c:pt idx="288">
                  <c:v>4.9716681592853105</c:v>
                </c:pt>
                <c:pt idx="289">
                  <c:v>4.9720244434930239</c:v>
                </c:pt>
                <c:pt idx="290">
                  <c:v>4.9723782015266211</c:v>
                </c:pt>
                <c:pt idx="291">
                  <c:v>4.972729433222363</c:v>
                </c:pt>
                <c:pt idx="292">
                  <c:v>4.9730781384180043</c:v>
                </c:pt>
                <c:pt idx="293">
                  <c:v>4.9734243169520758</c:v>
                </c:pt>
                <c:pt idx="294">
                  <c:v>4.973767968664351</c:v>
                </c:pt>
                <c:pt idx="295">
                  <c:v>4.9741090933956187</c:v>
                </c:pt>
                <c:pt idx="296">
                  <c:v>4.974447690987736</c:v>
                </c:pt>
                <c:pt idx="297">
                  <c:v>4.9747837612835726</c:v>
                </c:pt>
                <c:pt idx="298">
                  <c:v>4.9751173041272247</c:v>
                </c:pt>
                <c:pt idx="299">
                  <c:v>4.9754483193637444</c:v>
                </c:pt>
                <c:pt idx="300">
                  <c:v>4.9757768068394732</c:v>
                </c:pt>
                <c:pt idx="301">
                  <c:v>4.9761027664013806</c:v>
                </c:pt>
                <c:pt idx="302">
                  <c:v>4.9764261978978208</c:v>
                </c:pt>
                <c:pt idx="303">
                  <c:v>4.9767471011785158</c:v>
                </c:pt>
                <c:pt idx="304">
                  <c:v>4.9770654760935686</c:v>
                </c:pt>
                <c:pt idx="305">
                  <c:v>4.9773813224946455</c:v>
                </c:pt>
                <c:pt idx="306">
                  <c:v>4.9776946402344153</c:v>
                </c:pt>
                <c:pt idx="307">
                  <c:v>4.9780054291665961</c:v>
                </c:pt>
                <c:pt idx="308">
                  <c:v>4.9783136891457573</c:v>
                </c:pt>
                <c:pt idx="309">
                  <c:v>4.9786194200278748</c:v>
                </c:pt>
                <c:pt idx="310">
                  <c:v>4.9789226216698799</c:v>
                </c:pt>
                <c:pt idx="311">
                  <c:v>4.9792232939297216</c:v>
                </c:pt>
                <c:pt idx="312">
                  <c:v>4.9795214366664284</c:v>
                </c:pt>
                <c:pt idx="313">
                  <c:v>4.9798170497400447</c:v>
                </c:pt>
                <c:pt idx="314">
                  <c:v>4.9801101330119923</c:v>
                </c:pt>
                <c:pt idx="315">
                  <c:v>4.9804006863444048</c:v>
                </c:pt>
                <c:pt idx="316">
                  <c:v>4.9806887096006793</c:v>
                </c:pt>
                <c:pt idx="317">
                  <c:v>4.9809742026451538</c:v>
                </c:pt>
                <c:pt idx="318">
                  <c:v>4.9812571653433713</c:v>
                </c:pt>
                <c:pt idx="319">
                  <c:v>4.9815375975618137</c:v>
                </c:pt>
                <c:pt idx="320">
                  <c:v>4.9818154991683388</c:v>
                </c:pt>
                <c:pt idx="321">
                  <c:v>4.9820908700314117</c:v>
                </c:pt>
                <c:pt idx="322">
                  <c:v>4.9823637100208078</c:v>
                </c:pt>
                <c:pt idx="323">
                  <c:v>4.9826340190075191</c:v>
                </c:pt>
                <c:pt idx="324">
                  <c:v>4.9829017968633815</c:v>
                </c:pt>
                <c:pt idx="325">
                  <c:v>4.9831670434612967</c:v>
                </c:pt>
                <c:pt idx="326">
                  <c:v>4.9834297586753635</c:v>
                </c:pt>
                <c:pt idx="327">
                  <c:v>4.9836899423809067</c:v>
                </c:pt>
                <c:pt idx="328">
                  <c:v>4.9839475944538307</c:v>
                </c:pt>
                <c:pt idx="329">
                  <c:v>4.9842027147715644</c:v>
                </c:pt>
                <c:pt idx="330">
                  <c:v>4.9844553032123358</c:v>
                </c:pt>
                <c:pt idx="331">
                  <c:v>4.9847053596557425</c:v>
                </c:pt>
                <c:pt idx="332">
                  <c:v>4.9849528839820145</c:v>
                </c:pt>
                <c:pt idx="333">
                  <c:v>4.985197876072764</c:v>
                </c:pt>
                <c:pt idx="334">
                  <c:v>4.985440335810722</c:v>
                </c:pt>
                <c:pt idx="335">
                  <c:v>4.9856802630794439</c:v>
                </c:pt>
                <c:pt idx="336">
                  <c:v>4.9859176577637063</c:v>
                </c:pt>
                <c:pt idx="337">
                  <c:v>4.9861525197493242</c:v>
                </c:pt>
                <c:pt idx="338">
                  <c:v>4.986384848923147</c:v>
                </c:pt>
                <c:pt idx="339">
                  <c:v>4.9866146451732298</c:v>
                </c:pt>
                <c:pt idx="340">
                  <c:v>4.9868419083885058</c:v>
                </c:pt>
                <c:pt idx="341">
                  <c:v>4.9870666384590283</c:v>
                </c:pt>
                <c:pt idx="342">
                  <c:v>4.987288835276078</c:v>
                </c:pt>
                <c:pt idx="343">
                  <c:v>4.9875084987318248</c:v>
                </c:pt>
                <c:pt idx="344">
                  <c:v>4.987725628719506</c:v>
                </c:pt>
                <c:pt idx="345">
                  <c:v>4.9879402251334817</c:v>
                </c:pt>
                <c:pt idx="346">
                  <c:v>4.9881522878691875</c:v>
                </c:pt>
                <c:pt idx="347">
                  <c:v>4.9883618168231241</c:v>
                </c:pt>
                <c:pt idx="348">
                  <c:v>4.9885688118928249</c:v>
                </c:pt>
                <c:pt idx="349">
                  <c:v>4.9887732729770136</c:v>
                </c:pt>
                <c:pt idx="350">
                  <c:v>4.9889751999752416</c:v>
                </c:pt>
                <c:pt idx="351">
                  <c:v>4.9891745927884381</c:v>
                </c:pt>
                <c:pt idx="352">
                  <c:v>4.9893714513182941</c:v>
                </c:pt>
                <c:pt idx="353">
                  <c:v>4.9895657754676064</c:v>
                </c:pt>
                <c:pt idx="354">
                  <c:v>4.9897575651404598</c:v>
                </c:pt>
                <c:pt idx="355">
                  <c:v>4.9899468202418964</c:v>
                </c:pt>
                <c:pt idx="356">
                  <c:v>4.990133540677963</c:v>
                </c:pt>
                <c:pt idx="357">
                  <c:v>4.9903177263558751</c:v>
                </c:pt>
                <c:pt idx="358">
                  <c:v>4.9904993771837711</c:v>
                </c:pt>
                <c:pt idx="359">
                  <c:v>4.9906784930710524</c:v>
                </c:pt>
                <c:pt idx="360">
                  <c:v>4.9908550739278015</c:v>
                </c:pt>
                <c:pt idx="361">
                  <c:v>4.9910291196657051</c:v>
                </c:pt>
                <c:pt idx="362">
                  <c:v>4.9912006301970866</c:v>
                </c:pt>
                <c:pt idx="363">
                  <c:v>4.9913696054355627</c:v>
                </c:pt>
                <c:pt idx="364">
                  <c:v>4.9915360452957893</c:v>
                </c:pt>
                <c:pt idx="365">
                  <c:v>4.9916999496932384</c:v>
                </c:pt>
                <c:pt idx="366">
                  <c:v>4.9918613185448413</c:v>
                </c:pt>
                <c:pt idx="367">
                  <c:v>4.9920201517683882</c:v>
                </c:pt>
                <c:pt idx="368">
                  <c:v>4.9921764492826464</c:v>
                </c:pt>
                <c:pt idx="369">
                  <c:v>4.9923302110076255</c:v>
                </c:pt>
                <c:pt idx="370">
                  <c:v>4.9924814368643649</c:v>
                </c:pt>
                <c:pt idx="371">
                  <c:v>4.9926301267749187</c:v>
                </c:pt>
                <c:pt idx="372">
                  <c:v>4.9927762806621949</c:v>
                </c:pt>
                <c:pt idx="373">
                  <c:v>4.9929198984506362</c:v>
                </c:pt>
                <c:pt idx="374">
                  <c:v>4.993060980065378</c:v>
                </c:pt>
                <c:pt idx="375">
                  <c:v>4.9931995254326997</c:v>
                </c:pt>
                <c:pt idx="376">
                  <c:v>4.9933355344800647</c:v>
                </c:pt>
                <c:pt idx="377">
                  <c:v>4.9934690071359711</c:v>
                </c:pt>
                <c:pt idx="378">
                  <c:v>4.9935999433298139</c:v>
                </c:pt>
                <c:pt idx="379">
                  <c:v>4.9937283429921804</c:v>
                </c:pt>
                <c:pt idx="380">
                  <c:v>4.9938542060547517</c:v>
                </c:pt>
                <c:pt idx="381">
                  <c:v>4.9939775324501126</c:v>
                </c:pt>
                <c:pt idx="382">
                  <c:v>4.9940983221122055</c:v>
                </c:pt>
                <c:pt idx="383">
                  <c:v>4.9942165749756526</c:v>
                </c:pt>
                <c:pt idx="384">
                  <c:v>4.99433229097653</c:v>
                </c:pt>
                <c:pt idx="385">
                  <c:v>4.9944454700515903</c:v>
                </c:pt>
                <c:pt idx="386">
                  <c:v>4.9945561121391178</c:v>
                </c:pt>
                <c:pt idx="387">
                  <c:v>4.9946642171778732</c:v>
                </c:pt>
                <c:pt idx="388">
                  <c:v>4.994769785108149</c:v>
                </c:pt>
                <c:pt idx="389">
                  <c:v>4.9948728158712008</c:v>
                </c:pt>
                <c:pt idx="390">
                  <c:v>4.9949733094092261</c:v>
                </c:pt>
                <c:pt idx="391">
                  <c:v>4.9950712656655396</c:v>
                </c:pt>
                <c:pt idx="392">
                  <c:v>4.9951666845846683</c:v>
                </c:pt>
                <c:pt idx="393">
                  <c:v>4.9952595661117574</c:v>
                </c:pt>
                <c:pt idx="394">
                  <c:v>4.9953499101935721</c:v>
                </c:pt>
                <c:pt idx="395">
                  <c:v>4.9954377167775625</c:v>
                </c:pt>
                <c:pt idx="396">
                  <c:v>4.9955229858125918</c:v>
                </c:pt>
                <c:pt idx="397">
                  <c:v>4.9956057172480568</c:v>
                </c:pt>
                <c:pt idx="398">
                  <c:v>4.9956859110348359</c:v>
                </c:pt>
                <c:pt idx="399">
                  <c:v>4.9957635671248921</c:v>
                </c:pt>
                <c:pt idx="400">
                  <c:v>4.9958386854708401</c:v>
                </c:pt>
                <c:pt idx="401">
                  <c:v>4.9959112660268632</c:v>
                </c:pt>
                <c:pt idx="402">
                  <c:v>4.9959813087478322</c:v>
                </c:pt>
                <c:pt idx="403">
                  <c:v>4.9960488135898355</c:v>
                </c:pt>
                <c:pt idx="404">
                  <c:v>4.9961137805101536</c:v>
                </c:pt>
                <c:pt idx="405">
                  <c:v>4.9961762094668174</c:v>
                </c:pt>
                <c:pt idx="406">
                  <c:v>4.9962361004191509</c:v>
                </c:pt>
                <c:pt idx="407">
                  <c:v>4.9962934533275023</c:v>
                </c:pt>
                <c:pt idx="408">
                  <c:v>4.9963482681531568</c:v>
                </c:pt>
                <c:pt idx="409">
                  <c:v>4.9964005448587141</c:v>
                </c:pt>
                <c:pt idx="410">
                  <c:v>4.9964502834074977</c:v>
                </c:pt>
                <c:pt idx="411">
                  <c:v>4.9964974837641325</c:v>
                </c:pt>
                <c:pt idx="412">
                  <c:v>4.9965421458941792</c:v>
                </c:pt>
                <c:pt idx="413">
                  <c:v>4.9965842697645639</c:v>
                </c:pt>
                <c:pt idx="414">
                  <c:v>4.9966238553428104</c:v>
                </c:pt>
                <c:pt idx="415">
                  <c:v>4.9966609025979043</c:v>
                </c:pt>
                <c:pt idx="416">
                  <c:v>4.9966954114994842</c:v>
                </c:pt>
                <c:pt idx="417">
                  <c:v>4.996727382018685</c:v>
                </c:pt>
                <c:pt idx="418">
                  <c:v>4.9967568141274707</c:v>
                </c:pt>
                <c:pt idx="419">
                  <c:v>4.9967837077988095</c:v>
                </c:pt>
                <c:pt idx="420">
                  <c:v>4.9968080630068652</c:v>
                </c:pt>
                <c:pt idx="421">
                  <c:v>4.996829879726878</c:v>
                </c:pt>
                <c:pt idx="422">
                  <c:v>4.9968491579350465</c:v>
                </c:pt>
                <c:pt idx="423">
                  <c:v>4.996865897608644</c:v>
                </c:pt>
                <c:pt idx="424">
                  <c:v>4.9968800987260229</c:v>
                </c:pt>
                <c:pt idx="425">
                  <c:v>4.9968917612667259</c:v>
                </c:pt>
                <c:pt idx="426">
                  <c:v>4.9969008852110406</c:v>
                </c:pt>
                <c:pt idx="427">
                  <c:v>4.9969074705408225</c:v>
                </c:pt>
                <c:pt idx="428">
                  <c:v>4.9969115172383916</c:v>
                </c:pt>
                <c:pt idx="429">
                  <c:v>4.9969130252874665</c:v>
                </c:pt>
                <c:pt idx="430">
                  <c:v>4.9969119946729474</c:v>
                </c:pt>
                <c:pt idx="431">
                  <c:v>4.9969084253804192</c:v>
                </c:pt>
                <c:pt idx="432">
                  <c:v>4.9969023173969731</c:v>
                </c:pt>
                <c:pt idx="433">
                  <c:v>4.9968936707102571</c:v>
                </c:pt>
                <c:pt idx="434">
                  <c:v>4.9968824853093796</c:v>
                </c:pt>
                <c:pt idx="435">
                  <c:v>4.9968687611843992</c:v>
                </c:pt>
                <c:pt idx="436">
                  <c:v>4.9968524983263913</c:v>
                </c:pt>
                <c:pt idx="437">
                  <c:v>4.9968336967275455</c:v>
                </c:pt>
                <c:pt idx="438">
                  <c:v>4.9968123563810529</c:v>
                </c:pt>
                <c:pt idx="439">
                  <c:v>4.9967884772812372</c:v>
                </c:pt>
                <c:pt idx="440">
                  <c:v>4.9967620594233013</c:v>
                </c:pt>
                <c:pt idx="441">
                  <c:v>4.9967331028038169</c:v>
                </c:pt>
                <c:pt idx="442">
                  <c:v>4.9967016074202295</c:v>
                </c:pt>
                <c:pt idx="443">
                  <c:v>4.9966675732710559</c:v>
                </c:pt>
                <c:pt idx="444">
                  <c:v>4.9966310003558352</c:v>
                </c:pt>
                <c:pt idx="445">
                  <c:v>4.9965918886752272</c:v>
                </c:pt>
                <c:pt idx="446">
                  <c:v>4.9965502382310527</c:v>
                </c:pt>
                <c:pt idx="447">
                  <c:v>4.9965060490258919</c:v>
                </c:pt>
                <c:pt idx="448">
                  <c:v>4.9964593210637283</c:v>
                </c:pt>
                <c:pt idx="449">
                  <c:v>4.9964100543495134</c:v>
                </c:pt>
                <c:pt idx="450">
                  <c:v>4.9963582488891296</c:v>
                </c:pt>
                <c:pt idx="451">
                  <c:v>4.9963039046894977</c:v>
                </c:pt>
                <c:pt idx="452">
                  <c:v>4.9962470217588342</c:v>
                </c:pt>
                <c:pt idx="453">
                  <c:v>4.9961876001061984</c:v>
                </c:pt>
                <c:pt idx="454">
                  <c:v>4.9961256397419858</c:v>
                </c:pt>
                <c:pt idx="455">
                  <c:v>4.9960611406772113</c:v>
                </c:pt>
                <c:pt idx="456">
                  <c:v>4.9959941029244321</c:v>
                </c:pt>
                <c:pt idx="457">
                  <c:v>4.9959245264968422</c:v>
                </c:pt>
                <c:pt idx="458">
                  <c:v>4.9958524114089826</c:v>
                </c:pt>
                <c:pt idx="459">
                  <c:v>4.9957777576763913</c:v>
                </c:pt>
                <c:pt idx="460">
                  <c:v>4.9957005653156612</c:v>
                </c:pt>
                <c:pt idx="461">
                  <c:v>4.9956208343443347</c:v>
                </c:pt>
                <c:pt idx="462">
                  <c:v>4.9955385647812012</c:v>
                </c:pt>
                <c:pt idx="463">
                  <c:v>4.9954537566461132</c:v>
                </c:pt>
                <c:pt idx="464">
                  <c:v>4.9953664099597059</c:v>
                </c:pt>
                <c:pt idx="465">
                  <c:v>4.9952765247439199</c:v>
                </c:pt>
                <c:pt idx="466">
                  <c:v>4.9951841010217937</c:v>
                </c:pt>
                <c:pt idx="467">
                  <c:v>4.995089138817308</c:v>
                </c:pt>
                <c:pt idx="468">
                  <c:v>4.9949916381554882</c:v>
                </c:pt>
                <c:pt idx="469">
                  <c:v>4.9948915990625355</c:v>
                </c:pt>
                <c:pt idx="470">
                  <c:v>4.994789021565647</c:v>
                </c:pt>
                <c:pt idx="471">
                  <c:v>4.9946839056929715</c:v>
                </c:pt>
                <c:pt idx="472">
                  <c:v>4.9945762514739807</c:v>
                </c:pt>
                <c:pt idx="473">
                  <c:v>4.9944660589390715</c:v>
                </c:pt>
                <c:pt idx="474">
                  <c:v>4.9943533281196162</c:v>
                </c:pt>
                <c:pt idx="475">
                  <c:v>4.9942380590481061</c:v>
                </c:pt>
                <c:pt idx="476">
                  <c:v>4.9941202517581944</c:v>
                </c:pt>
                <c:pt idx="477">
                  <c:v>4.9939999062844933</c:v>
                </c:pt>
                <c:pt idx="478">
                  <c:v>4.9938770226627032</c:v>
                </c:pt>
                <c:pt idx="479">
                  <c:v>4.9937516009296301</c:v>
                </c:pt>
                <c:pt idx="480">
                  <c:v>4.9936236411230883</c:v>
                </c:pt>
                <c:pt idx="481">
                  <c:v>4.9934931432818841</c:v>
                </c:pt>
                <c:pt idx="482">
                  <c:v>4.9933601074461258</c:v>
                </c:pt>
                <c:pt idx="483">
                  <c:v>4.993224533656722</c:v>
                </c:pt>
                <c:pt idx="484">
                  <c:v>4.9930864219558604</c:v>
                </c:pt>
                <c:pt idx="485">
                  <c:v>4.9929457723865971</c:v>
                </c:pt>
                <c:pt idx="486">
                  <c:v>4.992802584993183</c:v>
                </c:pt>
                <c:pt idx="487">
                  <c:v>4.9926568598209204</c:v>
                </c:pt>
                <c:pt idx="488">
                  <c:v>4.9925085969160579</c:v>
                </c:pt>
                <c:pt idx="489">
                  <c:v>4.9923577963260879</c:v>
                </c:pt>
                <c:pt idx="490">
                  <c:v>4.9922044580994909</c:v>
                </c:pt>
                <c:pt idx="491">
                  <c:v>4.9920485822857819</c:v>
                </c:pt>
                <c:pt idx="492">
                  <c:v>4.9918901689355177</c:v>
                </c:pt>
                <c:pt idx="493">
                  <c:v>4.9917292181003754</c:v>
                </c:pt>
                <c:pt idx="494">
                  <c:v>4.9915657298331659</c:v>
                </c:pt>
                <c:pt idx="495">
                  <c:v>4.9913997041875344</c:v>
                </c:pt>
                <c:pt idx="496">
                  <c:v>4.9912311412184422</c:v>
                </c:pt>
                <c:pt idx="497">
                  <c:v>4.9910600409818118</c:v>
                </c:pt>
                <c:pt idx="498">
                  <c:v>4.9908864035345593</c:v>
                </c:pt>
                <c:pt idx="499">
                  <c:v>4.9907102289348915</c:v>
                </c:pt>
                <c:pt idx="500">
                  <c:v>4.9905315172417284</c:v>
                </c:pt>
                <c:pt idx="501">
                  <c:v>4.9903502685152645</c:v>
                </c:pt>
                <c:pt idx="502">
                  <c:v>4.9901664828169681</c:v>
                </c:pt>
                <c:pt idx="503">
                  <c:v>4.9899801602089804</c:v>
                </c:pt>
                <c:pt idx="504">
                  <c:v>4.9897913007546242</c:v>
                </c:pt>
                <c:pt idx="505">
                  <c:v>4.9895999045185215</c:v>
                </c:pt>
                <c:pt idx="506">
                  <c:v>4.9894059715660397</c:v>
                </c:pt>
                <c:pt idx="507">
                  <c:v>4.9892095019638507</c:v>
                </c:pt>
                <c:pt idx="508">
                  <c:v>4.9890104957794863</c:v>
                </c:pt>
                <c:pt idx="509">
                  <c:v>4.9888089530818993</c:v>
                </c:pt>
                <c:pt idx="510">
                  <c:v>4.9886048739405657</c:v>
                </c:pt>
                <c:pt idx="511">
                  <c:v>4.9883982584264066</c:v>
                </c:pt>
                <c:pt idx="512">
                  <c:v>4.9881891066115163</c:v>
                </c:pt>
                <c:pt idx="513">
                  <c:v>4.987977418568704</c:v>
                </c:pt>
                <c:pt idx="514">
                  <c:v>4.9877631943720324</c:v>
                </c:pt>
                <c:pt idx="515">
                  <c:v>4.9875464340966031</c:v>
                </c:pt>
                <c:pt idx="516">
                  <c:v>4.987327137818732</c:v>
                </c:pt>
                <c:pt idx="517">
                  <c:v>4.9871053056155406</c:v>
                </c:pt>
                <c:pt idx="518">
                  <c:v>4.9868809375652123</c:v>
                </c:pt>
                <c:pt idx="519">
                  <c:v>4.9866540337474676</c:v>
                </c:pt>
                <c:pt idx="520">
                  <c:v>4.9864245942424326</c:v>
                </c:pt>
                <c:pt idx="521">
                  <c:v>4.9861926191318204</c:v>
                </c:pt>
                <c:pt idx="522">
                  <c:v>4.9859581084980595</c:v>
                </c:pt>
                <c:pt idx="523">
                  <c:v>4.9857210624249237</c:v>
                </c:pt>
                <c:pt idx="524">
                  <c:v>4.9854814809971471</c:v>
                </c:pt>
                <c:pt idx="525">
                  <c:v>4.9852393643004351</c:v>
                </c:pt>
                <c:pt idx="526">
                  <c:v>4.9849947124217255</c:v>
                </c:pt>
                <c:pt idx="527">
                  <c:v>4.9847475254489373</c:v>
                </c:pt>
                <c:pt idx="528">
                  <c:v>4.984497803470985</c:v>
                </c:pt>
                <c:pt idx="529">
                  <c:v>4.9842455465779487</c:v>
                </c:pt>
                <c:pt idx="530">
                  <c:v>4.9839907548611579</c:v>
                </c:pt>
                <c:pt idx="531">
                  <c:v>4.9837334284125046</c:v>
                </c:pt>
                <c:pt idx="532">
                  <c:v>4.9834735673255839</c:v>
                </c:pt>
                <c:pt idx="533">
                  <c:v>4.983211171694454</c:v>
                </c:pt>
                <c:pt idx="534">
                  <c:v>4.9829462416147807</c:v>
                </c:pt>
                <c:pt idx="535">
                  <c:v>4.9826787771828904</c:v>
                </c:pt>
                <c:pt idx="536">
                  <c:v>4.9824087784963869</c:v>
                </c:pt>
                <c:pt idx="537">
                  <c:v>4.9821362456538854</c:v>
                </c:pt>
                <c:pt idx="538">
                  <c:v>4.9818611787550102</c:v>
                </c:pt>
                <c:pt idx="539">
                  <c:v>4.9815835779006692</c:v>
                </c:pt>
                <c:pt idx="540">
                  <c:v>4.9813034431926759</c:v>
                </c:pt>
                <c:pt idx="541">
                  <c:v>4.9810207747338611</c:v>
                </c:pt>
                <c:pt idx="542">
                  <c:v>4.9807355726283093</c:v>
                </c:pt>
                <c:pt idx="543">
                  <c:v>4.9804478369809635</c:v>
                </c:pt>
                <c:pt idx="544">
                  <c:v>4.9801575678980736</c:v>
                </c:pt>
                <c:pt idx="545">
                  <c:v>4.9798647654867461</c:v>
                </c:pt>
                <c:pt idx="546">
                  <c:v>4.979569429855311</c:v>
                </c:pt>
                <c:pt idx="547">
                  <c:v>4.9792715611130438</c:v>
                </c:pt>
                <c:pt idx="548">
                  <c:v>4.9789711593703698</c:v>
                </c:pt>
                <c:pt idx="549">
                  <c:v>4.9786682247387724</c:v>
                </c:pt>
                <c:pt idx="550">
                  <c:v>4.9783627573309284</c:v>
                </c:pt>
                <c:pt idx="551">
                  <c:v>4.9780547572603471</c:v>
                </c:pt>
                <c:pt idx="552">
                  <c:v>4.9777442246417261</c:v>
                </c:pt>
                <c:pt idx="553">
                  <c:v>4.9774311595909912</c:v>
                </c:pt>
                <c:pt idx="554">
                  <c:v>4.9771155622248449</c:v>
                </c:pt>
                <c:pt idx="555">
                  <c:v>4.9767974326612965</c:v>
                </c:pt>
                <c:pt idx="556">
                  <c:v>4.9764767710192412</c:v>
                </c:pt>
                <c:pt idx="557">
                  <c:v>4.9761535774189465</c:v>
                </c:pt>
                <c:pt idx="558">
                  <c:v>4.9758278519813954</c:v>
                </c:pt>
                <c:pt idx="559">
                  <c:v>4.9754995948288752</c:v>
                </c:pt>
                <c:pt idx="560">
                  <c:v>4.9751688060847457</c:v>
                </c:pt>
                <c:pt idx="561">
                  <c:v>4.9748354858732986</c:v>
                </c:pt>
                <c:pt idx="562">
                  <c:v>4.9744996343200389</c:v>
                </c:pt>
                <c:pt idx="563">
                  <c:v>4.974161251551422</c:v>
                </c:pt>
                <c:pt idx="564">
                  <c:v>4.9738203376952539</c:v>
                </c:pt>
                <c:pt idx="565">
                  <c:v>4.9734768928799911</c:v>
                </c:pt>
                <c:pt idx="566">
                  <c:v>4.9731309172353946</c:v>
                </c:pt>
                <c:pt idx="567">
                  <c:v>4.9727824108925276</c:v>
                </c:pt>
                <c:pt idx="568">
                  <c:v>4.9724313739830999</c:v>
                </c:pt>
                <c:pt idx="569">
                  <c:v>4.9720778066400717</c:v>
                </c:pt>
                <c:pt idx="570">
                  <c:v>4.9717217089976762</c:v>
                </c:pt>
                <c:pt idx="571">
                  <c:v>4.9713630811909093</c:v>
                </c:pt>
                <c:pt idx="572">
                  <c:v>4.9710019233560532</c:v>
                </c:pt>
                <c:pt idx="573">
                  <c:v>4.9706382356304974</c:v>
                </c:pt>
                <c:pt idx="574">
                  <c:v>4.9702720181524107</c:v>
                </c:pt>
                <c:pt idx="575">
                  <c:v>4.9699032710614279</c:v>
                </c:pt>
                <c:pt idx="576">
                  <c:v>4.9695319944980421</c:v>
                </c:pt>
                <c:pt idx="577">
                  <c:v>4.9691581886037532</c:v>
                </c:pt>
                <c:pt idx="578">
                  <c:v>4.9687818535213761</c:v>
                </c:pt>
                <c:pt idx="579">
                  <c:v>4.9684029893946473</c:v>
                </c:pt>
                <c:pt idx="580">
                  <c:v>4.9680215963684491</c:v>
                </c:pt>
                <c:pt idx="581">
                  <c:v>4.9676376745886461</c:v>
                </c:pt>
                <c:pt idx="582">
                  <c:v>4.9672512242022924</c:v>
                </c:pt>
                <c:pt idx="583">
                  <c:v>4.9668622453575351</c:v>
                </c:pt>
                <c:pt idx="584">
                  <c:v>4.9664707382034088</c:v>
                </c:pt>
                <c:pt idx="585">
                  <c:v>4.9660767028902564</c:v>
                </c:pt>
                <c:pt idx="586">
                  <c:v>4.9656801395694163</c:v>
                </c:pt>
                <c:pt idx="587">
                  <c:v>4.9652810483933187</c:v>
                </c:pt>
                <c:pt idx="588">
                  <c:v>4.9648794295154275</c:v>
                </c:pt>
                <c:pt idx="589">
                  <c:v>4.9644752830902759</c:v>
                </c:pt>
                <c:pt idx="590">
                  <c:v>4.9640686092735562</c:v>
                </c:pt>
                <c:pt idx="591">
                  <c:v>4.9636594082221368</c:v>
                </c:pt>
                <c:pt idx="592">
                  <c:v>4.9632476800936871</c:v>
                </c:pt>
                <c:pt idx="593">
                  <c:v>4.9628334250471635</c:v>
                </c:pt>
                <c:pt idx="594">
                  <c:v>4.9624166432425358</c:v>
                </c:pt>
                <c:pt idx="595">
                  <c:v>4.9619973348409294</c:v>
                </c:pt>
                <c:pt idx="596">
                  <c:v>4.9615755000045212</c:v>
                </c:pt>
                <c:pt idx="597">
                  <c:v>4.9611511388965503</c:v>
                </c:pt>
                <c:pt idx="598">
                  <c:v>4.960724251681234</c:v>
                </c:pt>
                <c:pt idx="599">
                  <c:v>4.9602948385241055</c:v>
                </c:pt>
                <c:pt idx="600">
                  <c:v>4.9598628995916627</c:v>
                </c:pt>
                <c:pt idx="601">
                  <c:v>4.9594284350514215</c:v>
                </c:pt>
                <c:pt idx="602">
                  <c:v>4.958991445072038</c:v>
                </c:pt>
                <c:pt idx="603">
                  <c:v>4.9585519298234235</c:v>
                </c:pt>
                <c:pt idx="604">
                  <c:v>4.9581098894762556</c:v>
                </c:pt>
                <c:pt idx="605">
                  <c:v>4.9576653242025417</c:v>
                </c:pt>
                <c:pt idx="606">
                  <c:v>4.9572182341752722</c:v>
                </c:pt>
                <c:pt idx="607">
                  <c:v>4.956768619568555</c:v>
                </c:pt>
                <c:pt idx="608">
                  <c:v>4.9563164805575521</c:v>
                </c:pt>
                <c:pt idx="609">
                  <c:v>4.9558618173186311</c:v>
                </c:pt>
                <c:pt idx="610">
                  <c:v>4.9554046300290615</c:v>
                </c:pt>
                <c:pt idx="611">
                  <c:v>4.9549449188673425</c:v>
                </c:pt>
                <c:pt idx="612">
                  <c:v>4.9544826840129037</c:v>
                </c:pt>
                <c:pt idx="613">
                  <c:v>4.9540179256465127</c:v>
                </c:pt>
                <c:pt idx="614">
                  <c:v>4.9535506439498151</c:v>
                </c:pt>
                <c:pt idx="615">
                  <c:v>4.9530808391057199</c:v>
                </c:pt>
                <c:pt idx="616">
                  <c:v>4.9526085112980454</c:v>
                </c:pt>
                <c:pt idx="617">
                  <c:v>4.9521336607117794</c:v>
                </c:pt>
                <c:pt idx="618">
                  <c:v>4.9516562875329599</c:v>
                </c:pt>
                <c:pt idx="619">
                  <c:v>4.9511763919488185</c:v>
                </c:pt>
                <c:pt idx="620">
                  <c:v>4.9506939741476206</c:v>
                </c:pt>
                <c:pt idx="621">
                  <c:v>4.9502090343187026</c:v>
                </c:pt>
                <c:pt idx="622">
                  <c:v>4.9497215726524804</c:v>
                </c:pt>
                <c:pt idx="623">
                  <c:v>4.9492315893405481</c:v>
                </c:pt>
                <c:pt idx="624">
                  <c:v>4.9487390845755073</c:v>
                </c:pt>
                <c:pt idx="625">
                  <c:v>4.9482440585510243</c:v>
                </c:pt>
                <c:pt idx="626">
                  <c:v>4.9477465114619212</c:v>
                </c:pt>
                <c:pt idx="627">
                  <c:v>4.9472464435042127</c:v>
                </c:pt>
                <c:pt idx="628">
                  <c:v>4.9467438548747937</c:v>
                </c:pt>
                <c:pt idx="629">
                  <c:v>4.9462387457717352</c:v>
                </c:pt>
                <c:pt idx="630">
                  <c:v>4.9457311163942661</c:v>
                </c:pt>
                <c:pt idx="631">
                  <c:v>4.9452209669427258</c:v>
                </c:pt>
                <c:pt idx="632">
                  <c:v>4.9447082976183756</c:v>
                </c:pt>
                <c:pt idx="633">
                  <c:v>4.9441931086237618</c:v>
                </c:pt>
                <c:pt idx="634">
                  <c:v>4.9436754001624887</c:v>
                </c:pt>
                <c:pt idx="635">
                  <c:v>4.9431551724391518</c:v>
                </c:pt>
                <c:pt idx="636">
                  <c:v>4.9426324256594985</c:v>
                </c:pt>
                <c:pt idx="637">
                  <c:v>4.9421071600303987</c:v>
                </c:pt>
                <c:pt idx="638">
                  <c:v>4.9415793757598276</c:v>
                </c:pt>
                <c:pt idx="639">
                  <c:v>4.9410490730568997</c:v>
                </c:pt>
                <c:pt idx="640">
                  <c:v>4.9405162521316512</c:v>
                </c:pt>
                <c:pt idx="641">
                  <c:v>4.9399809131953232</c:v>
                </c:pt>
                <c:pt idx="642">
                  <c:v>4.9394430564602851</c:v>
                </c:pt>
                <c:pt idx="643">
                  <c:v>4.9389026821399824</c:v>
                </c:pt>
                <c:pt idx="644">
                  <c:v>4.9383597904490646</c:v>
                </c:pt>
                <c:pt idx="645">
                  <c:v>4.9378143816030455</c:v>
                </c:pt>
                <c:pt idx="646">
                  <c:v>4.9372664558186168</c:v>
                </c:pt>
                <c:pt idx="647">
                  <c:v>4.9367160133137595</c:v>
                </c:pt>
                <c:pt idx="648">
                  <c:v>4.9361630543073254</c:v>
                </c:pt>
                <c:pt idx="649">
                  <c:v>4.9356075790193543</c:v>
                </c:pt>
                <c:pt idx="650">
                  <c:v>4.9350495876710623</c:v>
                </c:pt>
                <c:pt idx="651">
                  <c:v>4.9344890804846138</c:v>
                </c:pt>
                <c:pt idx="652">
                  <c:v>4.9339260576834159</c:v>
                </c:pt>
                <c:pt idx="653">
                  <c:v>4.9333605194918579</c:v>
                </c:pt>
                <c:pt idx="654">
                  <c:v>4.9327924661355196</c:v>
                </c:pt>
                <c:pt idx="655">
                  <c:v>4.9322218978411092</c:v>
                </c:pt>
                <c:pt idx="656">
                  <c:v>4.931648814836298</c:v>
                </c:pt>
                <c:pt idx="657">
                  <c:v>4.9310732173499519</c:v>
                </c:pt>
                <c:pt idx="658">
                  <c:v>4.9304951056121133</c:v>
                </c:pt>
                <c:pt idx="659">
                  <c:v>4.9299144798537533</c:v>
                </c:pt>
                <c:pt idx="660">
                  <c:v>4.9293313403071641</c:v>
                </c:pt>
                <c:pt idx="661">
                  <c:v>4.9287456872054447</c:v>
                </c:pt>
                <c:pt idx="662">
                  <c:v>4.9281575207831834</c:v>
                </c:pt>
                <c:pt idx="663">
                  <c:v>4.9275668412757589</c:v>
                </c:pt>
                <c:pt idx="664">
                  <c:v>4.9269736489197973</c:v>
                </c:pt>
                <c:pt idx="665">
                  <c:v>4.9263779439530291</c:v>
                </c:pt>
                <c:pt idx="666">
                  <c:v>4.9257797266142358</c:v>
                </c:pt>
                <c:pt idx="667">
                  <c:v>4.9251789971433162</c:v>
                </c:pt>
                <c:pt idx="668">
                  <c:v>4.9245757557813743</c:v>
                </c:pt>
                <c:pt idx="669">
                  <c:v>4.9239700027704041</c:v>
                </c:pt>
                <c:pt idx="670">
                  <c:v>4.9233617383538562</c:v>
                </c:pt>
                <c:pt idx="671">
                  <c:v>4.9227509627759245</c:v>
                </c:pt>
                <c:pt idx="672">
                  <c:v>4.922137676282091</c:v>
                </c:pt>
                <c:pt idx="673">
                  <c:v>4.921521879119048</c:v>
                </c:pt>
                <c:pt idx="674">
                  <c:v>4.9209035715343417</c:v>
                </c:pt>
                <c:pt idx="675">
                  <c:v>4.9202827537768323</c:v>
                </c:pt>
                <c:pt idx="676">
                  <c:v>4.9196594260964144</c:v>
                </c:pt>
                <c:pt idx="677">
                  <c:v>4.9190335887441661</c:v>
                </c:pt>
                <c:pt idx="678">
                  <c:v>4.9184052419720627</c:v>
                </c:pt>
                <c:pt idx="679">
                  <c:v>4.9177743860335337</c:v>
                </c:pt>
                <c:pt idx="680">
                  <c:v>4.9171410211828821</c:v>
                </c:pt>
                <c:pt idx="681">
                  <c:v>4.9165051476755295</c:v>
                </c:pt>
                <c:pt idx="682">
                  <c:v>4.9158667657680271</c:v>
                </c:pt>
                <c:pt idx="683">
                  <c:v>4.9152258757182459</c:v>
                </c:pt>
                <c:pt idx="684">
                  <c:v>4.9145824777848119</c:v>
                </c:pt>
                <c:pt idx="685">
                  <c:v>4.9139365722277599</c:v>
                </c:pt>
                <c:pt idx="686">
                  <c:v>4.9132881593080961</c:v>
                </c:pt>
                <c:pt idx="687">
                  <c:v>4.91263723928797</c:v>
                </c:pt>
                <c:pt idx="688">
                  <c:v>4.9119838124306874</c:v>
                </c:pt>
                <c:pt idx="689">
                  <c:v>4.9113278790006722</c:v>
                </c:pt>
                <c:pt idx="690">
                  <c:v>4.9106694392633585</c:v>
                </c:pt>
                <c:pt idx="691">
                  <c:v>4.9100084934854173</c:v>
                </c:pt>
                <c:pt idx="692">
                  <c:v>4.9093450419346185</c:v>
                </c:pt>
                <c:pt idx="693">
                  <c:v>4.9086790848798127</c:v>
                </c:pt>
                <c:pt idx="694">
                  <c:v>4.9080106225909415</c:v>
                </c:pt>
                <c:pt idx="695">
                  <c:v>4.9073396553391886</c:v>
                </c:pt>
                <c:pt idx="696">
                  <c:v>4.9066661833967098</c:v>
                </c:pt>
                <c:pt idx="697">
                  <c:v>4.9059902070368473</c:v>
                </c:pt>
                <c:pt idx="698">
                  <c:v>4.9053117265341353</c:v>
                </c:pt>
                <c:pt idx="699">
                  <c:v>4.9046307421641258</c:v>
                </c:pt>
                <c:pt idx="700">
                  <c:v>4.9039472542035423</c:v>
                </c:pt>
                <c:pt idx="701">
                  <c:v>4.9032612629301715</c:v>
                </c:pt>
                <c:pt idx="702">
                  <c:v>4.9025727686229752</c:v>
                </c:pt>
                <c:pt idx="703">
                  <c:v>4.9018817715621097</c:v>
                </c:pt>
                <c:pt idx="704">
                  <c:v>4.9011882720286915</c:v>
                </c:pt>
                <c:pt idx="705">
                  <c:v>4.9004922703050582</c:v>
                </c:pt>
                <c:pt idx="706">
                  <c:v>4.8997937666747307</c:v>
                </c:pt>
                <c:pt idx="707">
                  <c:v>4.8990927614221693</c:v>
                </c:pt>
                <c:pt idx="708">
                  <c:v>4.8983892548332477</c:v>
                </c:pt>
                <c:pt idx="709">
                  <c:v>4.8976832471945269</c:v>
                </c:pt>
                <c:pt idx="710">
                  <c:v>4.8969747387942038</c:v>
                </c:pt>
                <c:pt idx="711">
                  <c:v>4.8962637299212188</c:v>
                </c:pt>
                <c:pt idx="712">
                  <c:v>4.8955502208658848</c:v>
                </c:pt>
                <c:pt idx="713">
                  <c:v>4.8948342119195143</c:v>
                </c:pt>
                <c:pt idx="714">
                  <c:v>4.8941157033745597</c:v>
                </c:pt>
                <c:pt idx="715">
                  <c:v>4.893394695524564</c:v>
                </c:pt>
                <c:pt idx="716">
                  <c:v>4.8926711886643099</c:v>
                </c:pt>
                <c:pt idx="717">
                  <c:v>4.8919451830895424</c:v>
                </c:pt>
                <c:pt idx="718">
                  <c:v>4.8912166790974316</c:v>
                </c:pt>
                <c:pt idx="719">
                  <c:v>4.8904856769859508</c:v>
                </c:pt>
                <c:pt idx="720">
                  <c:v>4.8897521770543442</c:v>
                </c:pt>
                <c:pt idx="721">
                  <c:v>4.8890161796030949</c:v>
                </c:pt>
                <c:pt idx="722">
                  <c:v>4.8882776849335885</c:v>
                </c:pt>
                <c:pt idx="723">
                  <c:v>4.8875366933485429</c:v>
                </c:pt>
                <c:pt idx="724">
                  <c:v>4.8867932051516618</c:v>
                </c:pt>
                <c:pt idx="725">
                  <c:v>4.8860472206479422</c:v>
                </c:pt>
                <c:pt idx="726">
                  <c:v>4.8852987401433836</c:v>
                </c:pt>
                <c:pt idx="727">
                  <c:v>4.884547763945247</c:v>
                </c:pt>
                <c:pt idx="728">
                  <c:v>4.8837942923616975</c:v>
                </c:pt>
                <c:pt idx="729">
                  <c:v>4.8830383257023247</c:v>
                </c:pt>
                <c:pt idx="730">
                  <c:v>4.8822798642776473</c:v>
                </c:pt>
                <c:pt idx="731">
                  <c:v>4.8815189083994293</c:v>
                </c:pt>
                <c:pt idx="732">
                  <c:v>4.8807554583804551</c:v>
                </c:pt>
                <c:pt idx="733">
                  <c:v>4.8799895145347927</c:v>
                </c:pt>
                <c:pt idx="734">
                  <c:v>4.8792210771775073</c:v>
                </c:pt>
                <c:pt idx="735">
                  <c:v>4.8784501466250152</c:v>
                </c:pt>
                <c:pt idx="736">
                  <c:v>4.8776767231945772</c:v>
                </c:pt>
                <c:pt idx="737">
                  <c:v>4.8769008072047795</c:v>
                </c:pt>
                <c:pt idx="738">
                  <c:v>4.8761223989754372</c:v>
                </c:pt>
                <c:pt idx="739">
                  <c:v>4.8753414988273036</c:v>
                </c:pt>
                <c:pt idx="740">
                  <c:v>4.8745581070823869</c:v>
                </c:pt>
                <c:pt idx="741">
                  <c:v>4.873772224063698</c:v>
                </c:pt>
                <c:pt idx="742">
                  <c:v>4.8729838500956983</c:v>
                </c:pt>
                <c:pt idx="743">
                  <c:v>4.8721929855036308</c:v>
                </c:pt>
                <c:pt idx="744">
                  <c:v>4.8713996306140714</c:v>
                </c:pt>
                <c:pt idx="745">
                  <c:v>4.8706037857548496</c:v>
                </c:pt>
                <c:pt idx="746">
                  <c:v>4.869805451254682</c:v>
                </c:pt>
                <c:pt idx="747">
                  <c:v>4.869004627443541</c:v>
                </c:pt>
                <c:pt idx="748">
                  <c:v>4.8682013146526009</c:v>
                </c:pt>
                <c:pt idx="749">
                  <c:v>4.8673955132142082</c:v>
                </c:pt>
                <c:pt idx="750">
                  <c:v>4.8665872234616145</c:v>
                </c:pt>
                <c:pt idx="751">
                  <c:v>4.865776445729562</c:v>
                </c:pt>
                <c:pt idx="752">
                  <c:v>4.8649631803536852</c:v>
                </c:pt>
                <c:pt idx="753">
                  <c:v>4.8641474276709982</c:v>
                </c:pt>
                <c:pt idx="754">
                  <c:v>4.863329188019299</c:v>
                </c:pt>
                <c:pt idx="755">
                  <c:v>4.8625084617379235</c:v>
                </c:pt>
                <c:pt idx="756">
                  <c:v>4.8616852491671114</c:v>
                </c:pt>
                <c:pt idx="757">
                  <c:v>4.8608595506483736</c:v>
                </c:pt>
                <c:pt idx="758">
                  <c:v>4.8600313665242618</c:v>
                </c:pt>
                <c:pt idx="759">
                  <c:v>4.8592006971387285</c:v>
                </c:pt>
                <c:pt idx="760">
                  <c:v>4.8583675428364952</c:v>
                </c:pt>
                <c:pt idx="761">
                  <c:v>4.8575319039637748</c:v>
                </c:pt>
                <c:pt idx="762">
                  <c:v>4.8566937808677464</c:v>
                </c:pt>
                <c:pt idx="763">
                  <c:v>4.8558531738968016</c:v>
                </c:pt>
                <c:pt idx="764">
                  <c:v>4.8550100834005523</c:v>
                </c:pt>
                <c:pt idx="765">
                  <c:v>4.8541645097296664</c:v>
                </c:pt>
                <c:pt idx="766">
                  <c:v>4.8533164532359176</c:v>
                </c:pt>
                <c:pt idx="767">
                  <c:v>4.8524659142724165</c:v>
                </c:pt>
                <c:pt idx="768">
                  <c:v>4.851612893193276</c:v>
                </c:pt>
                <c:pt idx="769">
                  <c:v>4.8507573903539356</c:v>
                </c:pt>
                <c:pt idx="770">
                  <c:v>4.8498994061107528</c:v>
                </c:pt>
                <c:pt idx="771">
                  <c:v>4.8490389408214254</c:v>
                </c:pt>
                <c:pt idx="772">
                  <c:v>4.8481759948447447</c:v>
                </c:pt>
                <c:pt idx="773">
                  <c:v>4.8473105685407418</c:v>
                </c:pt>
                <c:pt idx="774">
                  <c:v>4.8464426622704266</c:v>
                </c:pt>
                <c:pt idx="775">
                  <c:v>4.8455722763962292</c:v>
                </c:pt>
                <c:pt idx="776">
                  <c:v>4.8446994112815043</c:v>
                </c:pt>
                <c:pt idx="777">
                  <c:v>4.8438240672909423</c:v>
                </c:pt>
                <c:pt idx="778">
                  <c:v>4.8429462447902187</c:v>
                </c:pt>
                <c:pt idx="779">
                  <c:v>4.8420659441463725</c:v>
                </c:pt>
                <c:pt idx="780">
                  <c:v>4.8411831657274247</c:v>
                </c:pt>
                <c:pt idx="781">
                  <c:v>4.8402979099027217</c:v>
                </c:pt>
                <c:pt idx="782">
                  <c:v>4.8394101770426516</c:v>
                </c:pt>
                <c:pt idx="783">
                  <c:v>4.8385199675189314</c:v>
                </c:pt>
                <c:pt idx="784">
                  <c:v>4.8376272817041839</c:v>
                </c:pt>
                <c:pt idx="785">
                  <c:v>4.8367321199723783</c:v>
                </c:pt>
                <c:pt idx="786">
                  <c:v>4.8358344826987061</c:v>
                </c:pt>
                <c:pt idx="787">
                  <c:v>4.8349343702593375</c:v>
                </c:pt>
                <c:pt idx="788">
                  <c:v>4.8340317830318096</c:v>
                </c:pt>
                <c:pt idx="789">
                  <c:v>4.8331267213946632</c:v>
                </c:pt>
                <c:pt idx="790">
                  <c:v>4.8322191857277712</c:v>
                </c:pt>
                <c:pt idx="791">
                  <c:v>4.8313091764120344</c:v>
                </c:pt>
                <c:pt idx="792">
                  <c:v>4.83039669382954</c:v>
                </c:pt>
                <c:pt idx="793">
                  <c:v>4.8294817383637119</c:v>
                </c:pt>
                <c:pt idx="794">
                  <c:v>4.8285643103989351</c:v>
                </c:pt>
                <c:pt idx="795">
                  <c:v>4.827644410320902</c:v>
                </c:pt>
                <c:pt idx="796">
                  <c:v>4.8267220385163512</c:v>
                </c:pt>
                <c:pt idx="797">
                  <c:v>4.8257971953733865</c:v>
                </c:pt>
                <c:pt idx="798">
                  <c:v>4.8248698812811543</c:v>
                </c:pt>
                <c:pt idx="799">
                  <c:v>4.823940096630051</c:v>
                </c:pt>
                <c:pt idx="800">
                  <c:v>4.8230078418115188</c:v>
                </c:pt>
                <c:pt idx="801">
                  <c:v>4.8220731172182933</c:v>
                </c:pt>
                <c:pt idx="802">
                  <c:v>4.8211359232443058</c:v>
                </c:pt>
                <c:pt idx="803">
                  <c:v>4.8201962602846411</c:v>
                </c:pt>
                <c:pt idx="804">
                  <c:v>4.819254128735448</c:v>
                </c:pt>
                <c:pt idx="805">
                  <c:v>4.8183095289942104</c:v>
                </c:pt>
                <c:pt idx="806">
                  <c:v>4.8173624614594699</c:v>
                </c:pt>
                <c:pt idx="807">
                  <c:v>4.8164129265311741</c:v>
                </c:pt>
                <c:pt idx="808">
                  <c:v>4.8154609246101536</c:v>
                </c:pt>
                <c:pt idx="809">
                  <c:v>4.8145064560985507</c:v>
                </c:pt>
                <c:pt idx="810">
                  <c:v>4.8135495213998443</c:v>
                </c:pt>
                <c:pt idx="811">
                  <c:v>4.8125901209184683</c:v>
                </c:pt>
                <c:pt idx="812">
                  <c:v>4.8116282550601577</c:v>
                </c:pt>
                <c:pt idx="813">
                  <c:v>4.8106639242317124</c:v>
                </c:pt>
                <c:pt idx="814">
                  <c:v>4.8096971288413437</c:v>
                </c:pt>
                <c:pt idx="815">
                  <c:v>4.8087278692982673</c:v>
                </c:pt>
                <c:pt idx="816">
                  <c:v>4.8077561460129612</c:v>
                </c:pt>
                <c:pt idx="817">
                  <c:v>4.80678195939704</c:v>
                </c:pt>
                <c:pt idx="818">
                  <c:v>4.8058053098633922</c:v>
                </c:pt>
                <c:pt idx="819">
                  <c:v>4.8048261978259061</c:v>
                </c:pt>
                <c:pt idx="820">
                  <c:v>4.8038446236999954</c:v>
                </c:pt>
                <c:pt idx="821">
                  <c:v>4.8028605879019368</c:v>
                </c:pt>
                <c:pt idx="822">
                  <c:v>4.8018740908493509</c:v>
                </c:pt>
                <c:pt idx="823">
                  <c:v>4.800885132961068</c:v>
                </c:pt>
                <c:pt idx="824">
                  <c:v>4.79989371465701</c:v>
                </c:pt>
                <c:pt idx="825">
                  <c:v>4.7988998363584097</c:v>
                </c:pt>
                <c:pt idx="826">
                  <c:v>4.7979034984876279</c:v>
                </c:pt>
                <c:pt idx="827">
                  <c:v>4.7969047014681827</c:v>
                </c:pt>
                <c:pt idx="828">
                  <c:v>4.7959034457249157</c:v>
                </c:pt>
                <c:pt idx="829">
                  <c:v>4.7948997316837749</c:v>
                </c:pt>
                <c:pt idx="830">
                  <c:v>4.7938935597719654</c:v>
                </c:pt>
                <c:pt idx="831">
                  <c:v>4.7928849304177579</c:v>
                </c:pt>
                <c:pt idx="832">
                  <c:v>4.7918738440507385</c:v>
                </c:pt>
                <c:pt idx="833">
                  <c:v>4.7908603011016915</c:v>
                </c:pt>
                <c:pt idx="834">
                  <c:v>4.789844302002555</c:v>
                </c:pt>
                <c:pt idx="835">
                  <c:v>4.4696921334845294</c:v>
                </c:pt>
                <c:pt idx="836">
                  <c:v>4.1704969623022867</c:v>
                </c:pt>
                <c:pt idx="837">
                  <c:v>3.8908869541204072</c:v>
                </c:pt>
                <c:pt idx="838">
                  <c:v>3.6295800741779845</c:v>
                </c:pt>
                <c:pt idx="839">
                  <c:v>3.3853782090543714</c:v>
                </c:pt>
                <c:pt idx="840">
                  <c:v>3.1571616732211352</c:v>
                </c:pt>
                <c:pt idx="841">
                  <c:v>2.9438840751923117</c:v>
                </c:pt>
                <c:pt idx="842">
                  <c:v>2.7445675197338439</c:v>
                </c:pt>
                <c:pt idx="843">
                  <c:v>2.5582981241339402</c:v>
                </c:pt>
                <c:pt idx="844">
                  <c:v>2.3842218279760758</c:v>
                </c:pt>
                <c:pt idx="845">
                  <c:v>2.2215404772021228</c:v>
                </c:pt>
                <c:pt idx="846">
                  <c:v>2.0695081645106934</c:v>
                </c:pt>
                <c:pt idx="847">
                  <c:v>1.9274278093111517</c:v>
                </c:pt>
                <c:pt idx="848">
                  <c:v>1.7946479615520778</c:v>
                </c:pt>
                <c:pt idx="849">
                  <c:v>1.6705598147694909</c:v>
                </c:pt>
                <c:pt idx="850">
                  <c:v>1.5545944146594084</c:v>
                </c:pt>
                <c:pt idx="851">
                  <c:v>1.4462200503758194</c:v>
                </c:pt>
                <c:pt idx="852">
                  <c:v>1.3449398165929591</c:v>
                </c:pt>
                <c:pt idx="853">
                  <c:v>1.2502893351537427</c:v>
                </c:pt>
                <c:pt idx="854">
                  <c:v>1.1618346258579229</c:v>
                </c:pt>
                <c:pt idx="855">
                  <c:v>1.0791701166273753</c:v>
                </c:pt>
                <c:pt idx="856">
                  <c:v>1.0019167839249377</c:v>
                </c:pt>
                <c:pt idx="857">
                  <c:v>0.92972041490048962</c:v>
                </c:pt>
                <c:pt idx="858">
                  <c:v>0.86224998329605751</c:v>
                </c:pt>
                <c:pt idx="859">
                  <c:v>0.79919613166334114</c:v>
                </c:pt>
                <c:pt idx="860">
                  <c:v>0.74026975293450847</c:v>
                </c:pt>
                <c:pt idx="861">
                  <c:v>0.68520066484263664</c:v>
                </c:pt>
                <c:pt idx="862">
                  <c:v>0.63373637111391945</c:v>
                </c:pt>
                <c:pt idx="863">
                  <c:v>0.5856409037515925</c:v>
                </c:pt>
                <c:pt idx="864">
                  <c:v>0.54069374110336865</c:v>
                </c:pt>
                <c:pt idx="865">
                  <c:v>0.49868879675161915</c:v>
                </c:pt>
                <c:pt idx="866">
                  <c:v>0.45943347459029316</c:v>
                </c:pt>
                <c:pt idx="867">
                  <c:v>0.42274778575601368</c:v>
                </c:pt>
                <c:pt idx="868">
                  <c:v>0.38846352336441692</c:v>
                </c:pt>
                <c:pt idx="869">
                  <c:v>0.3564234912678258</c:v>
                </c:pt>
                <c:pt idx="870">
                  <c:v>0.32648078329805474</c:v>
                </c:pt>
                <c:pt idx="871">
                  <c:v>0.29849810968961088</c:v>
                </c:pt>
                <c:pt idx="872">
                  <c:v>0.27234716759488653</c:v>
                </c:pt>
                <c:pt idx="873">
                  <c:v>0.24790805280510994</c:v>
                </c:pt>
                <c:pt idx="874">
                  <c:v>0.22506870997973691</c:v>
                </c:pt>
                <c:pt idx="875">
                  <c:v>0.20372441886354989</c:v>
                </c:pt>
                <c:pt idx="876">
                  <c:v>0.18377731413571893</c:v>
                </c:pt>
                <c:pt idx="877">
                  <c:v>0.16513593668930152</c:v>
                </c:pt>
                <c:pt idx="878">
                  <c:v>0.14771481428375513</c:v>
                </c:pt>
                <c:pt idx="879">
                  <c:v>0.13143406964772178</c:v>
                </c:pt>
                <c:pt idx="880">
                  <c:v>0.1162190542352052</c:v>
                </c:pt>
                <c:pt idx="881">
                  <c:v>0.10200000595588021</c:v>
                </c:pt>
                <c:pt idx="882" formatCode="General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356-4920-91AF-783D1F5D97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671642336"/>
        <c:axId val="-671651584"/>
      </c:scatterChart>
      <c:valAx>
        <c:axId val="-671642336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(sec.)</a:t>
                </a:r>
              </a:p>
            </c:rich>
          </c:tx>
          <c:layout>
            <c:manualLayout>
              <c:xMode val="edge"/>
              <c:yMode val="edge"/>
              <c:x val="0.43245393634840867"/>
              <c:y val="0.91096363993282004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671651584"/>
        <c:crosses val="autoZero"/>
        <c:crossBetween val="midCat"/>
      </c:valAx>
      <c:valAx>
        <c:axId val="-671651584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900" b="0" i="0" u="none" strike="noStrike" baseline="0">
                    <a:solidFill>
                      <a:srgbClr val="333399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Chamber pressure  (MPa)</a:t>
                </a:r>
              </a:p>
            </c:rich>
          </c:tx>
          <c:layout>
            <c:manualLayout>
              <c:xMode val="edge"/>
              <c:yMode val="edge"/>
              <c:x val="2.8694324641580605E-2"/>
              <c:y val="0.26388894947688324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99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671642336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 horizontalDpi="0" verticalDpi="0"/>
  </c:printSettings>
  <c:userShapes r:id="rId1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200"/>
              <a:t>Chamber Pressure vs time</a:t>
            </a:r>
          </a:p>
        </c:rich>
      </c:tx>
      <c:layout>
        <c:manualLayout>
          <c:xMode val="edge"/>
          <c:yMode val="edge"/>
          <c:x val="0.26433231813004504"/>
          <c:y val="0.14989233044764433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3340074637386779"/>
          <c:y val="0.25120787760881219"/>
          <c:w val="0.69617801295964765"/>
          <c:h val="0.55314047700559166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Pressure!$Q$28:$Q$910</c:f>
              <c:numCache>
                <c:formatCode>0.0000</c:formatCode>
                <c:ptCount val="883"/>
                <c:pt idx="0" formatCode="General">
                  <c:v>0</c:v>
                </c:pt>
                <c:pt idx="1">
                  <c:v>1.6710334693929663E-3</c:v>
                </c:pt>
                <c:pt idx="2">
                  <c:v>2.4843220196037958E-3</c:v>
                </c:pt>
                <c:pt idx="3">
                  <c:v>3.1810959485757606E-3</c:v>
                </c:pt>
                <c:pt idx="4">
                  <c:v>3.8206732307621274E-3</c:v>
                </c:pt>
                <c:pt idx="5">
                  <c:v>4.425010811441232E-3</c:v>
                </c:pt>
                <c:pt idx="6" formatCode="0.00000">
                  <c:v>5.0051821890309094E-3</c:v>
                </c:pt>
                <c:pt idx="7" formatCode="0.00000">
                  <c:v>5.5677072839621635E-3</c:v>
                </c:pt>
                <c:pt idx="8">
                  <c:v>6.1168052341769906E-3</c:v>
                </c:pt>
                <c:pt idx="9">
                  <c:v>6.655386144892853E-3</c:v>
                </c:pt>
                <c:pt idx="10">
                  <c:v>7.1855514631596886E-3</c:v>
                </c:pt>
                <c:pt idx="11">
                  <c:v>7.7088718685779109E-3</c:v>
                </c:pt>
                <c:pt idx="12">
                  <c:v>8.2265530704858526E-3</c:v>
                </c:pt>
                <c:pt idx="13">
                  <c:v>8.7395403982088674E-3</c:v>
                </c:pt>
                <c:pt idx="14">
                  <c:v>9.2485877962660071E-3</c:v>
                </c:pt>
                <c:pt idx="15">
                  <c:v>9.7543050395444888E-3</c:v>
                </c:pt>
                <c:pt idx="16">
                  <c:v>1.0257191050367084E-2</c:v>
                </c:pt>
                <c:pt idx="17">
                  <c:v>1.0757658028359783E-2</c:v>
                </c:pt>
                <c:pt idx="18">
                  <c:v>1.1256049321341333E-2</c:v>
                </c:pt>
                <c:pt idx="19">
                  <c:v>1.1752652919476391E-2</c:v>
                </c:pt>
                <c:pt idx="20">
                  <c:v>1.2247711818283298E-2</c:v>
                </c:pt>
                <c:pt idx="21">
                  <c:v>1.2741432096047563E-2</c:v>
                </c:pt>
                <c:pt idx="22">
                  <c:v>1.3233989292713522E-2</c:v>
                </c:pt>
                <c:pt idx="23">
                  <c:v>1.3725533506141557E-2</c:v>
                </c:pt>
                <c:pt idx="24">
                  <c:v>1.421619350572296E-2</c:v>
                </c:pt>
                <c:pt idx="25">
                  <c:v>1.4706080083315238E-2</c:v>
                </c:pt>
                <c:pt idx="26">
                  <c:v>1.5195288805200977E-2</c:v>
                </c:pt>
                <c:pt idx="27">
                  <c:v>1.5683902288574979E-2</c:v>
                </c:pt>
                <c:pt idx="28">
                  <c:v>1.6171992096911249E-2</c:v>
                </c:pt>
                <c:pt idx="29">
                  <c:v>1.6659620327126621E-2</c:v>
                </c:pt>
                <c:pt idx="30">
                  <c:v>1.7146840945497063E-2</c:v>
                </c:pt>
                <c:pt idx="31">
                  <c:v>1.7633700917256964E-2</c:v>
                </c:pt>
                <c:pt idx="32">
                  <c:v>1.8120241165650731E-2</c:v>
                </c:pt>
                <c:pt idx="33">
                  <c:v>1.8606497389155249E-2</c:v>
                </c:pt>
                <c:pt idx="34">
                  <c:v>1.9092500760112149E-2</c:v>
                </c:pt>
                <c:pt idx="35">
                  <c:v>1.9578278523711933E-2</c:v>
                </c:pt>
                <c:pt idx="36">
                  <c:v>2.0063854512873083E-2</c:v>
                </c:pt>
                <c:pt idx="37">
                  <c:v>2.0549249591849339E-2</c:v>
                </c:pt>
                <c:pt idx="38">
                  <c:v>2.1034482039221206E-2</c:v>
                </c:pt>
                <c:pt idx="39">
                  <c:v>2.1519567879166146E-2</c:v>
                </c:pt>
                <c:pt idx="40">
                  <c:v>2.2004521168467038E-2</c:v>
                </c:pt>
                <c:pt idx="41">
                  <c:v>2.2489354245542457E-2</c:v>
                </c:pt>
                <c:pt idx="42">
                  <c:v>2.2974077946812891E-2</c:v>
                </c:pt>
                <c:pt idx="43">
                  <c:v>2.3458701794913113E-2</c:v>
                </c:pt>
                <c:pt idx="44">
                  <c:v>2.3943234162591691E-2</c:v>
                </c:pt>
                <c:pt idx="45">
                  <c:v>2.4427682415578179E-2</c:v>
                </c:pt>
                <c:pt idx="46">
                  <c:v>2.4912053037227388E-2</c:v>
                </c:pt>
                <c:pt idx="47">
                  <c:v>2.5396351737352888E-2</c:v>
                </c:pt>
                <c:pt idx="48">
                  <c:v>2.5880583547325059E-2</c:v>
                </c:pt>
                <c:pt idx="49">
                  <c:v>2.6364752903222943E-2</c:v>
                </c:pt>
                <c:pt idx="50">
                  <c:v>2.6848863718585327E-2</c:v>
                </c:pt>
                <c:pt idx="51">
                  <c:v>2.7332919448098049E-2</c:v>
                </c:pt>
                <c:pt idx="52">
                  <c:v>2.7816923143375808E-2</c:v>
                </c:pt>
                <c:pt idx="53">
                  <c:v>2.8300877501843482E-2</c:v>
                </c:pt>
                <c:pt idx="54">
                  <c:v>2.8784784909589817E-2</c:v>
                </c:pt>
                <c:pt idx="55">
                  <c:v>2.9268647478952532E-2</c:v>
                </c:pt>
                <c:pt idx="56">
                  <c:v>2.9752467081495607E-2</c:v>
                </c:pt>
                <c:pt idx="57">
                  <c:v>3.0236245376954254E-2</c:v>
                </c:pt>
                <c:pt idx="58">
                  <c:v>3.0719983838649635E-2</c:v>
                </c:pt>
                <c:pt idx="59">
                  <c:v>3.1203683775811137E-2</c:v>
                </c:pt>
                <c:pt idx="60">
                  <c:v>3.1687346353188775E-2</c:v>
                </c:pt>
                <c:pt idx="61">
                  <c:v>3.2170972608289813E-2</c:v>
                </c:pt>
                <c:pt idx="62">
                  <c:v>3.2654563466531762E-2</c:v>
                </c:pt>
                <c:pt idx="63">
                  <c:v>3.3138119754567319E-2</c:v>
                </c:pt>
                <c:pt idx="64">
                  <c:v>3.3621642212004949E-2</c:v>
                </c:pt>
                <c:pt idx="65">
                  <c:v>3.4105131501720828E-2</c:v>
                </c:pt>
                <c:pt idx="66">
                  <c:v>3.458858821893384E-2</c:v>
                </c:pt>
                <c:pt idx="67">
                  <c:v>3.5072012899193844E-2</c:v>
                </c:pt>
                <c:pt idx="68">
                  <c:v>3.5555406025415057E-2</c:v>
                </c:pt>
                <c:pt idx="69">
                  <c:v>3.6038768034070114E-2</c:v>
                </c:pt>
                <c:pt idx="70">
                  <c:v>3.6522099320646192E-2</c:v>
                </c:pt>
                <c:pt idx="71">
                  <c:v>3.7005400244452195E-2</c:v>
                </c:pt>
                <c:pt idx="72">
                  <c:v>3.7488671132855089E-2</c:v>
                </c:pt>
                <c:pt idx="73">
                  <c:v>3.797191228501396E-2</c:v>
                </c:pt>
                <c:pt idx="74">
                  <c:v>3.8455123975172104E-2</c:v>
                </c:pt>
                <c:pt idx="75">
                  <c:v>3.8938306455559984E-2</c:v>
                </c:pt>
                <c:pt idx="76">
                  <c:v>3.9421459958955615E-2</c:v>
                </c:pt>
                <c:pt idx="77">
                  <c:v>3.9904584700943289E-2</c:v>
                </c:pt>
                <c:pt idx="78">
                  <c:v>4.0387680881906515E-2</c:v>
                </c:pt>
                <c:pt idx="79">
                  <c:v>4.087074868878688E-2</c:v>
                </c:pt>
                <c:pt idx="80">
                  <c:v>4.1353788296636537E-2</c:v>
                </c:pt>
                <c:pt idx="81">
                  <c:v>4.1836799869988922E-2</c:v>
                </c:pt>
                <c:pt idx="82">
                  <c:v>4.2319783564069083E-2</c:v>
                </c:pt>
                <c:pt idx="83">
                  <c:v>4.2802739525862714E-2</c:v>
                </c:pt>
                <c:pt idx="84">
                  <c:v>4.3285667895060491E-2</c:v>
                </c:pt>
                <c:pt idx="85">
                  <c:v>4.3768568804892459E-2</c:v>
                </c:pt>
                <c:pt idx="86">
                  <c:v>4.4251442382865394E-2</c:v>
                </c:pt>
                <c:pt idx="87">
                  <c:v>4.4734288751414546E-2</c:v>
                </c:pt>
                <c:pt idx="88">
                  <c:v>4.5217108028479815E-2</c:v>
                </c:pt>
                <c:pt idx="89">
                  <c:v>4.5699900328015235E-2</c:v>
                </c:pt>
                <c:pt idx="90">
                  <c:v>4.6182665760439529E-2</c:v>
                </c:pt>
                <c:pt idx="91">
                  <c:v>4.6665404433034678E-2</c:v>
                </c:pt>
                <c:pt idx="92">
                  <c:v>4.7148116450298531E-2</c:v>
                </c:pt>
                <c:pt idx="93">
                  <c:v>4.763080191425683E-2</c:v>
                </c:pt>
                <c:pt idx="94">
                  <c:v>4.8113460924739358E-2</c:v>
                </c:pt>
                <c:pt idx="95">
                  <c:v>4.8596093579624411E-2</c:v>
                </c:pt>
                <c:pt idx="96">
                  <c:v>4.9078699975055227E-2</c:v>
                </c:pt>
                <c:pt idx="97">
                  <c:v>4.9561280205631678E-2</c:v>
                </c:pt>
                <c:pt idx="98">
                  <c:v>5.0043834364580021E-2</c:v>
                </c:pt>
                <c:pt idx="99">
                  <c:v>5.0526362543903303E-2</c:v>
                </c:pt>
                <c:pt idx="100">
                  <c:v>5.1008864834514618E-2</c:v>
                </c:pt>
                <c:pt idx="101">
                  <c:v>5.1491341326355203E-2</c:v>
                </c:pt>
                <c:pt idx="102">
                  <c:v>5.1973792108499117E-2</c:v>
                </c:pt>
                <c:pt idx="103">
                  <c:v>5.2456217269246076E-2</c:v>
                </c:pt>
                <c:pt idx="104">
                  <c:v>5.2938616896203723E-2</c:v>
                </c:pt>
                <c:pt idx="105">
                  <c:v>5.3420991076360634E-2</c:v>
                </c:pt>
                <c:pt idx="106">
                  <c:v>5.3903339896151072E-2</c:v>
                </c:pt>
                <c:pt idx="107">
                  <c:v>5.4385663441512438E-2</c:v>
                </c:pt>
                <c:pt idx="108">
                  <c:v>5.4867961797936265E-2</c:v>
                </c:pt>
                <c:pt idx="109">
                  <c:v>5.5350235050513466E-2</c:v>
                </c:pt>
                <c:pt idx="110">
                  <c:v>5.5832483283974534E-2</c:v>
                </c:pt>
                <c:pt idx="111">
                  <c:v>5.6314706582725221E-2</c:v>
                </c:pt>
                <c:pt idx="112">
                  <c:v>5.6796905030878232E-2</c:v>
                </c:pt>
                <c:pt idx="113">
                  <c:v>5.7279078712281391E-2</c:v>
                </c:pt>
                <c:pt idx="114">
                  <c:v>5.7761227710542672E-2</c:v>
                </c:pt>
                <c:pt idx="115">
                  <c:v>5.8243352109052432E-2</c:v>
                </c:pt>
                <c:pt idx="116">
                  <c:v>5.8725451991003208E-2</c:v>
                </c:pt>
                <c:pt idx="117">
                  <c:v>5.9207527439407298E-2</c:v>
                </c:pt>
                <c:pt idx="118">
                  <c:v>5.9689578537112403E-2</c:v>
                </c:pt>
                <c:pt idx="119">
                  <c:v>6.017160536681556E-2</c:v>
                </c:pt>
                <c:pt idx="120">
                  <c:v>6.0653608011075541E-2</c:v>
                </c:pt>
                <c:pt idx="121">
                  <c:v>6.1135586552323873E-2</c:v>
                </c:pt>
                <c:pt idx="122">
                  <c:v>6.161754107287469E-2</c:v>
                </c:pt>
                <c:pt idx="123">
                  <c:v>6.2099471654933472E-2</c:v>
                </c:pt>
                <c:pt idx="124">
                  <c:v>6.2581378380604874E-2</c:v>
                </c:pt>
                <c:pt idx="125">
                  <c:v>6.3063261331899656E-2</c:v>
                </c:pt>
                <c:pt idx="126">
                  <c:v>6.3545120590740939E-2</c:v>
                </c:pt>
                <c:pt idx="127">
                  <c:v>6.4026956238969701E-2</c:v>
                </c:pt>
                <c:pt idx="128">
                  <c:v>6.4508768358349761E-2</c:v>
                </c:pt>
                <c:pt idx="129">
                  <c:v>6.4990557030572174E-2</c:v>
                </c:pt>
                <c:pt idx="130">
                  <c:v>6.5472322337259206E-2</c:v>
                </c:pt>
                <c:pt idx="131">
                  <c:v>6.5954064359967882E-2</c:v>
                </c:pt>
                <c:pt idx="132">
                  <c:v>6.6435783180193109E-2</c:v>
                </c:pt>
                <c:pt idx="133">
                  <c:v>6.6917478879370537E-2</c:v>
                </c:pt>
                <c:pt idx="134">
                  <c:v>6.7399151538879112E-2</c:v>
                </c:pt>
                <c:pt idx="135">
                  <c:v>6.7880801240043309E-2</c:v>
                </c:pt>
                <c:pt idx="136">
                  <c:v>6.8362428064135242E-2</c:v>
                </c:pt>
                <c:pt idx="137">
                  <c:v>6.8844032092376467E-2</c:v>
                </c:pt>
                <c:pt idx="138">
                  <c:v>6.932561340593961E-2</c:v>
                </c:pt>
                <c:pt idx="139">
                  <c:v>6.9807172085949942E-2</c:v>
                </c:pt>
                <c:pt idx="140">
                  <c:v>7.028870821348665E-2</c:v>
                </c:pt>
                <c:pt idx="141">
                  <c:v>7.077022186958408E-2</c:v>
                </c:pt>
                <c:pt idx="142">
                  <c:v>7.1251713135232819E-2</c:v>
                </c:pt>
                <c:pt idx="143">
                  <c:v>7.1733182091380701E-2</c:v>
                </c:pt>
                <c:pt idx="144">
                  <c:v>7.2214628818933729E-2</c:v>
                </c:pt>
                <c:pt idx="145">
                  <c:v>7.2696053398756871E-2</c:v>
                </c:pt>
                <c:pt idx="146">
                  <c:v>7.3177455911674807E-2</c:v>
                </c:pt>
                <c:pt idx="147">
                  <c:v>7.3658836438472639E-2</c:v>
                </c:pt>
                <c:pt idx="148">
                  <c:v>7.4140195059896455E-2</c:v>
                </c:pt>
                <c:pt idx="149">
                  <c:v>7.4621531856653989E-2</c:v>
                </c:pt>
                <c:pt idx="150">
                  <c:v>7.5102846909415058E-2</c:v>
                </c:pt>
                <c:pt idx="151">
                  <c:v>7.5584140298812094E-2</c:v>
                </c:pt>
                <c:pt idx="152">
                  <c:v>7.60654121054406E-2</c:v>
                </c:pt>
                <c:pt idx="153">
                  <c:v>7.6546662409859523E-2</c:v>
                </c:pt>
                <c:pt idx="154">
                  <c:v>7.7027891292591674E-2</c:v>
                </c:pt>
                <c:pt idx="155">
                  <c:v>7.7509098834124088E-2</c:v>
                </c:pt>
                <c:pt idx="156">
                  <c:v>7.7990285114908312E-2</c:v>
                </c:pt>
                <c:pt idx="157">
                  <c:v>7.8471450215360769E-2</c:v>
                </c:pt>
                <c:pt idx="158">
                  <c:v>7.8952594215863051E-2</c:v>
                </c:pt>
                <c:pt idx="159">
                  <c:v>7.9433717196762149E-2</c:v>
                </c:pt>
                <c:pt idx="160">
                  <c:v>7.9914819238370766E-2</c:v>
                </c:pt>
                <c:pt idx="161">
                  <c:v>8.0395900420967545E-2</c:v>
                </c:pt>
                <c:pt idx="162">
                  <c:v>8.0876960824797312E-2</c:v>
                </c:pt>
                <c:pt idx="163">
                  <c:v>8.1358000530071292E-2</c:v>
                </c:pt>
                <c:pt idx="164">
                  <c:v>8.1839019616967351E-2</c:v>
                </c:pt>
                <c:pt idx="165">
                  <c:v>8.2320018165630171E-2</c:v>
                </c:pt>
                <c:pt idx="166">
                  <c:v>8.2800996256171475E-2</c:v>
                </c:pt>
                <c:pt idx="167">
                  <c:v>8.3281953968670219E-2</c:v>
                </c:pt>
                <c:pt idx="168">
                  <c:v>8.3762891383172763E-2</c:v>
                </c:pt>
                <c:pt idx="169">
                  <c:v>8.4243808579693089E-2</c:v>
                </c:pt>
                <c:pt idx="170">
                  <c:v>8.4724705638212924E-2</c:v>
                </c:pt>
                <c:pt idx="171">
                  <c:v>8.5205582638681943E-2</c:v>
                </c:pt>
                <c:pt idx="172">
                  <c:v>8.5686439661017966E-2</c:v>
                </c:pt>
                <c:pt idx="173">
                  <c:v>8.6167276785107064E-2</c:v>
                </c:pt>
                <c:pt idx="174">
                  <c:v>8.6648094090803776E-2</c:v>
                </c:pt>
                <c:pt idx="175">
                  <c:v>8.7128891657931209E-2</c:v>
                </c:pt>
                <c:pt idx="176">
                  <c:v>8.7609669566281259E-2</c:v>
                </c:pt>
                <c:pt idx="177">
                  <c:v>8.809042789561472E-2</c:v>
                </c:pt>
                <c:pt idx="178">
                  <c:v>8.857116672566144E-2</c:v>
                </c:pt>
                <c:pt idx="179">
                  <c:v>8.9051886136120501E-2</c:v>
                </c:pt>
                <c:pt idx="180">
                  <c:v>8.9532586206660325E-2</c:v>
                </c:pt>
                <c:pt idx="181">
                  <c:v>9.0013267016918849E-2</c:v>
                </c:pt>
                <c:pt idx="182">
                  <c:v>9.0493928646503657E-2</c:v>
                </c:pt>
                <c:pt idx="183">
                  <c:v>9.0974571174992136E-2</c:v>
                </c:pt>
                <c:pt idx="184">
                  <c:v>9.1455194681931598E-2</c:v>
                </c:pt>
                <c:pt idx="185">
                  <c:v>9.1935799246839436E-2</c:v>
                </c:pt>
                <c:pt idx="186">
                  <c:v>9.2416384949203276E-2</c:v>
                </c:pt>
                <c:pt idx="187">
                  <c:v>9.2896951868481098E-2</c:v>
                </c:pt>
                <c:pt idx="188">
                  <c:v>9.3377500084101367E-2</c:v>
                </c:pt>
                <c:pt idx="189">
                  <c:v>9.3858029675463195E-2</c:v>
                </c:pt>
                <c:pt idx="190">
                  <c:v>9.4338540721936467E-2</c:v>
                </c:pt>
                <c:pt idx="191">
                  <c:v>9.4819033302861969E-2</c:v>
                </c:pt>
                <c:pt idx="192">
                  <c:v>9.5299507497551547E-2</c:v>
                </c:pt>
                <c:pt idx="193">
                  <c:v>9.5779963385288214E-2</c:v>
                </c:pt>
                <c:pt idx="194">
                  <c:v>9.6260401045326308E-2</c:v>
                </c:pt>
                <c:pt idx="195">
                  <c:v>9.6740820556891607E-2</c:v>
                </c:pt>
                <c:pt idx="196">
                  <c:v>9.7221221999181484E-2</c:v>
                </c:pt>
                <c:pt idx="197">
                  <c:v>9.7701605451365039E-2</c:v>
                </c:pt>
                <c:pt idx="198">
                  <c:v>9.8181970992583203E-2</c:v>
                </c:pt>
                <c:pt idx="199">
                  <c:v>9.8662318701948928E-2</c:v>
                </c:pt>
                <c:pt idx="200">
                  <c:v>9.9142648658547244E-2</c:v>
                </c:pt>
                <c:pt idx="201">
                  <c:v>9.9622960941435468E-2</c:v>
                </c:pt>
                <c:pt idx="202">
                  <c:v>0.10010325562964328</c:v>
                </c:pt>
                <c:pt idx="203">
                  <c:v>0.10058353280217289</c:v>
                </c:pt>
                <c:pt idx="204">
                  <c:v>0.10106379253799913</c:v>
                </c:pt>
                <c:pt idx="205">
                  <c:v>0.10154403491606967</c:v>
                </c:pt>
                <c:pt idx="206">
                  <c:v>0.10202426001530503</c:v>
                </c:pt>
                <c:pt idx="207">
                  <c:v>0.10250446791459879</c:v>
                </c:pt>
                <c:pt idx="208">
                  <c:v>0.10298465869281773</c:v>
                </c:pt>
                <c:pt idx="209">
                  <c:v>0.1034648324288019</c:v>
                </c:pt>
                <c:pt idx="210">
                  <c:v>0.10394498920136482</c:v>
                </c:pt>
                <c:pt idx="211">
                  <c:v>0.10442512908929354</c:v>
                </c:pt>
                <c:pt idx="212">
                  <c:v>0.10490525217134881</c:v>
                </c:pt>
                <c:pt idx="213">
                  <c:v>0.10538535852626525</c:v>
                </c:pt>
                <c:pt idx="214">
                  <c:v>0.1058654482327514</c:v>
                </c:pt>
                <c:pt idx="215">
                  <c:v>0.1063455213694899</c:v>
                </c:pt>
                <c:pt idx="216">
                  <c:v>0.10682557801513758</c:v>
                </c:pt>
                <c:pt idx="217">
                  <c:v>0.10730561824832563</c:v>
                </c:pt>
                <c:pt idx="218">
                  <c:v>0.10778564214765975</c:v>
                </c:pt>
                <c:pt idx="219">
                  <c:v>0.10826564979172019</c:v>
                </c:pt>
                <c:pt idx="220">
                  <c:v>0.10874564125906198</c:v>
                </c:pt>
                <c:pt idx="221">
                  <c:v>0.10922561662821498</c:v>
                </c:pt>
                <c:pt idx="222">
                  <c:v>0.10970557597768404</c:v>
                </c:pt>
                <c:pt idx="223">
                  <c:v>0.11018551938594917</c:v>
                </c:pt>
                <c:pt idx="224">
                  <c:v>0.1106654469314656</c:v>
                </c:pt>
                <c:pt idx="225">
                  <c:v>0.11114535869266393</c:v>
                </c:pt>
                <c:pt idx="226">
                  <c:v>0.11162525474795028</c:v>
                </c:pt>
                <c:pt idx="227">
                  <c:v>0.1121051351757064</c:v>
                </c:pt>
                <c:pt idx="228">
                  <c:v>0.11258500005428981</c:v>
                </c:pt>
                <c:pt idx="229">
                  <c:v>0.11306484946203392</c:v>
                </c:pt>
                <c:pt idx="230">
                  <c:v>0.11354468347724815</c:v>
                </c:pt>
                <c:pt idx="231">
                  <c:v>0.11402450217821807</c:v>
                </c:pt>
                <c:pt idx="232">
                  <c:v>0.11450430564320552</c:v>
                </c:pt>
                <c:pt idx="233">
                  <c:v>0.11498409395044876</c:v>
                </c:pt>
                <c:pt idx="234">
                  <c:v>0.11546386717816257</c:v>
                </c:pt>
                <c:pt idx="235">
                  <c:v>0.11594362540453836</c:v>
                </c:pt>
                <c:pt idx="236">
                  <c:v>0.11642336870774438</c:v>
                </c:pt>
                <c:pt idx="237">
                  <c:v>0.11690309716592574</c:v>
                </c:pt>
                <c:pt idx="238">
                  <c:v>0.11738281085720463</c:v>
                </c:pt>
                <c:pt idx="239">
                  <c:v>0.11786250985968037</c:v>
                </c:pt>
                <c:pt idx="240">
                  <c:v>0.1183421942514296</c:v>
                </c:pt>
                <c:pt idx="241">
                  <c:v>0.11882186411050635</c:v>
                </c:pt>
                <c:pt idx="242">
                  <c:v>0.11930151951494224</c:v>
                </c:pt>
                <c:pt idx="243">
                  <c:v>0.11978116054274651</c:v>
                </c:pt>
                <c:pt idx="244">
                  <c:v>0.12026078727190626</c:v>
                </c:pt>
                <c:pt idx="245">
                  <c:v>0.12074039978038646</c:v>
                </c:pt>
                <c:pt idx="246">
                  <c:v>0.12121999814613017</c:v>
                </c:pt>
                <c:pt idx="247">
                  <c:v>0.1216995824470586</c:v>
                </c:pt>
                <c:pt idx="248">
                  <c:v>0.12217915276107129</c:v>
                </c:pt>
                <c:pt idx="249">
                  <c:v>0.1226587091660462</c:v>
                </c:pt>
                <c:pt idx="250">
                  <c:v>0.12313825173983983</c:v>
                </c:pt>
                <c:pt idx="251">
                  <c:v>0.1236177805602874</c:v>
                </c:pt>
                <c:pt idx="252">
                  <c:v>0.12409729570520289</c:v>
                </c:pt>
                <c:pt idx="253">
                  <c:v>0.12457679725237927</c:v>
                </c:pt>
                <c:pt idx="254">
                  <c:v>0.12505628527958854</c:v>
                </c:pt>
                <c:pt idx="255">
                  <c:v>0.12553575986458188</c:v>
                </c:pt>
                <c:pt idx="256">
                  <c:v>0.12601522108508975</c:v>
                </c:pt>
                <c:pt idx="257">
                  <c:v>0.12649466901882214</c:v>
                </c:pt>
                <c:pt idx="258">
                  <c:v>0.12697410374346851</c:v>
                </c:pt>
                <c:pt idx="259">
                  <c:v>0.12745352533669804</c:v>
                </c:pt>
                <c:pt idx="260">
                  <c:v>0.12793293387615973</c:v>
                </c:pt>
                <c:pt idx="261">
                  <c:v>0.1284123294394825</c:v>
                </c:pt>
                <c:pt idx="262">
                  <c:v>0.12889171210427533</c:v>
                </c:pt>
                <c:pt idx="263">
                  <c:v>0.12937108194812741</c:v>
                </c:pt>
                <c:pt idx="264">
                  <c:v>0.12985043904860821</c:v>
                </c:pt>
                <c:pt idx="265">
                  <c:v>0.13032978348326768</c:v>
                </c:pt>
                <c:pt idx="266">
                  <c:v>0.13080911532963627</c:v>
                </c:pt>
                <c:pt idx="267">
                  <c:v>0.13128843466522513</c:v>
                </c:pt>
                <c:pt idx="268">
                  <c:v>0.13176774156752627</c:v>
                </c:pt>
                <c:pt idx="269">
                  <c:v>0.13224703611401256</c:v>
                </c:pt>
                <c:pt idx="270">
                  <c:v>0.13272631838213797</c:v>
                </c:pt>
                <c:pt idx="271">
                  <c:v>0.13320558844933766</c:v>
                </c:pt>
                <c:pt idx="272">
                  <c:v>0.13368484639302808</c:v>
                </c:pt>
                <c:pt idx="273">
                  <c:v>0.13416409229060708</c:v>
                </c:pt>
                <c:pt idx="274">
                  <c:v>0.1346433262194541</c:v>
                </c:pt>
                <c:pt idx="275">
                  <c:v>0.13512254825693024</c:v>
                </c:pt>
                <c:pt idx="276">
                  <c:v>0.13560175848037842</c:v>
                </c:pt>
                <c:pt idx="277">
                  <c:v>0.13608095696712347</c:v>
                </c:pt>
                <c:pt idx="278">
                  <c:v>0.13656014379447226</c:v>
                </c:pt>
                <c:pt idx="279">
                  <c:v>0.13703931903971386</c:v>
                </c:pt>
                <c:pt idx="280">
                  <c:v>0.13751848278011961</c:v>
                </c:pt>
                <c:pt idx="281">
                  <c:v>0.13799763509294324</c:v>
                </c:pt>
                <c:pt idx="282">
                  <c:v>0.13847677605542111</c:v>
                </c:pt>
                <c:pt idx="283">
                  <c:v>0.13895590574477215</c:v>
                </c:pt>
                <c:pt idx="284">
                  <c:v>0.13943502423819812</c:v>
                </c:pt>
                <c:pt idx="285">
                  <c:v>0.13991413161288371</c:v>
                </c:pt>
                <c:pt idx="286">
                  <c:v>0.1403932279459966</c:v>
                </c:pt>
                <c:pt idx="287">
                  <c:v>0.14087231331468766</c:v>
                </c:pt>
                <c:pt idx="288">
                  <c:v>0.14135138779609102</c:v>
                </c:pt>
                <c:pt idx="289">
                  <c:v>0.14183045146732423</c:v>
                </c:pt>
                <c:pt idx="290">
                  <c:v>0.14230950440548834</c:v>
                </c:pt>
                <c:pt idx="291">
                  <c:v>0.14278854668766808</c:v>
                </c:pt>
                <c:pt idx="292">
                  <c:v>0.1432675783909319</c:v>
                </c:pt>
                <c:pt idx="293">
                  <c:v>0.14374659959233221</c:v>
                </c:pt>
                <c:pt idx="294">
                  <c:v>0.14422561036890538</c:v>
                </c:pt>
                <c:pt idx="295">
                  <c:v>0.14470461079767194</c:v>
                </c:pt>
                <c:pt idx="296">
                  <c:v>0.14518360095563668</c:v>
                </c:pt>
                <c:pt idx="297">
                  <c:v>0.14566258091978876</c:v>
                </c:pt>
                <c:pt idx="298">
                  <c:v>0.14614155076710186</c:v>
                </c:pt>
                <c:pt idx="299">
                  <c:v>0.14662051057453429</c:v>
                </c:pt>
                <c:pt idx="300">
                  <c:v>0.14709946041902908</c:v>
                </c:pt>
                <c:pt idx="301">
                  <c:v>0.14757840037751416</c:v>
                </c:pt>
                <c:pt idx="302">
                  <c:v>0.14805733052690243</c:v>
                </c:pt>
                <c:pt idx="303">
                  <c:v>0.1485362509440919</c:v>
                </c:pt>
                <c:pt idx="304">
                  <c:v>0.14901516170596582</c:v>
                </c:pt>
                <c:pt idx="305">
                  <c:v>0.14949406288939285</c:v>
                </c:pt>
                <c:pt idx="306">
                  <c:v>0.14997295457122703</c:v>
                </c:pt>
                <c:pt idx="307">
                  <c:v>0.15045183682830809</c:v>
                </c:pt>
                <c:pt idx="308">
                  <c:v>0.15093070973746142</c:v>
                </c:pt>
                <c:pt idx="309">
                  <c:v>0.15140957337549829</c:v>
                </c:pt>
                <c:pt idx="310">
                  <c:v>0.15188842781921594</c:v>
                </c:pt>
                <c:pt idx="311">
                  <c:v>0.15236727314539766</c:v>
                </c:pt>
                <c:pt idx="312">
                  <c:v>0.15284610943081298</c:v>
                </c:pt>
                <c:pt idx="313">
                  <c:v>0.15332493675221773</c:v>
                </c:pt>
                <c:pt idx="314">
                  <c:v>0.1538037551863542</c:v>
                </c:pt>
                <c:pt idx="315">
                  <c:v>0.15428256480995126</c:v>
                </c:pt>
                <c:pt idx="316">
                  <c:v>0.15476136569972448</c:v>
                </c:pt>
                <c:pt idx="317">
                  <c:v>0.15524015793237622</c:v>
                </c:pt>
                <c:pt idx="318">
                  <c:v>0.15571894158459579</c:v>
                </c:pt>
                <c:pt idx="319">
                  <c:v>0.15619771673305954</c:v>
                </c:pt>
                <c:pt idx="320">
                  <c:v>0.156676483454431</c:v>
                </c:pt>
                <c:pt idx="321">
                  <c:v>0.157155241825361</c:v>
                </c:pt>
                <c:pt idx="322">
                  <c:v>0.15763399192248781</c:v>
                </c:pt>
                <c:pt idx="323">
                  <c:v>0.15811273382243718</c:v>
                </c:pt>
                <c:pt idx="324">
                  <c:v>0.15859146760182258</c:v>
                </c:pt>
                <c:pt idx="325">
                  <c:v>0.1590701933372452</c:v>
                </c:pt>
                <c:pt idx="326">
                  <c:v>0.15954891110529421</c:v>
                </c:pt>
                <c:pt idx="327">
                  <c:v>0.16002762098254672</c:v>
                </c:pt>
                <c:pt idx="328">
                  <c:v>0.160506323045568</c:v>
                </c:pt>
                <c:pt idx="329">
                  <c:v>0.16098501737091162</c:v>
                </c:pt>
                <c:pt idx="330">
                  <c:v>0.16146370403511948</c:v>
                </c:pt>
                <c:pt idx="331">
                  <c:v>0.161942383114722</c:v>
                </c:pt>
                <c:pt idx="332">
                  <c:v>0.16242105468623821</c:v>
                </c:pt>
                <c:pt idx="333">
                  <c:v>0.16289971882617593</c:v>
                </c:pt>
                <c:pt idx="334">
                  <c:v>0.1633783756110318</c:v>
                </c:pt>
                <c:pt idx="335">
                  <c:v>0.16385702511729142</c:v>
                </c:pt>
                <c:pt idx="336">
                  <c:v>0.16433566742142955</c:v>
                </c:pt>
                <c:pt idx="337">
                  <c:v>0.16481430259991012</c:v>
                </c:pt>
                <c:pt idx="338">
                  <c:v>0.16529293072918641</c:v>
                </c:pt>
                <c:pt idx="339">
                  <c:v>0.16577155188570122</c:v>
                </c:pt>
                <c:pt idx="340">
                  <c:v>0.16625016614588686</c:v>
                </c:pt>
                <c:pt idx="341">
                  <c:v>0.16672877358616536</c:v>
                </c:pt>
                <c:pt idx="342">
                  <c:v>0.16720737428294857</c:v>
                </c:pt>
                <c:pt idx="343">
                  <c:v>0.16768596831263829</c:v>
                </c:pt>
                <c:pt idx="344">
                  <c:v>0.16816455575162639</c:v>
                </c:pt>
                <c:pt idx="345">
                  <c:v>0.16864313667629491</c:v>
                </c:pt>
                <c:pt idx="346">
                  <c:v>0.16912171116301616</c:v>
                </c:pt>
                <c:pt idx="347">
                  <c:v>0.16960027928815291</c:v>
                </c:pt>
                <c:pt idx="348">
                  <c:v>0.17007884112805846</c:v>
                </c:pt>
                <c:pt idx="349">
                  <c:v>0.17055739675907675</c:v>
                </c:pt>
                <c:pt idx="350">
                  <c:v>0.17103594625754251</c:v>
                </c:pt>
                <c:pt idx="351">
                  <c:v>0.17151448969978136</c:v>
                </c:pt>
                <c:pt idx="352">
                  <c:v>0.17199302716210996</c:v>
                </c:pt>
                <c:pt idx="353">
                  <c:v>0.17247155872083608</c:v>
                </c:pt>
                <c:pt idx="354">
                  <c:v>0.17295008445225873</c:v>
                </c:pt>
                <c:pt idx="355">
                  <c:v>0.17342860443266833</c:v>
                </c:pt>
                <c:pt idx="356">
                  <c:v>0.1739071187383468</c:v>
                </c:pt>
                <c:pt idx="357">
                  <c:v>0.1743856274455676</c:v>
                </c:pt>
                <c:pt idx="358">
                  <c:v>0.174864130630596</c:v>
                </c:pt>
                <c:pt idx="359">
                  <c:v>0.17534262836968909</c:v>
                </c:pt>
                <c:pt idx="360">
                  <c:v>0.17582112073909592</c:v>
                </c:pt>
                <c:pt idx="361">
                  <c:v>0.17629960781505766</c:v>
                </c:pt>
                <c:pt idx="362">
                  <c:v>0.17677808967380765</c:v>
                </c:pt>
                <c:pt idx="363">
                  <c:v>0.17725656639157159</c:v>
                </c:pt>
                <c:pt idx="364">
                  <c:v>0.17773503804456758</c:v>
                </c:pt>
                <c:pt idx="365">
                  <c:v>0.17821350470900635</c:v>
                </c:pt>
                <c:pt idx="366">
                  <c:v>0.17869196646109123</c:v>
                </c:pt>
                <c:pt idx="367">
                  <c:v>0.17917042337701844</c:v>
                </c:pt>
                <c:pt idx="368">
                  <c:v>0.17964887553297704</c:v>
                </c:pt>
                <c:pt idx="369">
                  <c:v>0.18012732300514919</c:v>
                </c:pt>
                <c:pt idx="370">
                  <c:v>0.18060576586971019</c:v>
                </c:pt>
                <c:pt idx="371">
                  <c:v>0.18108420420282861</c:v>
                </c:pt>
                <c:pt idx="372">
                  <c:v>0.18156263808066642</c:v>
                </c:pt>
                <c:pt idx="373">
                  <c:v>0.1820410675793791</c:v>
                </c:pt>
                <c:pt idx="374">
                  <c:v>0.18251949277511578</c:v>
                </c:pt>
                <c:pt idx="375">
                  <c:v>0.1829979137440193</c:v>
                </c:pt>
                <c:pt idx="376">
                  <c:v>0.18347633056222643</c:v>
                </c:pt>
                <c:pt idx="377">
                  <c:v>0.18395474330586789</c:v>
                </c:pt>
                <c:pt idx="378">
                  <c:v>0.1844331520510685</c:v>
                </c:pt>
                <c:pt idx="379">
                  <c:v>0.18491155687394734</c:v>
                </c:pt>
                <c:pt idx="380">
                  <c:v>0.18538995785061779</c:v>
                </c:pt>
                <c:pt idx="381">
                  <c:v>0.18586835505718774</c:v>
                </c:pt>
                <c:pt idx="382">
                  <c:v>0.18634674856975963</c:v>
                </c:pt>
                <c:pt idx="383">
                  <c:v>0.18682513846443063</c:v>
                </c:pt>
                <c:pt idx="384">
                  <c:v>0.18730352481729268</c:v>
                </c:pt>
                <c:pt idx="385">
                  <c:v>0.1877819077044327</c:v>
                </c:pt>
                <c:pt idx="386">
                  <c:v>0.18826028720193264</c:v>
                </c:pt>
                <c:pt idx="387">
                  <c:v>0.18873866338586964</c:v>
                </c:pt>
                <c:pt idx="388">
                  <c:v>0.18921703633231612</c:v>
                </c:pt>
                <c:pt idx="389">
                  <c:v>0.18969540611733993</c:v>
                </c:pt>
                <c:pt idx="390">
                  <c:v>0.1901737728170044</c:v>
                </c:pt>
                <c:pt idx="391">
                  <c:v>0.19065213650736856</c:v>
                </c:pt>
                <c:pt idx="392">
                  <c:v>0.19113049726448716</c:v>
                </c:pt>
                <c:pt idx="393">
                  <c:v>0.1916088551644109</c:v>
                </c:pt>
                <c:pt idx="394">
                  <c:v>0.1920872102831864</c:v>
                </c:pt>
                <c:pt idx="395">
                  <c:v>0.19256556269685643</c:v>
                </c:pt>
                <c:pt idx="396">
                  <c:v>0.19304391248146002</c:v>
                </c:pt>
                <c:pt idx="397">
                  <c:v>0.19352225971303255</c:v>
                </c:pt>
                <c:pt idx="398">
                  <c:v>0.19400060446760586</c:v>
                </c:pt>
                <c:pt idx="399">
                  <c:v>0.19447894682120836</c:v>
                </c:pt>
                <c:pt idx="400">
                  <c:v>0.19495728684986521</c:v>
                </c:pt>
                <c:pt idx="401">
                  <c:v>0.1954356246295984</c:v>
                </c:pt>
                <c:pt idx="402">
                  <c:v>0.19591396023642685</c:v>
                </c:pt>
                <c:pt idx="403">
                  <c:v>0.19639229374636652</c:v>
                </c:pt>
                <c:pt idx="404">
                  <c:v>0.19687062523543059</c:v>
                </c:pt>
                <c:pt idx="405">
                  <c:v>0.19734895477962952</c:v>
                </c:pt>
                <c:pt idx="406">
                  <c:v>0.19782728245497119</c:v>
                </c:pt>
                <c:pt idx="407">
                  <c:v>0.19830560833746103</c:v>
                </c:pt>
                <c:pt idx="408">
                  <c:v>0.19878393250310211</c:v>
                </c:pt>
                <c:pt idx="409">
                  <c:v>0.1992622550278953</c:v>
                </c:pt>
                <c:pt idx="410">
                  <c:v>0.19974057598783931</c:v>
                </c:pt>
                <c:pt idx="411">
                  <c:v>0.20021889545893093</c:v>
                </c:pt>
                <c:pt idx="412">
                  <c:v>0.20069721351716502</c:v>
                </c:pt>
                <c:pt idx="413">
                  <c:v>0.20117553023853468</c:v>
                </c:pt>
                <c:pt idx="414">
                  <c:v>0.20165384569903141</c:v>
                </c:pt>
                <c:pt idx="415">
                  <c:v>0.20213215997464518</c:v>
                </c:pt>
                <c:pt idx="416">
                  <c:v>0.20261047314136452</c:v>
                </c:pt>
                <c:pt idx="417">
                  <c:v>0.20308878527517674</c:v>
                </c:pt>
                <c:pt idx="418">
                  <c:v>0.20356709645206794</c:v>
                </c:pt>
                <c:pt idx="419">
                  <c:v>0.20404540674802321</c:v>
                </c:pt>
                <c:pt idx="420">
                  <c:v>0.20452371623902668</c:v>
                </c:pt>
                <c:pt idx="421">
                  <c:v>0.20500202500106166</c:v>
                </c:pt>
                <c:pt idx="422">
                  <c:v>0.20548033311011077</c:v>
                </c:pt>
                <c:pt idx="423">
                  <c:v>0.2059586406421561</c:v>
                </c:pt>
                <c:pt idx="424">
                  <c:v>0.20643694767317924</c:v>
                </c:pt>
                <c:pt idx="425">
                  <c:v>0.20691525427916144</c:v>
                </c:pt>
                <c:pt idx="426">
                  <c:v>0.20739356053608374</c:v>
                </c:pt>
                <c:pt idx="427">
                  <c:v>0.20787186651992706</c:v>
                </c:pt>
                <c:pt idx="428">
                  <c:v>0.20835017230667235</c:v>
                </c:pt>
                <c:pt idx="429">
                  <c:v>0.20882847797230072</c:v>
                </c:pt>
                <c:pt idx="430">
                  <c:v>0.20930678359279348</c:v>
                </c:pt>
                <c:pt idx="431">
                  <c:v>0.20978508924413231</c:v>
                </c:pt>
                <c:pt idx="432">
                  <c:v>0.2102633950022994</c:v>
                </c:pt>
                <c:pt idx="433">
                  <c:v>0.21074170094327757</c:v>
                </c:pt>
                <c:pt idx="434">
                  <c:v>0.21122000714305031</c:v>
                </c:pt>
                <c:pt idx="435">
                  <c:v>0.21169831367760197</c:v>
                </c:pt>
                <c:pt idx="436">
                  <c:v>0.21217662062291787</c:v>
                </c:pt>
                <c:pt idx="437">
                  <c:v>0.21265492805498434</c:v>
                </c:pt>
                <c:pt idx="438">
                  <c:v>0.21313323604978901</c:v>
                </c:pt>
                <c:pt idx="439">
                  <c:v>0.21361154468332075</c:v>
                </c:pt>
                <c:pt idx="440">
                  <c:v>0.21408985403156988</c:v>
                </c:pt>
                <c:pt idx="441">
                  <c:v>0.21456816417052829</c:v>
                </c:pt>
                <c:pt idx="442">
                  <c:v>0.21504647517618949</c:v>
                </c:pt>
                <c:pt idx="443">
                  <c:v>0.21552478712454878</c:v>
                </c:pt>
                <c:pt idx="444">
                  <c:v>0.21600310009160339</c:v>
                </c:pt>
                <c:pt idx="445">
                  <c:v>0.21648141415335259</c:v>
                </c:pt>
                <c:pt idx="446">
                  <c:v>0.21695972938579772</c:v>
                </c:pt>
                <c:pt idx="447">
                  <c:v>0.21743804586494242</c:v>
                </c:pt>
                <c:pt idx="448">
                  <c:v>0.21791636366679268</c:v>
                </c:pt>
                <c:pt idx="449">
                  <c:v>0.21839468286735703</c:v>
                </c:pt>
                <c:pt idx="450">
                  <c:v>0.21887300354264655</c:v>
                </c:pt>
                <c:pt idx="451">
                  <c:v>0.21935132576867508</c:v>
                </c:pt>
                <c:pt idx="452">
                  <c:v>0.21982964962145932</c:v>
                </c:pt>
                <c:pt idx="453">
                  <c:v>0.22030797517701892</c:v>
                </c:pt>
                <c:pt idx="454">
                  <c:v>0.2207863025113766</c:v>
                </c:pt>
                <c:pt idx="455">
                  <c:v>0.22126463170055827</c:v>
                </c:pt>
                <c:pt idx="456">
                  <c:v>0.22174296282059319</c:v>
                </c:pt>
                <c:pt idx="457">
                  <c:v>0.22222129594751408</c:v>
                </c:pt>
                <c:pt idx="458">
                  <c:v>0.22269963115735716</c:v>
                </c:pt>
                <c:pt idx="459">
                  <c:v>0.22317796852616234</c:v>
                </c:pt>
                <c:pt idx="460">
                  <c:v>0.22365630812997334</c:v>
                </c:pt>
                <c:pt idx="461">
                  <c:v>0.22413465004483776</c:v>
                </c:pt>
                <c:pt idx="462">
                  <c:v>0.22461299434680726</c:v>
                </c:pt>
                <c:pt idx="463">
                  <c:v>0.22509134111193763</c:v>
                </c:pt>
                <c:pt idx="464">
                  <c:v>0.22556969041628894</c:v>
                </c:pt>
                <c:pt idx="465">
                  <c:v>0.22604804233592563</c:v>
                </c:pt>
                <c:pt idx="466">
                  <c:v>0.22652639694691662</c:v>
                </c:pt>
                <c:pt idx="467">
                  <c:v>0.22700475432533551</c:v>
                </c:pt>
                <c:pt idx="468">
                  <c:v>0.22748311454726058</c:v>
                </c:pt>
                <c:pt idx="469">
                  <c:v>0.22796147768877498</c:v>
                </c:pt>
                <c:pt idx="470">
                  <c:v>0.22843984382596685</c:v>
                </c:pt>
                <c:pt idx="471">
                  <c:v>0.22891821303492943</c:v>
                </c:pt>
                <c:pt idx="472">
                  <c:v>0.22939658539176114</c:v>
                </c:pt>
                <c:pt idx="473">
                  <c:v>0.22987496097256577</c:v>
                </c:pt>
                <c:pt idx="474">
                  <c:v>0.23035333985345252</c:v>
                </c:pt>
                <c:pt idx="475">
                  <c:v>0.23083172211053621</c:v>
                </c:pt>
                <c:pt idx="476">
                  <c:v>0.23131010781993727</c:v>
                </c:pt>
                <c:pt idx="477">
                  <c:v>0.23178849705778201</c:v>
                </c:pt>
                <c:pt idx="478">
                  <c:v>0.23226688990020264</c:v>
                </c:pt>
                <c:pt idx="479">
                  <c:v>0.23274528642333736</c:v>
                </c:pt>
                <c:pt idx="480">
                  <c:v>0.23322368670333063</c:v>
                </c:pt>
                <c:pt idx="481">
                  <c:v>0.23370209081633309</c:v>
                </c:pt>
                <c:pt idx="482">
                  <c:v>0.23418049883850184</c:v>
                </c:pt>
                <c:pt idx="483">
                  <c:v>0.23465891084600049</c:v>
                </c:pt>
                <c:pt idx="484">
                  <c:v>0.23513732691499925</c:v>
                </c:pt>
                <c:pt idx="485">
                  <c:v>0.23561574712167513</c:v>
                </c:pt>
                <c:pt idx="486">
                  <c:v>0.23609417154221199</c:v>
                </c:pt>
                <c:pt idx="487">
                  <c:v>0.23657260025280069</c:v>
                </c:pt>
                <c:pt idx="488">
                  <c:v>0.2370510333296392</c:v>
                </c:pt>
                <c:pt idx="489">
                  <c:v>0.23752947084893269</c:v>
                </c:pt>
                <c:pt idx="490">
                  <c:v>0.23800791288689374</c:v>
                </c:pt>
                <c:pt idx="491">
                  <c:v>0.23848635951974234</c:v>
                </c:pt>
                <c:pt idx="492">
                  <c:v>0.2389648108237061</c:v>
                </c:pt>
                <c:pt idx="493">
                  <c:v>0.23944326687502032</c:v>
                </c:pt>
                <c:pt idx="494">
                  <c:v>0.23992172774992815</c:v>
                </c:pt>
                <c:pt idx="495">
                  <c:v>0.24040019352468067</c:v>
                </c:pt>
                <c:pt idx="496">
                  <c:v>0.240878664275537</c:v>
                </c:pt>
                <c:pt idx="497">
                  <c:v>0.24135714007876449</c:v>
                </c:pt>
                <c:pt idx="498">
                  <c:v>0.24183562101063874</c:v>
                </c:pt>
                <c:pt idx="499">
                  <c:v>0.24231410714744381</c:v>
                </c:pt>
                <c:pt idx="500">
                  <c:v>0.24279259856547231</c:v>
                </c:pt>
                <c:pt idx="501">
                  <c:v>0.24327109534102545</c:v>
                </c:pt>
                <c:pt idx="502">
                  <c:v>0.24374959755041328</c:v>
                </c:pt>
                <c:pt idx="503">
                  <c:v>0.24422810526995473</c:v>
                </c:pt>
                <c:pt idx="504">
                  <c:v>0.24470661857597772</c:v>
                </c:pt>
                <c:pt idx="505">
                  <c:v>0.24518513754481938</c:v>
                </c:pt>
                <c:pt idx="506">
                  <c:v>0.24566366225282601</c:v>
                </c:pt>
                <c:pt idx="507">
                  <c:v>0.24614219277635335</c:v>
                </c:pt>
                <c:pt idx="508">
                  <c:v>0.24662072919176659</c:v>
                </c:pt>
                <c:pt idx="509">
                  <c:v>0.24709927157544057</c:v>
                </c:pt>
                <c:pt idx="510">
                  <c:v>0.24757782000375986</c:v>
                </c:pt>
                <c:pt idx="511">
                  <c:v>0.24805637455311888</c:v>
                </c:pt>
                <c:pt idx="512">
                  <c:v>0.24853493529992204</c:v>
                </c:pt>
                <c:pt idx="513">
                  <c:v>0.24901350232058381</c:v>
                </c:pt>
                <c:pt idx="514">
                  <c:v>0.2494920756915289</c:v>
                </c:pt>
                <c:pt idx="515">
                  <c:v>0.24997065548919237</c:v>
                </c:pt>
                <c:pt idx="516">
                  <c:v>0.25044924179001971</c:v>
                </c:pt>
                <c:pt idx="517">
                  <c:v>0.25092783467046698</c:v>
                </c:pt>
                <c:pt idx="518">
                  <c:v>0.25140643420700098</c:v>
                </c:pt>
                <c:pt idx="519">
                  <c:v>0.25188504047609928</c:v>
                </c:pt>
                <c:pt idx="520">
                  <c:v>0.25236365355425039</c:v>
                </c:pt>
                <c:pt idx="521">
                  <c:v>0.25284227351795391</c:v>
                </c:pt>
                <c:pt idx="522">
                  <c:v>0.25332090044372058</c:v>
                </c:pt>
                <c:pt idx="523">
                  <c:v>0.25379953440807246</c:v>
                </c:pt>
                <c:pt idx="524">
                  <c:v>0.254278175487543</c:v>
                </c:pt>
                <c:pt idx="525">
                  <c:v>0.2547568237586772</c:v>
                </c:pt>
                <c:pt idx="526">
                  <c:v>0.2552354792980317</c:v>
                </c:pt>
                <c:pt idx="527">
                  <c:v>0.25571414218217497</c:v>
                </c:pt>
                <c:pt idx="528">
                  <c:v>0.25619281248768738</c:v>
                </c:pt>
                <c:pt idx="529">
                  <c:v>0.25667149029116121</c:v>
                </c:pt>
                <c:pt idx="530">
                  <c:v>0.25715017566920101</c:v>
                </c:pt>
                <c:pt idx="531">
                  <c:v>0.2576288686984235</c:v>
                </c:pt>
                <c:pt idx="532">
                  <c:v>0.25810756945545782</c:v>
                </c:pt>
                <c:pt idx="533">
                  <c:v>0.25858627801694567</c:v>
                </c:pt>
                <c:pt idx="534">
                  <c:v>0.25906499445954123</c:v>
                </c:pt>
                <c:pt idx="535">
                  <c:v>0.25954371885991157</c:v>
                </c:pt>
                <c:pt idx="536">
                  <c:v>0.2600224512947365</c:v>
                </c:pt>
                <c:pt idx="537">
                  <c:v>0.26050119184070897</c:v>
                </c:pt>
                <c:pt idx="538">
                  <c:v>0.26097994057453489</c:v>
                </c:pt>
                <c:pt idx="539">
                  <c:v>0.26145869757293344</c:v>
                </c:pt>
                <c:pt idx="540">
                  <c:v>0.2619374629126372</c:v>
                </c:pt>
                <c:pt idx="541">
                  <c:v>0.26241623667039216</c:v>
                </c:pt>
                <c:pt idx="542">
                  <c:v>0.26289501892295791</c:v>
                </c:pt>
                <c:pt idx="543">
                  <c:v>0.26337380974710778</c:v>
                </c:pt>
                <c:pt idx="544">
                  <c:v>0.26385260921962894</c:v>
                </c:pt>
                <c:pt idx="545">
                  <c:v>0.26433141741732252</c:v>
                </c:pt>
                <c:pt idx="546">
                  <c:v>0.26481023441700369</c:v>
                </c:pt>
                <c:pt idx="547">
                  <c:v>0.26528906029550181</c:v>
                </c:pt>
                <c:pt idx="548">
                  <c:v>0.26576789512966065</c:v>
                </c:pt>
                <c:pt idx="549">
                  <c:v>0.26624673899633833</c:v>
                </c:pt>
                <c:pt idx="550">
                  <c:v>0.26672559197240758</c:v>
                </c:pt>
                <c:pt idx="551">
                  <c:v>0.2672044541347558</c:v>
                </c:pt>
                <c:pt idx="552">
                  <c:v>0.26768332556028523</c:v>
                </c:pt>
                <c:pt idx="553">
                  <c:v>0.26816220632591298</c:v>
                </c:pt>
                <c:pt idx="554">
                  <c:v>0.26864109650857126</c:v>
                </c:pt>
                <c:pt idx="555">
                  <c:v>0.26911999618520749</c:v>
                </c:pt>
                <c:pt idx="556">
                  <c:v>0.26959890543278431</c:v>
                </c:pt>
                <c:pt idx="557">
                  <c:v>0.27007782432827981</c:v>
                </c:pt>
                <c:pt idx="558">
                  <c:v>0.27055675294868764</c:v>
                </c:pt>
                <c:pt idx="559">
                  <c:v>0.27103569137101707</c:v>
                </c:pt>
                <c:pt idx="560">
                  <c:v>0.27151463967229322</c:v>
                </c:pt>
                <c:pt idx="561">
                  <c:v>0.27199359792955707</c:v>
                </c:pt>
                <c:pt idx="562">
                  <c:v>0.27247256621986565</c:v>
                </c:pt>
                <c:pt idx="563">
                  <c:v>0.27295154462029214</c:v>
                </c:pt>
                <c:pt idx="564">
                  <c:v>0.27343053320792599</c:v>
                </c:pt>
                <c:pt idx="565">
                  <c:v>0.27390953205987306</c:v>
                </c:pt>
                <c:pt idx="566">
                  <c:v>0.27438854125325579</c:v>
                </c:pt>
                <c:pt idx="567">
                  <c:v>0.27486756086521313</c:v>
                </c:pt>
                <c:pt idx="568">
                  <c:v>0.27534659097290093</c:v>
                </c:pt>
                <c:pt idx="569">
                  <c:v>0.27582563165349189</c:v>
                </c:pt>
                <c:pt idx="570">
                  <c:v>0.27630468298417571</c:v>
                </c:pt>
                <c:pt idx="571">
                  <c:v>0.27678374504215925</c:v>
                </c:pt>
                <c:pt idx="572">
                  <c:v>0.27726281790466661</c:v>
                </c:pt>
                <c:pt idx="573">
                  <c:v>0.27774190164893925</c:v>
                </c:pt>
                <c:pt idx="574">
                  <c:v>0.27822099635223624</c:v>
                </c:pt>
                <c:pt idx="575">
                  <c:v>0.27870010209183416</c:v>
                </c:pt>
                <c:pt idx="576">
                  <c:v>0.27917921894502745</c:v>
                </c:pt>
                <c:pt idx="577">
                  <c:v>0.27965834698912839</c:v>
                </c:pt>
                <c:pt idx="578">
                  <c:v>0.28013748630146723</c:v>
                </c:pt>
                <c:pt idx="579">
                  <c:v>0.28061663695939243</c:v>
                </c:pt>
                <c:pt idx="580">
                  <c:v>0.2810957990402706</c:v>
                </c:pt>
                <c:pt idx="581">
                  <c:v>0.28157497262148679</c:v>
                </c:pt>
                <c:pt idx="582">
                  <c:v>0.28205415778044451</c:v>
                </c:pt>
                <c:pt idx="583">
                  <c:v>0.28253335459456597</c:v>
                </c:pt>
                <c:pt idx="584">
                  <c:v>0.28301256314129208</c:v>
                </c:pt>
                <c:pt idx="585">
                  <c:v>0.28349178349808263</c:v>
                </c:pt>
                <c:pt idx="586">
                  <c:v>0.28397101574241634</c:v>
                </c:pt>
                <c:pt idx="587">
                  <c:v>0.28445025995179118</c:v>
                </c:pt>
                <c:pt idx="588">
                  <c:v>0.28492951620372425</c:v>
                </c:pt>
                <c:pt idx="589">
                  <c:v>0.28540878457575214</c:v>
                </c:pt>
                <c:pt idx="590">
                  <c:v>0.2858880651454308</c:v>
                </c:pt>
                <c:pt idx="591">
                  <c:v>0.28636735799033591</c:v>
                </c:pt>
                <c:pt idx="592">
                  <c:v>0.28684666318806284</c:v>
                </c:pt>
                <c:pt idx="593">
                  <c:v>0.2873259808162269</c:v>
                </c:pt>
                <c:pt idx="594">
                  <c:v>0.28780531095246326</c:v>
                </c:pt>
                <c:pt idx="595">
                  <c:v>0.28828465367442735</c:v>
                </c:pt>
                <c:pt idx="596">
                  <c:v>0.28876400905979477</c:v>
                </c:pt>
                <c:pt idx="597">
                  <c:v>0.28924337718626153</c:v>
                </c:pt>
                <c:pt idx="598">
                  <c:v>0.28972275813154413</c:v>
                </c:pt>
                <c:pt idx="599">
                  <c:v>0.29020215197337967</c:v>
                </c:pt>
                <c:pt idx="600">
                  <c:v>0.29068155878952606</c:v>
                </c:pt>
                <c:pt idx="601">
                  <c:v>0.29116097865776197</c:v>
                </c:pt>
                <c:pt idx="602">
                  <c:v>0.29164041165588722</c:v>
                </c:pt>
                <c:pt idx="603">
                  <c:v>0.29211985786172262</c:v>
                </c:pt>
                <c:pt idx="604">
                  <c:v>0.29259931735311034</c:v>
                </c:pt>
                <c:pt idx="605">
                  <c:v>0.29307879020791383</c:v>
                </c:pt>
                <c:pt idx="606">
                  <c:v>0.29355827650401811</c:v>
                </c:pt>
                <c:pt idx="607">
                  <c:v>0.29403777631932987</c:v>
                </c:pt>
                <c:pt idx="608">
                  <c:v>0.29451728973177743</c:v>
                </c:pt>
                <c:pt idx="609">
                  <c:v>0.29499681681931111</c:v>
                </c:pt>
                <c:pt idx="610">
                  <c:v>0.29547635765990321</c:v>
                </c:pt>
                <c:pt idx="611">
                  <c:v>0.29595591233154817</c:v>
                </c:pt>
                <c:pt idx="612">
                  <c:v>0.29643548091226268</c:v>
                </c:pt>
                <c:pt idx="613">
                  <c:v>0.29691506348008584</c:v>
                </c:pt>
                <c:pt idx="614">
                  <c:v>0.29739466011307919</c:v>
                </c:pt>
                <c:pt idx="615">
                  <c:v>0.29787427088932705</c:v>
                </c:pt>
                <c:pt idx="616">
                  <c:v>0.29835389588693639</c:v>
                </c:pt>
                <c:pt idx="617">
                  <c:v>0.29883353518403721</c:v>
                </c:pt>
                <c:pt idx="618">
                  <c:v>0.29931318885878239</c:v>
                </c:pt>
                <c:pt idx="619">
                  <c:v>0.2997928569893481</c:v>
                </c:pt>
                <c:pt idx="620">
                  <c:v>0.30027253965393369</c:v>
                </c:pt>
                <c:pt idx="621">
                  <c:v>0.30075223693076197</c:v>
                </c:pt>
                <c:pt idx="622">
                  <c:v>0.3012319488980793</c:v>
                </c:pt>
                <c:pt idx="623">
                  <c:v>0.30171167563415563</c:v>
                </c:pt>
                <c:pt idx="624">
                  <c:v>0.30219141721728482</c:v>
                </c:pt>
                <c:pt idx="625">
                  <c:v>0.30267117372578456</c:v>
                </c:pt>
                <c:pt idx="626">
                  <c:v>0.30315094523799668</c:v>
                </c:pt>
                <c:pt idx="627">
                  <c:v>0.30363073183228706</c:v>
                </c:pt>
                <c:pt idx="628">
                  <c:v>0.30411053358704604</c:v>
                </c:pt>
                <c:pt idx="629">
                  <c:v>0.30459035058068828</c:v>
                </c:pt>
                <c:pt idx="630">
                  <c:v>0.30507018289165305</c:v>
                </c:pt>
                <c:pt idx="631">
                  <c:v>0.3055500305984043</c:v>
                </c:pt>
                <c:pt idx="632">
                  <c:v>0.30602989377943079</c:v>
                </c:pt>
                <c:pt idx="633">
                  <c:v>0.30650977251324629</c:v>
                </c:pt>
                <c:pt idx="634">
                  <c:v>0.30698966687838958</c:v>
                </c:pt>
                <c:pt idx="635">
                  <c:v>0.30746957695342469</c:v>
                </c:pt>
                <c:pt idx="636">
                  <c:v>0.307949502816941</c:v>
                </c:pt>
                <c:pt idx="637">
                  <c:v>0.30842944454755333</c:v>
                </c:pt>
                <c:pt idx="638">
                  <c:v>0.30890940222390206</c:v>
                </c:pt>
                <c:pt idx="639">
                  <c:v>0.30938937592465343</c:v>
                </c:pt>
                <c:pt idx="640">
                  <c:v>0.30986936572849938</c:v>
                </c:pt>
                <c:pt idx="641">
                  <c:v>0.310349371714158</c:v>
                </c:pt>
                <c:pt idx="642">
                  <c:v>0.31082939396037335</c:v>
                </c:pt>
                <c:pt idx="643">
                  <c:v>0.31130943254591581</c:v>
                </c:pt>
                <c:pt idx="644">
                  <c:v>0.31178948754958208</c:v>
                </c:pt>
                <c:pt idx="645">
                  <c:v>0.31226955905019549</c:v>
                </c:pt>
                <c:pt idx="646">
                  <c:v>0.31274964712660591</c:v>
                </c:pt>
                <c:pt idx="647">
                  <c:v>0.31322975185768998</c:v>
                </c:pt>
                <c:pt idx="648">
                  <c:v>0.31370987332235128</c:v>
                </c:pt>
                <c:pt idx="649">
                  <c:v>0.31419001159952042</c:v>
                </c:pt>
                <c:pt idx="650">
                  <c:v>0.31467016676815512</c:v>
                </c:pt>
                <c:pt idx="651">
                  <c:v>0.31515033890724048</c:v>
                </c:pt>
                <c:pt idx="652">
                  <c:v>0.31563052809578895</c:v>
                </c:pt>
                <c:pt idx="653">
                  <c:v>0.31611073441284054</c:v>
                </c:pt>
                <c:pt idx="654">
                  <c:v>0.316590957937463</c:v>
                </c:pt>
                <c:pt idx="655">
                  <c:v>0.31707119874875184</c:v>
                </c:pt>
                <c:pt idx="656">
                  <c:v>0.31755145692583053</c:v>
                </c:pt>
                <c:pt idx="657">
                  <c:v>0.31803173254785072</c:v>
                </c:pt>
                <c:pt idx="658">
                  <c:v>0.31851202569399212</c:v>
                </c:pt>
                <c:pt idx="659">
                  <c:v>0.31899233644346286</c:v>
                </c:pt>
                <c:pt idx="660">
                  <c:v>0.31947266487549963</c:v>
                </c:pt>
                <c:pt idx="661">
                  <c:v>0.31995301106936758</c:v>
                </c:pt>
                <c:pt idx="662">
                  <c:v>0.32043337510436071</c:v>
                </c:pt>
                <c:pt idx="663">
                  <c:v>0.3209137570598018</c:v>
                </c:pt>
                <c:pt idx="664">
                  <c:v>0.32139415701504276</c:v>
                </c:pt>
                <c:pt idx="665">
                  <c:v>0.32187457504946454</c:v>
                </c:pt>
                <c:pt idx="666">
                  <c:v>0.32235501124247745</c:v>
                </c:pt>
                <c:pt idx="667">
                  <c:v>0.32283546567352112</c:v>
                </c:pt>
                <c:pt idx="668">
                  <c:v>0.32331593842206474</c:v>
                </c:pt>
                <c:pt idx="669">
                  <c:v>0.32379642956760729</c:v>
                </c:pt>
                <c:pt idx="670">
                  <c:v>0.32427693918967737</c:v>
                </c:pt>
                <c:pt idx="671">
                  <c:v>0.32475746736783367</c:v>
                </c:pt>
                <c:pt idx="672">
                  <c:v>0.32523801418166487</c:v>
                </c:pt>
                <c:pt idx="673">
                  <c:v>0.32571857971078993</c:v>
                </c:pt>
                <c:pt idx="674">
                  <c:v>0.3261991640348581</c:v>
                </c:pt>
                <c:pt idx="675">
                  <c:v>0.32667976723354913</c:v>
                </c:pt>
                <c:pt idx="676">
                  <c:v>0.32716038938657332</c:v>
                </c:pt>
                <c:pt idx="677">
                  <c:v>0.32764103057367183</c:v>
                </c:pt>
                <c:pt idx="678">
                  <c:v>0.32812169087461662</c:v>
                </c:pt>
                <c:pt idx="679">
                  <c:v>0.32860237036921069</c:v>
                </c:pt>
                <c:pt idx="680">
                  <c:v>0.32908306913728819</c:v>
                </c:pt>
                <c:pt idx="681">
                  <c:v>0.32956378725871449</c:v>
                </c:pt>
                <c:pt idx="682">
                  <c:v>0.33004452481338653</c:v>
                </c:pt>
                <c:pt idx="683">
                  <c:v>0.33052528188123265</c:v>
                </c:pt>
                <c:pt idx="684">
                  <c:v>0.33100605854221299</c:v>
                </c:pt>
                <c:pt idx="685">
                  <c:v>0.33148685487631946</c:v>
                </c:pt>
                <c:pt idx="686">
                  <c:v>0.33196767096357599</c:v>
                </c:pt>
                <c:pt idx="687">
                  <c:v>0.33244850688403849</c:v>
                </c:pt>
                <c:pt idx="688">
                  <c:v>0.33292936271779522</c:v>
                </c:pt>
                <c:pt idx="689">
                  <c:v>0.33341023854496676</c:v>
                </c:pt>
                <c:pt idx="690">
                  <c:v>0.33389113444570623</c:v>
                </c:pt>
                <c:pt idx="691">
                  <c:v>0.33437205050019936</c:v>
                </c:pt>
                <c:pt idx="692">
                  <c:v>0.33485298678866465</c:v>
                </c:pt>
                <c:pt idx="693">
                  <c:v>0.33533394339135358</c:v>
                </c:pt>
                <c:pt idx="694">
                  <c:v>0.3358149203885506</c:v>
                </c:pt>
                <c:pt idx="695">
                  <c:v>0.33629591786057339</c:v>
                </c:pt>
                <c:pt idx="696">
                  <c:v>0.33677693588777302</c:v>
                </c:pt>
                <c:pt idx="697">
                  <c:v>0.33725797455053391</c:v>
                </c:pt>
                <c:pt idx="698">
                  <c:v>0.33773903392927412</c:v>
                </c:pt>
                <c:pt idx="699">
                  <c:v>0.33822011410444552</c:v>
                </c:pt>
                <c:pt idx="700">
                  <c:v>0.33870121515653379</c:v>
                </c:pt>
                <c:pt idx="701">
                  <c:v>0.33918233716605861</c:v>
                </c:pt>
                <c:pt idx="702">
                  <c:v>0.3396634802135739</c:v>
                </c:pt>
                <c:pt idx="703">
                  <c:v>0.34014464437966774</c:v>
                </c:pt>
                <c:pt idx="704">
                  <c:v>0.34062582974496275</c:v>
                </c:pt>
                <c:pt idx="705">
                  <c:v>0.34110703639011614</c:v>
                </c:pt>
                <c:pt idx="706">
                  <c:v>0.34158826439581969</c:v>
                </c:pt>
                <c:pt idx="707">
                  <c:v>0.34206951384280015</c:v>
                </c:pt>
                <c:pt idx="708">
                  <c:v>0.34255078481181922</c:v>
                </c:pt>
                <c:pt idx="709">
                  <c:v>0.34303207738367375</c:v>
                </c:pt>
                <c:pt idx="710">
                  <c:v>0.34351339163919581</c:v>
                </c:pt>
                <c:pt idx="711">
                  <c:v>0.34399472765925287</c:v>
                </c:pt>
                <c:pt idx="712">
                  <c:v>0.34447608552474795</c:v>
                </c:pt>
                <c:pt idx="713">
                  <c:v>0.3449574653166198</c:v>
                </c:pt>
                <c:pt idx="714">
                  <c:v>0.34543886711584293</c:v>
                </c:pt>
                <c:pt idx="715">
                  <c:v>0.34592029100342786</c:v>
                </c:pt>
                <c:pt idx="716">
                  <c:v>0.34640173706042121</c:v>
                </c:pt>
                <c:pt idx="717">
                  <c:v>0.34688320536790584</c:v>
                </c:pt>
                <c:pt idx="718">
                  <c:v>0.34736469600700098</c:v>
                </c:pt>
                <c:pt idx="719">
                  <c:v>0.34784620905886238</c:v>
                </c:pt>
                <c:pt idx="720">
                  <c:v>0.34832774460468247</c:v>
                </c:pt>
                <c:pt idx="721">
                  <c:v>0.3488093027256905</c:v>
                </c:pt>
                <c:pt idx="722">
                  <c:v>0.34929088350315268</c:v>
                </c:pt>
                <c:pt idx="723">
                  <c:v>0.34977248701837227</c:v>
                </c:pt>
                <c:pt idx="724">
                  <c:v>0.3502541133526898</c:v>
                </c:pt>
                <c:pt idx="725">
                  <c:v>0.35073576258748312</c:v>
                </c:pt>
                <c:pt idx="726">
                  <c:v>0.35121743480416767</c:v>
                </c:pt>
                <c:pt idx="727">
                  <c:v>0.35169913008419645</c:v>
                </c:pt>
                <c:pt idx="728">
                  <c:v>0.3521808485090604</c:v>
                </c:pt>
                <c:pt idx="729">
                  <c:v>0.35266259016028823</c:v>
                </c:pt>
                <c:pt idx="730">
                  <c:v>0.35314435511944692</c:v>
                </c:pt>
                <c:pt idx="731">
                  <c:v>0.35362614346814153</c:v>
                </c:pt>
                <c:pt idx="732">
                  <c:v>0.35410795528801559</c:v>
                </c:pt>
                <c:pt idx="733">
                  <c:v>0.35458979066075108</c:v>
                </c:pt>
                <c:pt idx="734">
                  <c:v>0.3550716496680687</c:v>
                </c:pt>
                <c:pt idx="735">
                  <c:v>0.35555353239172788</c:v>
                </c:pt>
                <c:pt idx="736">
                  <c:v>0.35603543891352707</c:v>
                </c:pt>
                <c:pt idx="737">
                  <c:v>0.35651736931530376</c:v>
                </c:pt>
                <c:pt idx="738">
                  <c:v>0.35699932367893467</c:v>
                </c:pt>
                <c:pt idx="739">
                  <c:v>0.35748130208633588</c:v>
                </c:pt>
                <c:pt idx="740">
                  <c:v>0.35796330461946307</c:v>
                </c:pt>
                <c:pt idx="741">
                  <c:v>0.35844533136031159</c:v>
                </c:pt>
                <c:pt idx="742">
                  <c:v>0.35892738239091648</c:v>
                </c:pt>
                <c:pt idx="743">
                  <c:v>0.35940945779335287</c:v>
                </c:pt>
                <c:pt idx="744">
                  <c:v>0.3598915576497359</c:v>
                </c:pt>
                <c:pt idx="745">
                  <c:v>0.36037368204222098</c:v>
                </c:pt>
                <c:pt idx="746">
                  <c:v>0.36085583105300395</c:v>
                </c:pt>
                <c:pt idx="747">
                  <c:v>0.36133800476432121</c:v>
                </c:pt>
                <c:pt idx="748">
                  <c:v>0.36182020325844971</c:v>
                </c:pt>
                <c:pt idx="749">
                  <c:v>0.3623024266177074</c:v>
                </c:pt>
                <c:pt idx="750">
                  <c:v>0.3627846749244531</c:v>
                </c:pt>
                <c:pt idx="751">
                  <c:v>0.3632669482610868</c:v>
                </c:pt>
                <c:pt idx="752">
                  <c:v>0.36374924671004971</c:v>
                </c:pt>
                <c:pt idx="753">
                  <c:v>0.36423157035382447</c:v>
                </c:pt>
                <c:pt idx="754">
                  <c:v>0.36471391927493535</c:v>
                </c:pt>
                <c:pt idx="755">
                  <c:v>0.36519629355594829</c:v>
                </c:pt>
                <c:pt idx="756">
                  <c:v>0.36567869327947106</c:v>
                </c:pt>
                <c:pt idx="757">
                  <c:v>0.36616111852815347</c:v>
                </c:pt>
                <c:pt idx="758">
                  <c:v>0.36664356938468751</c:v>
                </c:pt>
                <c:pt idx="759">
                  <c:v>0.36712604593180737</c:v>
                </c:pt>
                <c:pt idx="760">
                  <c:v>0.36760854825228984</c:v>
                </c:pt>
                <c:pt idx="761">
                  <c:v>0.36809107642895417</c:v>
                </c:pt>
                <c:pt idx="762">
                  <c:v>0.36857363054466241</c:v>
                </c:pt>
                <c:pt idx="763">
                  <c:v>0.36905621068231959</c:v>
                </c:pt>
                <c:pt idx="764">
                  <c:v>0.36953881692487361</c:v>
                </c:pt>
                <c:pt idx="765">
                  <c:v>0.37002144935531572</c:v>
                </c:pt>
                <c:pt idx="766">
                  <c:v>0.37050410805668049</c:v>
                </c:pt>
                <c:pt idx="767">
                  <c:v>0.37098679311204591</c:v>
                </c:pt>
                <c:pt idx="768">
                  <c:v>0.37146950460453365</c:v>
                </c:pt>
                <c:pt idx="769">
                  <c:v>0.37195224261730919</c:v>
                </c:pt>
                <c:pt idx="770">
                  <c:v>0.37243500723358197</c:v>
                </c:pt>
                <c:pt idx="771">
                  <c:v>0.3729177985366055</c:v>
                </c:pt>
                <c:pt idx="772">
                  <c:v>0.37340061660967749</c:v>
                </c:pt>
                <c:pt idx="773">
                  <c:v>0.37388346153614016</c:v>
                </c:pt>
                <c:pt idx="774">
                  <c:v>0.37436633339938014</c:v>
                </c:pt>
                <c:pt idx="775">
                  <c:v>0.37484923228282885</c:v>
                </c:pt>
                <c:pt idx="776">
                  <c:v>0.37533215826996252</c:v>
                </c:pt>
                <c:pt idx="777">
                  <c:v>0.37581511144430246</c:v>
                </c:pt>
                <c:pt idx="778">
                  <c:v>0.37629809188941499</c:v>
                </c:pt>
                <c:pt idx="779">
                  <c:v>0.37678109968891188</c:v>
                </c:pt>
                <c:pt idx="780">
                  <c:v>0.37726413492645028</c:v>
                </c:pt>
                <c:pt idx="781">
                  <c:v>0.37774719768573295</c:v>
                </c:pt>
                <c:pt idx="782">
                  <c:v>0.3782302880505084</c:v>
                </c:pt>
                <c:pt idx="783">
                  <c:v>0.3787134061045711</c:v>
                </c:pt>
                <c:pt idx="784">
                  <c:v>0.37919655193176161</c:v>
                </c:pt>
                <c:pt idx="785">
                  <c:v>0.37967972561596663</c:v>
                </c:pt>
                <c:pt idx="786">
                  <c:v>0.38016292724111933</c:v>
                </c:pt>
                <c:pt idx="787">
                  <c:v>0.38064615689119935</c:v>
                </c:pt>
                <c:pt idx="788">
                  <c:v>0.38112941465023298</c:v>
                </c:pt>
                <c:pt idx="789">
                  <c:v>0.38161270060229341</c:v>
                </c:pt>
                <c:pt idx="790">
                  <c:v>0.38209601483150085</c:v>
                </c:pt>
                <c:pt idx="791">
                  <c:v>0.38257935742202254</c:v>
                </c:pt>
                <c:pt idx="792">
                  <c:v>0.38306272845807315</c:v>
                </c:pt>
                <c:pt idx="793">
                  <c:v>0.38354612802391475</c:v>
                </c:pt>
                <c:pt idx="794">
                  <c:v>0.38402955620385698</c:v>
                </c:pt>
                <c:pt idx="795">
                  <c:v>0.38451301308225733</c:v>
                </c:pt>
                <c:pt idx="796">
                  <c:v>0.38499649874352121</c:v>
                </c:pt>
                <c:pt idx="797">
                  <c:v>0.38548001327210202</c:v>
                </c:pt>
                <c:pt idx="798">
                  <c:v>0.38596355675250149</c:v>
                </c:pt>
                <c:pt idx="799">
                  <c:v>0.38644712926926966</c:v>
                </c:pt>
                <c:pt idx="800">
                  <c:v>0.38693073090700519</c:v>
                </c:pt>
                <c:pt idx="801">
                  <c:v>0.38741436175035548</c:v>
                </c:pt>
                <c:pt idx="802">
                  <c:v>0.38789802188401667</c:v>
                </c:pt>
                <c:pt idx="803">
                  <c:v>0.38838171139273397</c:v>
                </c:pt>
                <c:pt idx="804">
                  <c:v>0.38886543036130183</c:v>
                </c:pt>
                <c:pt idx="805">
                  <c:v>0.38934917887456399</c:v>
                </c:pt>
                <c:pt idx="806">
                  <c:v>0.38983295701741372</c:v>
                </c:pt>
                <c:pt idx="807">
                  <c:v>0.39031676487479383</c:v>
                </c:pt>
                <c:pt idx="808">
                  <c:v>0.39080060253169707</c:v>
                </c:pt>
                <c:pt idx="809">
                  <c:v>0.39128447007316614</c:v>
                </c:pt>
                <c:pt idx="810">
                  <c:v>0.39176836758429379</c:v>
                </c:pt>
                <c:pt idx="811">
                  <c:v>0.39225229515022308</c:v>
                </c:pt>
                <c:pt idx="812">
                  <c:v>0.39273625285614761</c:v>
                </c:pt>
                <c:pt idx="813">
                  <c:v>0.39322024078731155</c:v>
                </c:pt>
                <c:pt idx="814">
                  <c:v>0.39370425902900974</c:v>
                </c:pt>
                <c:pt idx="815">
                  <c:v>0.39418830766658808</c:v>
                </c:pt>
                <c:pt idx="816">
                  <c:v>0.39467238678544347</c:v>
                </c:pt>
                <c:pt idx="817">
                  <c:v>0.39515649647102408</c:v>
                </c:pt>
                <c:pt idx="818">
                  <c:v>0.39564063680882955</c:v>
                </c:pt>
                <c:pt idx="819">
                  <c:v>0.39612480788441101</c:v>
                </c:pt>
                <c:pt idx="820">
                  <c:v>0.39660900978337132</c:v>
                </c:pt>
                <c:pt idx="821">
                  <c:v>0.3970932425913653</c:v>
                </c:pt>
                <c:pt idx="822">
                  <c:v>0.39757750639409983</c:v>
                </c:pt>
                <c:pt idx="823">
                  <c:v>0.39806180127733393</c:v>
                </c:pt>
                <c:pt idx="824">
                  <c:v>0.39854612732687905</c:v>
                </c:pt>
                <c:pt idx="825">
                  <c:v>0.39903048462859919</c:v>
                </c:pt>
                <c:pt idx="826">
                  <c:v>0.39951487326841106</c:v>
                </c:pt>
                <c:pt idx="827">
                  <c:v>0.39999929333228423</c:v>
                </c:pt>
                <c:pt idx="828">
                  <c:v>0.40048374490624128</c:v>
                </c:pt>
                <c:pt idx="829">
                  <c:v>0.40096822807635801</c:v>
                </c:pt>
                <c:pt idx="830">
                  <c:v>0.40145274292876354</c:v>
                </c:pt>
                <c:pt idx="831">
                  <c:v>0.40193728954964059</c:v>
                </c:pt>
                <c:pt idx="832">
                  <c:v>0.40242186802522556</c:v>
                </c:pt>
                <c:pt idx="833">
                  <c:v>0.40290647844180866</c:v>
                </c:pt>
                <c:pt idx="834">
                  <c:v>0.40339112088573409</c:v>
                </c:pt>
                <c:pt idx="835">
                  <c:v>0.40380591126550303</c:v>
                </c:pt>
                <c:pt idx="836">
                  <c:v>0.40422070164527196</c:v>
                </c:pt>
                <c:pt idx="837">
                  <c:v>0.4046354920250409</c:v>
                </c:pt>
                <c:pt idx="838">
                  <c:v>0.40505028240480984</c:v>
                </c:pt>
                <c:pt idx="839">
                  <c:v>0.40546507278457877</c:v>
                </c:pt>
                <c:pt idx="840">
                  <c:v>0.40587986316434771</c:v>
                </c:pt>
                <c:pt idx="841">
                  <c:v>0.40629465354411665</c:v>
                </c:pt>
                <c:pt idx="842">
                  <c:v>0.40670944392388558</c:v>
                </c:pt>
                <c:pt idx="843">
                  <c:v>0.40712423430365452</c:v>
                </c:pt>
                <c:pt idx="844">
                  <c:v>0.40753902468342346</c:v>
                </c:pt>
                <c:pt idx="845">
                  <c:v>0.40795381506319239</c:v>
                </c:pt>
                <c:pt idx="846">
                  <c:v>0.40836860544296133</c:v>
                </c:pt>
                <c:pt idx="847">
                  <c:v>0.40878339582273027</c:v>
                </c:pt>
                <c:pt idx="848">
                  <c:v>0.4091981862024992</c:v>
                </c:pt>
                <c:pt idx="849">
                  <c:v>0.40961297658226814</c:v>
                </c:pt>
                <c:pt idx="850">
                  <c:v>0.41002776696203708</c:v>
                </c:pt>
                <c:pt idx="851">
                  <c:v>0.41044255734180601</c:v>
                </c:pt>
                <c:pt idx="852">
                  <c:v>0.41085734772157495</c:v>
                </c:pt>
                <c:pt idx="853">
                  <c:v>0.41127213810134389</c:v>
                </c:pt>
                <c:pt idx="854">
                  <c:v>0.41168692848111282</c:v>
                </c:pt>
                <c:pt idx="855">
                  <c:v>0.41210171886088176</c:v>
                </c:pt>
                <c:pt idx="856">
                  <c:v>0.4125165092406507</c:v>
                </c:pt>
                <c:pt idx="857">
                  <c:v>0.41293129962041963</c:v>
                </c:pt>
                <c:pt idx="858">
                  <c:v>0.41334609000018857</c:v>
                </c:pt>
                <c:pt idx="859">
                  <c:v>0.41376088037995751</c:v>
                </c:pt>
                <c:pt idx="860">
                  <c:v>0.41417567075972644</c:v>
                </c:pt>
                <c:pt idx="861">
                  <c:v>0.41459046113949538</c:v>
                </c:pt>
                <c:pt idx="862">
                  <c:v>0.41500525151926432</c:v>
                </c:pt>
                <c:pt idx="863">
                  <c:v>0.41542004189903325</c:v>
                </c:pt>
                <c:pt idx="864">
                  <c:v>0.41583483227880219</c:v>
                </c:pt>
                <c:pt idx="865">
                  <c:v>0.41624962265857113</c:v>
                </c:pt>
                <c:pt idx="866">
                  <c:v>0.41666441303834006</c:v>
                </c:pt>
                <c:pt idx="867">
                  <c:v>0.417079203418109</c:v>
                </c:pt>
                <c:pt idx="868">
                  <c:v>0.41749399379787794</c:v>
                </c:pt>
                <c:pt idx="869">
                  <c:v>0.41790878417764687</c:v>
                </c:pt>
                <c:pt idx="870">
                  <c:v>0.41832357455741581</c:v>
                </c:pt>
                <c:pt idx="871">
                  <c:v>0.41873836493718475</c:v>
                </c:pt>
                <c:pt idx="872">
                  <c:v>0.41915315531695369</c:v>
                </c:pt>
                <c:pt idx="873">
                  <c:v>0.41956794569672262</c:v>
                </c:pt>
                <c:pt idx="874">
                  <c:v>0.41998273607649156</c:v>
                </c:pt>
                <c:pt idx="875">
                  <c:v>0.4203975264562605</c:v>
                </c:pt>
                <c:pt idx="876">
                  <c:v>0.42081231683602943</c:v>
                </c:pt>
                <c:pt idx="877">
                  <c:v>0.42122710721579837</c:v>
                </c:pt>
                <c:pt idx="878">
                  <c:v>0.42164189759556731</c:v>
                </c:pt>
                <c:pt idx="879">
                  <c:v>0.42205668797533624</c:v>
                </c:pt>
                <c:pt idx="880">
                  <c:v>0.42247147835510518</c:v>
                </c:pt>
                <c:pt idx="881">
                  <c:v>0.42288626873487412</c:v>
                </c:pt>
                <c:pt idx="882">
                  <c:v>0.42330105911464305</c:v>
                </c:pt>
              </c:numCache>
            </c:numRef>
          </c:xVal>
          <c:yVal>
            <c:numRef>
              <c:f>Pressure!$AD$28:$AD$910</c:f>
              <c:numCache>
                <c:formatCode>0.0</c:formatCode>
                <c:ptCount val="883"/>
                <c:pt idx="0">
                  <c:v>0</c:v>
                </c:pt>
                <c:pt idx="1">
                  <c:v>125.36356120455376</c:v>
                </c:pt>
                <c:pt idx="2">
                  <c:v>212.69128423148902</c:v>
                </c:pt>
                <c:pt idx="3">
                  <c:v>282.71400602792369</c:v>
                </c:pt>
                <c:pt idx="4">
                  <c:v>340.52801339463275</c:v>
                </c:pt>
                <c:pt idx="5">
                  <c:v>388.9998217083446</c:v>
                </c:pt>
                <c:pt idx="6">
                  <c:v>430.03860329222806</c:v>
                </c:pt>
                <c:pt idx="7">
                  <c:v>465.02425320309243</c:v>
                </c:pt>
                <c:pt idx="8">
                  <c:v>495.00354722027879</c:v>
                </c:pt>
                <c:pt idx="9">
                  <c:v>520.79623104944335</c:v>
                </c:pt>
                <c:pt idx="10">
                  <c:v>543.05878799827917</c:v>
                </c:pt>
                <c:pt idx="11">
                  <c:v>562.32569496432109</c:v>
                </c:pt>
                <c:pt idx="12">
                  <c:v>579.0376008555736</c:v>
                </c:pt>
                <c:pt idx="13">
                  <c:v>593.56138825316748</c:v>
                </c:pt>
                <c:pt idx="14">
                  <c:v>606.2049304275987</c:v>
                </c:pt>
                <c:pt idx="15">
                  <c:v>617.22823494816237</c:v>
                </c:pt>
                <c:pt idx="16">
                  <c:v>626.85204093715686</c:v>
                </c:pt>
                <c:pt idx="17">
                  <c:v>635.26457043850462</c:v>
                </c:pt>
                <c:pt idx="18">
                  <c:v>642.62690934999171</c:v>
                </c:pt>
                <c:pt idx="19">
                  <c:v>649.07734997913872</c:v>
                </c:pt>
                <c:pt idx="20">
                  <c:v>654.73493293285003</c:v>
                </c:pt>
                <c:pt idx="21">
                  <c:v>659.70236221350683</c:v>
                </c:pt>
                <c:pt idx="22">
                  <c:v>664.06842313325433</c:v>
                </c:pt>
                <c:pt idx="23">
                  <c:v>667.91000129775477</c:v>
                </c:pt>
                <c:pt idx="24">
                  <c:v>671.2937782562849</c:v>
                </c:pt>
                <c:pt idx="25">
                  <c:v>674.27766276420937</c:v>
                </c:pt>
                <c:pt idx="26">
                  <c:v>676.91200417118694</c:v>
                </c:pt>
                <c:pt idx="27">
                  <c:v>679.24062503157234</c:v>
                </c:pt>
                <c:pt idx="28">
                  <c:v>681.30170280895345</c:v>
                </c:pt>
                <c:pt idx="29">
                  <c:v>683.12852493712069</c:v>
                </c:pt>
                <c:pt idx="30">
                  <c:v>684.7501370963829</c:v>
                </c:pt>
                <c:pt idx="31">
                  <c:v>686.19190107389909</c:v>
                </c:pt>
                <c:pt idx="32">
                  <c:v>687.47597578390901</c:v>
                </c:pt>
                <c:pt idx="33">
                  <c:v>688.62173277159525</c:v>
                </c:pt>
                <c:pt idx="34">
                  <c:v>689.64611569215026</c:v>
                </c:pt>
                <c:pt idx="35">
                  <c:v>690.56395175822524</c:v>
                </c:pt>
                <c:pt idx="36">
                  <c:v>691.38822191377699</c:v>
                </c:pt>
                <c:pt idx="37">
                  <c:v>692.13029546825874</c:v>
                </c:pt>
                <c:pt idx="38">
                  <c:v>692.8001340734138</c:v>
                </c:pt>
                <c:pt idx="39">
                  <c:v>693.40646921038137</c:v>
                </c:pt>
                <c:pt idx="40">
                  <c:v>693.95695675524871</c:v>
                </c:pt>
                <c:pt idx="41">
                  <c:v>694.4583116838761</c:v>
                </c:pt>
                <c:pt idx="42">
                  <c:v>694.9164255490598</c:v>
                </c:pt>
                <c:pt idx="43">
                  <c:v>695.33646899684857</c:v>
                </c:pt>
                <c:pt idx="44">
                  <c:v>695.72298127853105</c:v>
                </c:pt>
                <c:pt idx="45">
                  <c:v>696.07994845011922</c:v>
                </c:pt>
                <c:pt idx="46">
                  <c:v>696.41087172131893</c:v>
                </c:pt>
                <c:pt idx="47">
                  <c:v>696.71882722276598</c:v>
                </c:pt>
                <c:pt idx="48">
                  <c:v>697.00651829091623</c:v>
                </c:pt>
                <c:pt idx="49">
                  <c:v>697.27632122555792</c:v>
                </c:pt>
                <c:pt idx="50">
                  <c:v>697.53032534956685</c:v>
                </c:pt>
                <c:pt idx="51">
                  <c:v>697.77036809309789</c:v>
                </c:pt>
                <c:pt idx="52">
                  <c:v>697.99806573026819</c:v>
                </c:pt>
                <c:pt idx="53">
                  <c:v>698.21484031558271</c:v>
                </c:pt>
                <c:pt idx="54">
                  <c:v>698.42194329737845</c:v>
                </c:pt>
                <c:pt idx="55">
                  <c:v>698.62047622368084</c:v>
                </c:pt>
                <c:pt idx="56">
                  <c:v>698.81140890448</c:v>
                </c:pt>
                <c:pt idx="57">
                  <c:v>698.99559534608932</c:v>
                </c:pt>
                <c:pt idx="58">
                  <c:v>699.17378773564235</c:v>
                </c:pt>
                <c:pt idx="59">
                  <c:v>699.34664871641087</c:v>
                </c:pt>
                <c:pt idx="60">
                  <c:v>699.51476216627088</c:v>
                </c:pt>
                <c:pt idx="61">
                  <c:v>699.67864266374659</c:v>
                </c:pt>
                <c:pt idx="62">
                  <c:v>699.83874380336306</c:v>
                </c:pt>
                <c:pt idx="63">
                  <c:v>699.99546550195998</c:v>
                </c:pt>
                <c:pt idx="64">
                  <c:v>700.1491604199814</c:v>
                </c:pt>
                <c:pt idx="65">
                  <c:v>700.30013960595932</c:v>
                </c:pt>
                <c:pt idx="66">
                  <c:v>700.44867745928195</c:v>
                </c:pt>
                <c:pt idx="67">
                  <c:v>700.59501609463825</c:v>
                </c:pt>
                <c:pt idx="68">
                  <c:v>700.73936918111201</c:v>
                </c:pt>
                <c:pt idx="69">
                  <c:v>700.88192531960669</c:v>
                </c:pt>
                <c:pt idx="70">
                  <c:v>701.02285101499069</c:v>
                </c:pt>
                <c:pt idx="71">
                  <c:v>701.16229329211831</c:v>
                </c:pt>
                <c:pt idx="72">
                  <c:v>701.30038199869148</c:v>
                </c:pt>
                <c:pt idx="73">
                  <c:v>701.43723183291638</c:v>
                </c:pt>
                <c:pt idx="74">
                  <c:v>701.57294412935596</c:v>
                </c:pt>
                <c:pt idx="75">
                  <c:v>701.70760843206324</c:v>
                </c:pt>
                <c:pt idx="76">
                  <c:v>701.84130388022368</c:v>
                </c:pt>
                <c:pt idx="77">
                  <c:v>701.97410042964157</c:v>
                </c:pt>
                <c:pt idx="78">
                  <c:v>702.10605992895034</c:v>
                </c:pt>
                <c:pt idx="79">
                  <c:v>702.23723706869953</c:v>
                </c:pt>
                <c:pt idx="80">
                  <c:v>702.36768021764055</c:v>
                </c:pt>
                <c:pt idx="81">
                  <c:v>702.49743216099102</c:v>
                </c:pt>
                <c:pt idx="82">
                  <c:v>702.62653075081209</c:v>
                </c:pt>
                <c:pt idx="83">
                  <c:v>702.75500948041577</c:v>
                </c:pt>
                <c:pt idx="84">
                  <c:v>702.88289799082452</c:v>
                </c:pt>
                <c:pt idx="85">
                  <c:v>703.01022251795416</c:v>
                </c:pt>
                <c:pt idx="86">
                  <c:v>703.13700628719619</c:v>
                </c:pt>
                <c:pt idx="87">
                  <c:v>703.26326986196489</c:v>
                </c:pt>
                <c:pt idx="88">
                  <c:v>703.38903145123925</c:v>
                </c:pt>
                <c:pt idx="89">
                  <c:v>703.51430718150448</c:v>
                </c:pt>
                <c:pt idx="90">
                  <c:v>703.63911133655677</c:v>
                </c:pt>
                <c:pt idx="91">
                  <c:v>703.76345656975127</c:v>
                </c:pt>
                <c:pt idx="92">
                  <c:v>703.8873540914318</c:v>
                </c:pt>
                <c:pt idx="93">
                  <c:v>704.01081383450116</c:v>
                </c:pt>
                <c:pt idx="94">
                  <c:v>704.13384460084876</c:v>
                </c:pt>
                <c:pt idx="95">
                  <c:v>704.25645419098475</c:v>
                </c:pt>
                <c:pt idx="96">
                  <c:v>704.37864951827737</c:v>
                </c:pt>
                <c:pt idx="97">
                  <c:v>704.50043671043943</c:v>
                </c:pt>
                <c:pt idx="98">
                  <c:v>704.62182119901968</c:v>
                </c:pt>
                <c:pt idx="99">
                  <c:v>704.74280779867206</c:v>
                </c:pt>
                <c:pt idx="100">
                  <c:v>704.86340077737361</c:v>
                </c:pt>
                <c:pt idx="101">
                  <c:v>704.98360391837832</c:v>
                </c:pt>
                <c:pt idx="102">
                  <c:v>705.10342057529272</c:v>
                </c:pt>
                <c:pt idx="103">
                  <c:v>705.22285372070417</c:v>
                </c:pt>
                <c:pt idx="104">
                  <c:v>705.34190598927034</c:v>
                </c:pt>
                <c:pt idx="105">
                  <c:v>705.46057971596417</c:v>
                </c:pt>
                <c:pt idx="106">
                  <c:v>705.57887696975297</c:v>
                </c:pt>
                <c:pt idx="107">
                  <c:v>705.696799583661</c:v>
                </c:pt>
                <c:pt idx="108">
                  <c:v>705.8143491813604</c:v>
                </c:pt>
                <c:pt idx="109">
                  <c:v>705.93152720057492</c:v>
                </c:pt>
                <c:pt idx="110">
                  <c:v>706.0483349140228</c:v>
                </c:pt>
                <c:pt idx="111">
                  <c:v>706.16477344798682</c:v>
                </c:pt>
                <c:pt idx="112">
                  <c:v>706.28084379861264</c:v>
                </c:pt>
                <c:pt idx="113">
                  <c:v>706.39654684643529</c:v>
                </c:pt>
                <c:pt idx="114">
                  <c:v>706.51188336940697</c:v>
                </c:pt>
                <c:pt idx="115">
                  <c:v>706.62685405427499</c:v>
                </c:pt>
                <c:pt idx="116">
                  <c:v>706.74145950677064</c:v>
                </c:pt>
                <c:pt idx="117">
                  <c:v>706.85570026057519</c:v>
                </c:pt>
                <c:pt idx="118">
                  <c:v>706.96957678544618</c:v>
                </c:pt>
                <c:pt idx="119">
                  <c:v>707.08308949413413</c:v>
                </c:pt>
                <c:pt idx="120">
                  <c:v>707.19623874897707</c:v>
                </c:pt>
                <c:pt idx="121">
                  <c:v>707.30902486719538</c:v>
                </c:pt>
                <c:pt idx="122">
                  <c:v>707.42144812611275</c:v>
                </c:pt>
                <c:pt idx="123">
                  <c:v>707.53350876743423</c:v>
                </c:pt>
                <c:pt idx="124">
                  <c:v>707.64520700130618</c:v>
                </c:pt>
                <c:pt idx="125">
                  <c:v>707.75654300963004</c:v>
                </c:pt>
                <c:pt idx="126">
                  <c:v>707.86751694943609</c:v>
                </c:pt>
                <c:pt idx="127">
                  <c:v>707.97812895534469</c:v>
                </c:pt>
                <c:pt idx="128">
                  <c:v>708.0883791422691</c:v>
                </c:pt>
                <c:pt idx="129">
                  <c:v>708.19826760739863</c:v>
                </c:pt>
                <c:pt idx="130">
                  <c:v>708.3077944323295</c:v>
                </c:pt>
                <c:pt idx="131">
                  <c:v>708.41695968468196</c:v>
                </c:pt>
                <c:pt idx="132">
                  <c:v>708.52576341960844</c:v>
                </c:pt>
                <c:pt idx="133">
                  <c:v>708.63420568131471</c:v>
                </c:pt>
                <c:pt idx="134">
                  <c:v>708.74228650411033</c:v>
                </c:pt>
                <c:pt idx="135">
                  <c:v>708.85000591351263</c:v>
                </c:pt>
                <c:pt idx="136">
                  <c:v>708.95736392732886</c:v>
                </c:pt>
                <c:pt idx="137">
                  <c:v>709.06436055649783</c:v>
                </c:pt>
                <c:pt idx="138">
                  <c:v>709.17099580562535</c:v>
                </c:pt>
                <c:pt idx="139">
                  <c:v>709.27726967402498</c:v>
                </c:pt>
                <c:pt idx="140">
                  <c:v>709.38318215608626</c:v>
                </c:pt>
                <c:pt idx="141">
                  <c:v>709.48873324181739</c:v>
                </c:pt>
                <c:pt idx="142">
                  <c:v>709.59392291746133</c:v>
                </c:pt>
                <c:pt idx="143">
                  <c:v>709.69875116579271</c:v>
                </c:pt>
                <c:pt idx="144">
                  <c:v>709.803217966597</c:v>
                </c:pt>
                <c:pt idx="145">
                  <c:v>709.90732329696027</c:v>
                </c:pt>
                <c:pt idx="146">
                  <c:v>710.01106713160129</c:v>
                </c:pt>
                <c:pt idx="147">
                  <c:v>710.11444944311017</c:v>
                </c:pt>
                <c:pt idx="148">
                  <c:v>710.21747020216333</c:v>
                </c:pt>
                <c:pt idx="149">
                  <c:v>710.32012937790535</c:v>
                </c:pt>
                <c:pt idx="150">
                  <c:v>710.42242693793958</c:v>
                </c:pt>
                <c:pt idx="151">
                  <c:v>710.52436284855878</c:v>
                </c:pt>
                <c:pt idx="152">
                  <c:v>710.62593707501765</c:v>
                </c:pt>
                <c:pt idx="153">
                  <c:v>710.7271495814806</c:v>
                </c:pt>
                <c:pt idx="154">
                  <c:v>710.82800033130923</c:v>
                </c:pt>
                <c:pt idx="155">
                  <c:v>710.92848928705587</c:v>
                </c:pt>
                <c:pt idx="156">
                  <c:v>711.02861641061679</c:v>
                </c:pt>
                <c:pt idx="157">
                  <c:v>711.12838166333393</c:v>
                </c:pt>
                <c:pt idx="158">
                  <c:v>711.2277850060583</c:v>
                </c:pt>
                <c:pt idx="159">
                  <c:v>711.32682639914617</c:v>
                </c:pt>
                <c:pt idx="160">
                  <c:v>711.42550580262912</c:v>
                </c:pt>
                <c:pt idx="161">
                  <c:v>711.52382317625165</c:v>
                </c:pt>
                <c:pt idx="162">
                  <c:v>711.62177847946612</c:v>
                </c:pt>
                <c:pt idx="163">
                  <c:v>711.71937167148053</c:v>
                </c:pt>
                <c:pt idx="164">
                  <c:v>711.81660271136639</c:v>
                </c:pt>
                <c:pt idx="165">
                  <c:v>711.91347155803965</c:v>
                </c:pt>
                <c:pt idx="166">
                  <c:v>712.00997817031623</c:v>
                </c:pt>
                <c:pt idx="167">
                  <c:v>712.10612250690042</c:v>
                </c:pt>
                <c:pt idx="168">
                  <c:v>712.20190452643112</c:v>
                </c:pt>
                <c:pt idx="169">
                  <c:v>712.29732418758897</c:v>
                </c:pt>
                <c:pt idx="170">
                  <c:v>712.39238144897354</c:v>
                </c:pt>
                <c:pt idx="171">
                  <c:v>712.48707626917746</c:v>
                </c:pt>
                <c:pt idx="172">
                  <c:v>712.5814086068242</c:v>
                </c:pt>
                <c:pt idx="173">
                  <c:v>712.67537842065815</c:v>
                </c:pt>
                <c:pt idx="174">
                  <c:v>712.76898566933914</c:v>
                </c:pt>
                <c:pt idx="175">
                  <c:v>712.86223031166696</c:v>
                </c:pt>
                <c:pt idx="176">
                  <c:v>712.95511230647628</c:v>
                </c:pt>
                <c:pt idx="177">
                  <c:v>713.04763161273775</c:v>
                </c:pt>
                <c:pt idx="178">
                  <c:v>713.13978818941473</c:v>
                </c:pt>
                <c:pt idx="179">
                  <c:v>713.23158199567354</c:v>
                </c:pt>
                <c:pt idx="180">
                  <c:v>713.32301299068695</c:v>
                </c:pt>
                <c:pt idx="181">
                  <c:v>713.41408113378009</c:v>
                </c:pt>
                <c:pt idx="182">
                  <c:v>713.50478638443008</c:v>
                </c:pt>
                <c:pt idx="183">
                  <c:v>713.59512870216065</c:v>
                </c:pt>
                <c:pt idx="184">
                  <c:v>713.68510804663742</c:v>
                </c:pt>
                <c:pt idx="185">
                  <c:v>713.77472437769245</c:v>
                </c:pt>
                <c:pt idx="186">
                  <c:v>713.8639776552169</c:v>
                </c:pt>
                <c:pt idx="187">
                  <c:v>713.95286783934353</c:v>
                </c:pt>
                <c:pt idx="188">
                  <c:v>714.04139489020724</c:v>
                </c:pt>
                <c:pt idx="189">
                  <c:v>714.12955876817682</c:v>
                </c:pt>
                <c:pt idx="190">
                  <c:v>714.21735943373244</c:v>
                </c:pt>
                <c:pt idx="191">
                  <c:v>714.30479684751151</c:v>
                </c:pt>
                <c:pt idx="192">
                  <c:v>714.39187097026468</c:v>
                </c:pt>
                <c:pt idx="193">
                  <c:v>714.47858176288207</c:v>
                </c:pt>
                <c:pt idx="194">
                  <c:v>714.56492918649064</c:v>
                </c:pt>
                <c:pt idx="195">
                  <c:v>714.65091320223257</c:v>
                </c:pt>
                <c:pt idx="196">
                  <c:v>714.73653377150902</c:v>
                </c:pt>
                <c:pt idx="197">
                  <c:v>714.82179085581311</c:v>
                </c:pt>
                <c:pt idx="198">
                  <c:v>714.90668441679713</c:v>
                </c:pt>
                <c:pt idx="199">
                  <c:v>714.9912144163103</c:v>
                </c:pt>
                <c:pt idx="200">
                  <c:v>715.07538081625785</c:v>
                </c:pt>
                <c:pt idx="201">
                  <c:v>715.15918357881344</c:v>
                </c:pt>
                <c:pt idx="202">
                  <c:v>715.24262266626408</c:v>
                </c:pt>
                <c:pt idx="203">
                  <c:v>715.32569804100069</c:v>
                </c:pt>
                <c:pt idx="204">
                  <c:v>715.40840966559836</c:v>
                </c:pt>
                <c:pt idx="205">
                  <c:v>715.4907575028476</c:v>
                </c:pt>
                <c:pt idx="206">
                  <c:v>715.57274151561035</c:v>
                </c:pt>
                <c:pt idx="207">
                  <c:v>715.65436166697964</c:v>
                </c:pt>
                <c:pt idx="208">
                  <c:v>715.73561792011094</c:v>
                </c:pt>
                <c:pt idx="209">
                  <c:v>715.8165102384271</c:v>
                </c:pt>
                <c:pt idx="210">
                  <c:v>715.89703858538883</c:v>
                </c:pt>
                <c:pt idx="211">
                  <c:v>715.97720292475753</c:v>
                </c:pt>
                <c:pt idx="212">
                  <c:v>716.05700322030896</c:v>
                </c:pt>
                <c:pt idx="213">
                  <c:v>716.13643943605507</c:v>
                </c:pt>
                <c:pt idx="214">
                  <c:v>716.21551153618918</c:v>
                </c:pt>
                <c:pt idx="215">
                  <c:v>716.29421948499783</c:v>
                </c:pt>
                <c:pt idx="216">
                  <c:v>716.37256324695409</c:v>
                </c:pt>
                <c:pt idx="217">
                  <c:v>716.45054278666555</c:v>
                </c:pt>
                <c:pt idx="218">
                  <c:v>716.52815806895705</c:v>
                </c:pt>
                <c:pt idx="219">
                  <c:v>716.60540905877497</c:v>
                </c:pt>
                <c:pt idx="220">
                  <c:v>716.68229572119742</c:v>
                </c:pt>
                <c:pt idx="221">
                  <c:v>716.75881802150423</c:v>
                </c:pt>
                <c:pt idx="222">
                  <c:v>716.83497592513982</c:v>
                </c:pt>
                <c:pt idx="223">
                  <c:v>716.91076939761956</c:v>
                </c:pt>
                <c:pt idx="224">
                  <c:v>716.98619840473441</c:v>
                </c:pt>
                <c:pt idx="225">
                  <c:v>717.06126291237058</c:v>
                </c:pt>
                <c:pt idx="226">
                  <c:v>717.13596288658061</c:v>
                </c:pt>
                <c:pt idx="227">
                  <c:v>717.21029829358031</c:v>
                </c:pt>
                <c:pt idx="228">
                  <c:v>717.28426909974132</c:v>
                </c:pt>
                <c:pt idx="229">
                  <c:v>717.35787527159346</c:v>
                </c:pt>
                <c:pt idx="230">
                  <c:v>717.43111677581282</c:v>
                </c:pt>
                <c:pt idx="231">
                  <c:v>717.5039935792754</c:v>
                </c:pt>
                <c:pt idx="232">
                  <c:v>717.57650564895835</c:v>
                </c:pt>
                <c:pt idx="233">
                  <c:v>717.64865295205175</c:v>
                </c:pt>
                <c:pt idx="234">
                  <c:v>717.7204354558753</c:v>
                </c:pt>
                <c:pt idx="235">
                  <c:v>717.79185312786399</c:v>
                </c:pt>
                <c:pt idx="236">
                  <c:v>717.86290593570402</c:v>
                </c:pt>
                <c:pt idx="237">
                  <c:v>717.93359384719349</c:v>
                </c:pt>
                <c:pt idx="238">
                  <c:v>718.00391683026101</c:v>
                </c:pt>
                <c:pt idx="239">
                  <c:v>718.07387485303377</c:v>
                </c:pt>
                <c:pt idx="240">
                  <c:v>718.14346788378361</c:v>
                </c:pt>
                <c:pt idx="241">
                  <c:v>718.21269589095152</c:v>
                </c:pt>
                <c:pt idx="242">
                  <c:v>718.28155884309911</c:v>
                </c:pt>
                <c:pt idx="243">
                  <c:v>718.35005670897442</c:v>
                </c:pt>
                <c:pt idx="244">
                  <c:v>718.41818945751675</c:v>
                </c:pt>
                <c:pt idx="245">
                  <c:v>718.48595705773573</c:v>
                </c:pt>
                <c:pt idx="246">
                  <c:v>718.55335947889091</c:v>
                </c:pt>
                <c:pt idx="247">
                  <c:v>718.62039669034846</c:v>
                </c:pt>
                <c:pt idx="248">
                  <c:v>718.68706866161529</c:v>
                </c:pt>
                <c:pt idx="249">
                  <c:v>718.75337536242489</c:v>
                </c:pt>
                <c:pt idx="250">
                  <c:v>718.81931676262582</c:v>
                </c:pt>
                <c:pt idx="251">
                  <c:v>718.88489283220156</c:v>
                </c:pt>
                <c:pt idx="252">
                  <c:v>718.95010354133183</c:v>
                </c:pt>
                <c:pt idx="253">
                  <c:v>719.01494886033743</c:v>
                </c:pt>
                <c:pt idx="254">
                  <c:v>719.07942875968843</c:v>
                </c:pt>
                <c:pt idx="255">
                  <c:v>719.14354321005874</c:v>
                </c:pt>
                <c:pt idx="256">
                  <c:v>719.20729218221288</c:v>
                </c:pt>
                <c:pt idx="257">
                  <c:v>719.27067564709682</c:v>
                </c:pt>
                <c:pt idx="258">
                  <c:v>719.33369357584047</c:v>
                </c:pt>
                <c:pt idx="259">
                  <c:v>719.39634593970641</c:v>
                </c:pt>
                <c:pt idx="260">
                  <c:v>719.45863271012536</c:v>
                </c:pt>
                <c:pt idx="261">
                  <c:v>719.52055385870244</c:v>
                </c:pt>
                <c:pt idx="262">
                  <c:v>719.58210935713623</c:v>
                </c:pt>
                <c:pt idx="263">
                  <c:v>719.64329917734233</c:v>
                </c:pt>
                <c:pt idx="264">
                  <c:v>719.70412329134695</c:v>
                </c:pt>
                <c:pt idx="265">
                  <c:v>719.76458167143153</c:v>
                </c:pt>
                <c:pt idx="266">
                  <c:v>719.82467428990708</c:v>
                </c:pt>
                <c:pt idx="267">
                  <c:v>719.88440111930117</c:v>
                </c:pt>
                <c:pt idx="268">
                  <c:v>719.94376213233693</c:v>
                </c:pt>
                <c:pt idx="269">
                  <c:v>720.00275730181932</c:v>
                </c:pt>
                <c:pt idx="270">
                  <c:v>720.06138660075919</c:v>
                </c:pt>
                <c:pt idx="271">
                  <c:v>720.11965000230475</c:v>
                </c:pt>
                <c:pt idx="272">
                  <c:v>720.17754747976983</c:v>
                </c:pt>
                <c:pt idx="273">
                  <c:v>720.23507900661264</c:v>
                </c:pt>
                <c:pt idx="274">
                  <c:v>720.29224455646363</c:v>
                </c:pt>
                <c:pt idx="275">
                  <c:v>720.34904410311378</c:v>
                </c:pt>
                <c:pt idx="276">
                  <c:v>720.40547762051767</c:v>
                </c:pt>
                <c:pt idx="277">
                  <c:v>720.46154508272457</c:v>
                </c:pt>
                <c:pt idx="278">
                  <c:v>720.5172464640001</c:v>
                </c:pt>
                <c:pt idx="279">
                  <c:v>720.57258173879075</c:v>
                </c:pt>
                <c:pt idx="280">
                  <c:v>720.62755088161532</c:v>
                </c:pt>
                <c:pt idx="281">
                  <c:v>720.68215386721511</c:v>
                </c:pt>
                <c:pt idx="282">
                  <c:v>720.73639067044007</c:v>
                </c:pt>
                <c:pt idx="283">
                  <c:v>720.79026126637666</c:v>
                </c:pt>
                <c:pt idx="284">
                  <c:v>720.84376563019134</c:v>
                </c:pt>
                <c:pt idx="285">
                  <c:v>720.89690373720168</c:v>
                </c:pt>
                <c:pt idx="286">
                  <c:v>720.94967556295614</c:v>
                </c:pt>
                <c:pt idx="287">
                  <c:v>721.00208108309357</c:v>
                </c:pt>
                <c:pt idx="288">
                  <c:v>721.05412027343152</c:v>
                </c:pt>
                <c:pt idx="289">
                  <c:v>721.10579310993819</c:v>
                </c:pt>
                <c:pt idx="290">
                  <c:v>721.1570995687631</c:v>
                </c:pt>
                <c:pt idx="291">
                  <c:v>721.20803962615844</c:v>
                </c:pt>
                <c:pt idx="292">
                  <c:v>721.25861325859375</c:v>
                </c:pt>
                <c:pt idx="293">
                  <c:v>721.30882044265059</c:v>
                </c:pt>
                <c:pt idx="294">
                  <c:v>721.35866115509077</c:v>
                </c:pt>
                <c:pt idx="295">
                  <c:v>721.40813537282361</c:v>
                </c:pt>
                <c:pt idx="296">
                  <c:v>721.45724307291312</c:v>
                </c:pt>
                <c:pt idx="297">
                  <c:v>721.50598423257043</c:v>
                </c:pt>
                <c:pt idx="298">
                  <c:v>721.55435882918414</c:v>
                </c:pt>
                <c:pt idx="299">
                  <c:v>721.60236684028189</c:v>
                </c:pt>
                <c:pt idx="300">
                  <c:v>721.65000824357844</c:v>
                </c:pt>
                <c:pt idx="301">
                  <c:v>721.69728301687894</c:v>
                </c:pt>
                <c:pt idx="302">
                  <c:v>721.7441911381901</c:v>
                </c:pt>
                <c:pt idx="303">
                  <c:v>721.79073258571657</c:v>
                </c:pt>
                <c:pt idx="304">
                  <c:v>721.83690733771846</c:v>
                </c:pt>
                <c:pt idx="305">
                  <c:v>721.88271537268247</c:v>
                </c:pt>
                <c:pt idx="306">
                  <c:v>721.92815666924082</c:v>
                </c:pt>
                <c:pt idx="307">
                  <c:v>721.97323120617784</c:v>
                </c:pt>
                <c:pt idx="308">
                  <c:v>722.01793896240133</c:v>
                </c:pt>
                <c:pt idx="309">
                  <c:v>722.06227991702315</c:v>
                </c:pt>
                <c:pt idx="310">
                  <c:v>722.10625404929374</c:v>
                </c:pt>
                <c:pt idx="311">
                  <c:v>722.14986133861078</c:v>
                </c:pt>
                <c:pt idx="312">
                  <c:v>722.19310176452905</c:v>
                </c:pt>
                <c:pt idx="313">
                  <c:v>722.23597530675045</c:v>
                </c:pt>
                <c:pt idx="314">
                  <c:v>722.27848194517651</c:v>
                </c:pt>
                <c:pt idx="315">
                  <c:v>722.3206216598121</c:v>
                </c:pt>
                <c:pt idx="316">
                  <c:v>722.36239443084548</c:v>
                </c:pt>
                <c:pt idx="317">
                  <c:v>722.40380023860098</c:v>
                </c:pt>
                <c:pt idx="318">
                  <c:v>722.44483906357812</c:v>
                </c:pt>
                <c:pt idx="319">
                  <c:v>722.4855108864125</c:v>
                </c:pt>
                <c:pt idx="320">
                  <c:v>722.52581568793892</c:v>
                </c:pt>
                <c:pt idx="321">
                  <c:v>722.56575344908072</c:v>
                </c:pt>
                <c:pt idx="322">
                  <c:v>722.60532415095111</c:v>
                </c:pt>
                <c:pt idx="323">
                  <c:v>722.64452777483962</c:v>
                </c:pt>
                <c:pt idx="324">
                  <c:v>722.68336430215834</c:v>
                </c:pt>
                <c:pt idx="325">
                  <c:v>722.72183371447375</c:v>
                </c:pt>
                <c:pt idx="326">
                  <c:v>722.75993599352626</c:v>
                </c:pt>
                <c:pt idx="327">
                  <c:v>722.79767112123375</c:v>
                </c:pt>
                <c:pt idx="328">
                  <c:v>722.83503907959835</c:v>
                </c:pt>
                <c:pt idx="329">
                  <c:v>722.87203985084329</c:v>
                </c:pt>
                <c:pt idx="330">
                  <c:v>722.90867341730757</c:v>
                </c:pt>
                <c:pt idx="331">
                  <c:v>722.94493976152899</c:v>
                </c:pt>
                <c:pt idx="332">
                  <c:v>722.98083886613699</c:v>
                </c:pt>
                <c:pt idx="333">
                  <c:v>723.01637071396146</c:v>
                </c:pt>
                <c:pt idx="334">
                  <c:v>723.05153528799451</c:v>
                </c:pt>
                <c:pt idx="335">
                  <c:v>723.08633257134795</c:v>
                </c:pt>
                <c:pt idx="336">
                  <c:v>723.12076254731062</c:v>
                </c:pt>
                <c:pt idx="337">
                  <c:v>723.15482519932175</c:v>
                </c:pt>
                <c:pt idx="338">
                  <c:v>723.18852051097122</c:v>
                </c:pt>
                <c:pt idx="339">
                  <c:v>723.22184846602329</c:v>
                </c:pt>
                <c:pt idx="340">
                  <c:v>723.25480904836922</c:v>
                </c:pt>
                <c:pt idx="341">
                  <c:v>723.28740224206365</c:v>
                </c:pt>
                <c:pt idx="342">
                  <c:v>723.31962803133842</c:v>
                </c:pt>
                <c:pt idx="343">
                  <c:v>723.35148640055468</c:v>
                </c:pt>
                <c:pt idx="344">
                  <c:v>723.3829773342286</c:v>
                </c:pt>
                <c:pt idx="345">
                  <c:v>723.41410081703862</c:v>
                </c:pt>
                <c:pt idx="346">
                  <c:v>723.4448568338197</c:v>
                </c:pt>
                <c:pt idx="347">
                  <c:v>723.47524536956109</c:v>
                </c:pt>
                <c:pt idx="348">
                  <c:v>723.50526640940177</c:v>
                </c:pt>
                <c:pt idx="349">
                  <c:v>723.53491993865305</c:v>
                </c:pt>
                <c:pt idx="350">
                  <c:v>723.56420594274721</c:v>
                </c:pt>
                <c:pt idx="351">
                  <c:v>723.59312440731514</c:v>
                </c:pt>
                <c:pt idx="352">
                  <c:v>723.62167531809916</c:v>
                </c:pt>
                <c:pt idx="353">
                  <c:v>723.64985866100164</c:v>
                </c:pt>
                <c:pt idx="354">
                  <c:v>723.67767442211164</c:v>
                </c:pt>
                <c:pt idx="355">
                  <c:v>723.70512258765723</c:v>
                </c:pt>
                <c:pt idx="356">
                  <c:v>723.73220314401203</c:v>
                </c:pt>
                <c:pt idx="357">
                  <c:v>723.75891607771939</c:v>
                </c:pt>
                <c:pt idx="358">
                  <c:v>723.78526137545623</c:v>
                </c:pt>
                <c:pt idx="359">
                  <c:v>723.81123902408297</c:v>
                </c:pt>
                <c:pt idx="360">
                  <c:v>723.83684901055858</c:v>
                </c:pt>
                <c:pt idx="361">
                  <c:v>723.86209132207466</c:v>
                </c:pt>
                <c:pt idx="362">
                  <c:v>723.88696594591534</c:v>
                </c:pt>
                <c:pt idx="363">
                  <c:v>723.9114728695522</c:v>
                </c:pt>
                <c:pt idx="364">
                  <c:v>723.93561208060748</c:v>
                </c:pt>
                <c:pt idx="365">
                  <c:v>723.95938356682211</c:v>
                </c:pt>
                <c:pt idx="366">
                  <c:v>723.98278731614812</c:v>
                </c:pt>
                <c:pt idx="367">
                  <c:v>724.00582331666249</c:v>
                </c:pt>
                <c:pt idx="368">
                  <c:v>724.02849155658396</c:v>
                </c:pt>
                <c:pt idx="369">
                  <c:v>724.05079202431125</c:v>
                </c:pt>
                <c:pt idx="370">
                  <c:v>724.07272470839234</c:v>
                </c:pt>
                <c:pt idx="371">
                  <c:v>724.09428959752256</c:v>
                </c:pt>
                <c:pt idx="372">
                  <c:v>724.11548668052137</c:v>
                </c:pt>
                <c:pt idx="373">
                  <c:v>724.13631594643016</c:v>
                </c:pt>
                <c:pt idx="374">
                  <c:v>724.15677738439138</c:v>
                </c:pt>
                <c:pt idx="375">
                  <c:v>724.17687098371277</c:v>
                </c:pt>
                <c:pt idx="376">
                  <c:v>724.19659673387457</c:v>
                </c:pt>
                <c:pt idx="377">
                  <c:v>724.21595462450637</c:v>
                </c:pt>
                <c:pt idx="378">
                  <c:v>724.23494464536827</c:v>
                </c:pt>
                <c:pt idx="379">
                  <c:v>724.25356678639309</c:v>
                </c:pt>
                <c:pt idx="380">
                  <c:v>724.27182103767245</c:v>
                </c:pt>
                <c:pt idx="381">
                  <c:v>724.28970738942894</c:v>
                </c:pt>
                <c:pt idx="382">
                  <c:v>724.30722583208205</c:v>
                </c:pt>
                <c:pt idx="383">
                  <c:v>724.32437635614974</c:v>
                </c:pt>
                <c:pt idx="384">
                  <c:v>724.34115895236107</c:v>
                </c:pt>
                <c:pt idx="385">
                  <c:v>724.35757361154322</c:v>
                </c:pt>
                <c:pt idx="386">
                  <c:v>724.37362032474516</c:v>
                </c:pt>
                <c:pt idx="387">
                  <c:v>724.38929908308535</c:v>
                </c:pt>
                <c:pt idx="388">
                  <c:v>724.40460987790414</c:v>
                </c:pt>
                <c:pt idx="389">
                  <c:v>724.41955270068172</c:v>
                </c:pt>
                <c:pt idx="390">
                  <c:v>724.43412754303495</c:v>
                </c:pt>
                <c:pt idx="391">
                  <c:v>724.44833439674255</c:v>
                </c:pt>
                <c:pt idx="392">
                  <c:v>724.46217325375892</c:v>
                </c:pt>
                <c:pt idx="393">
                  <c:v>724.4756441061287</c:v>
                </c:pt>
                <c:pt idx="394">
                  <c:v>724.48874694613085</c:v>
                </c:pt>
                <c:pt idx="395">
                  <c:v>724.50148176614391</c:v>
                </c:pt>
                <c:pt idx="396">
                  <c:v>724.51384855875142</c:v>
                </c:pt>
                <c:pt idx="397">
                  <c:v>724.52584731661454</c:v>
                </c:pt>
                <c:pt idx="398">
                  <c:v>724.53747803260853</c:v>
                </c:pt>
                <c:pt idx="399">
                  <c:v>724.54874069976677</c:v>
                </c:pt>
                <c:pt idx="400">
                  <c:v>724.55963531121677</c:v>
                </c:pt>
                <c:pt idx="401">
                  <c:v>724.57016186031365</c:v>
                </c:pt>
                <c:pt idx="402">
                  <c:v>724.58032034051223</c:v>
                </c:pt>
                <c:pt idx="403">
                  <c:v>724.59011074544389</c:v>
                </c:pt>
                <c:pt idx="404">
                  <c:v>724.59953306891282</c:v>
                </c:pt>
                <c:pt idx="405">
                  <c:v>724.60858730483221</c:v>
                </c:pt>
                <c:pt idx="406">
                  <c:v>724.61727344730252</c:v>
                </c:pt>
                <c:pt idx="407">
                  <c:v>724.62559149057324</c:v>
                </c:pt>
                <c:pt idx="408">
                  <c:v>724.63354142902926</c:v>
                </c:pt>
                <c:pt idx="409">
                  <c:v>724.64112325724636</c:v>
                </c:pt>
                <c:pt idx="410">
                  <c:v>724.64833696990547</c:v>
                </c:pt>
                <c:pt idx="411">
                  <c:v>724.65518256187568</c:v>
                </c:pt>
                <c:pt idx="412">
                  <c:v>724.66166002816226</c:v>
                </c:pt>
                <c:pt idx="413">
                  <c:v>724.66776936396866</c:v>
                </c:pt>
                <c:pt idx="414">
                  <c:v>724.67351056458449</c:v>
                </c:pt>
                <c:pt idx="415">
                  <c:v>724.67888362551184</c:v>
                </c:pt>
                <c:pt idx="416">
                  <c:v>724.68388854234729</c:v>
                </c:pt>
                <c:pt idx="417">
                  <c:v>724.68852531090431</c:v>
                </c:pt>
                <c:pt idx="418">
                  <c:v>724.69279392711678</c:v>
                </c:pt>
                <c:pt idx="419">
                  <c:v>724.69669438706455</c:v>
                </c:pt>
                <c:pt idx="420">
                  <c:v>724.70022668699994</c:v>
                </c:pt>
                <c:pt idx="421">
                  <c:v>724.7033908233326</c:v>
                </c:pt>
                <c:pt idx="422">
                  <c:v>724.70618679261008</c:v>
                </c:pt>
                <c:pt idx="423">
                  <c:v>724.7086145915365</c:v>
                </c:pt>
                <c:pt idx="424">
                  <c:v>724.71067421697217</c:v>
                </c:pt>
                <c:pt idx="425">
                  <c:v>724.71236566595007</c:v>
                </c:pt>
                <c:pt idx="426">
                  <c:v>724.71368893561134</c:v>
                </c:pt>
                <c:pt idx="427">
                  <c:v>724.71464402332447</c:v>
                </c:pt>
                <c:pt idx="428">
                  <c:v>724.71523092652524</c:v>
                </c:pt>
                <c:pt idx="429">
                  <c:v>724.71544964285226</c:v>
                </c:pt>
                <c:pt idx="430">
                  <c:v>724.71530017011571</c:v>
                </c:pt>
                <c:pt idx="431">
                  <c:v>724.71478250622465</c:v>
                </c:pt>
                <c:pt idx="432">
                  <c:v>724.71389664930723</c:v>
                </c:pt>
                <c:pt idx="433">
                  <c:v>724.71264259757174</c:v>
                </c:pt>
                <c:pt idx="434">
                  <c:v>724.71102034943863</c:v>
                </c:pt>
                <c:pt idx="435">
                  <c:v>724.7090299034661</c:v>
                </c:pt>
                <c:pt idx="436">
                  <c:v>724.70667125835985</c:v>
                </c:pt>
                <c:pt idx="437">
                  <c:v>724.70394441298708</c:v>
                </c:pt>
                <c:pt idx="438">
                  <c:v>724.7008493663601</c:v>
                </c:pt>
                <c:pt idx="439">
                  <c:v>724.69738611765581</c:v>
                </c:pt>
                <c:pt idx="440">
                  <c:v>724.69355466617856</c:v>
                </c:pt>
                <c:pt idx="441">
                  <c:v>724.68935501143108</c:v>
                </c:pt>
                <c:pt idx="442">
                  <c:v>724.68478715304263</c:v>
                </c:pt>
                <c:pt idx="443">
                  <c:v>724.67985109079848</c:v>
                </c:pt>
                <c:pt idx="444">
                  <c:v>724.67454682463165</c:v>
                </c:pt>
                <c:pt idx="445">
                  <c:v>724.66887435463764</c:v>
                </c:pt>
                <c:pt idx="446">
                  <c:v>724.66283368108088</c:v>
                </c:pt>
                <c:pt idx="447">
                  <c:v>724.6564248043353</c:v>
                </c:pt>
                <c:pt idx="448">
                  <c:v>724.64964772497865</c:v>
                </c:pt>
                <c:pt idx="449">
                  <c:v>724.64250244372931</c:v>
                </c:pt>
                <c:pt idx="450">
                  <c:v>724.63498896144017</c:v>
                </c:pt>
                <c:pt idx="451">
                  <c:v>724.62710727911497</c:v>
                </c:pt>
                <c:pt idx="452">
                  <c:v>724.61885739794548</c:v>
                </c:pt>
                <c:pt idx="453">
                  <c:v>724.61023931924558</c:v>
                </c:pt>
                <c:pt idx="454">
                  <c:v>724.60125304452299</c:v>
                </c:pt>
                <c:pt idx="455">
                  <c:v>724.59189857537501</c:v>
                </c:pt>
                <c:pt idx="456">
                  <c:v>724.58217591362313</c:v>
                </c:pt>
                <c:pt idx="457">
                  <c:v>724.57208506118093</c:v>
                </c:pt>
                <c:pt idx="458">
                  <c:v>724.56162602015695</c:v>
                </c:pt>
                <c:pt idx="459">
                  <c:v>724.55079879280504</c:v>
                </c:pt>
                <c:pt idx="460">
                  <c:v>724.53960338153172</c:v>
                </c:pt>
                <c:pt idx="461">
                  <c:v>724.52803978888107</c:v>
                </c:pt>
                <c:pt idx="462">
                  <c:v>724.51610801757806</c:v>
                </c:pt>
                <c:pt idx="463">
                  <c:v>724.50380807050226</c:v>
                </c:pt>
                <c:pt idx="464">
                  <c:v>724.49113995064624</c:v>
                </c:pt>
                <c:pt idx="465">
                  <c:v>724.47810366119222</c:v>
                </c:pt>
                <c:pt idx="466">
                  <c:v>724.46469920548134</c:v>
                </c:pt>
                <c:pt idx="467">
                  <c:v>724.45092658699161</c:v>
                </c:pt>
                <c:pt idx="468">
                  <c:v>724.43678580935295</c:v>
                </c:pt>
                <c:pt idx="469">
                  <c:v>724.42227687636489</c:v>
                </c:pt>
                <c:pt idx="470">
                  <c:v>724.40739979197201</c:v>
                </c:pt>
                <c:pt idx="471">
                  <c:v>724.39215456025693</c:v>
                </c:pt>
                <c:pt idx="472">
                  <c:v>724.37654118549392</c:v>
                </c:pt>
                <c:pt idx="473">
                  <c:v>724.36055967209154</c:v>
                </c:pt>
                <c:pt idx="474">
                  <c:v>724.34421002459987</c:v>
                </c:pt>
                <c:pt idx="475">
                  <c:v>724.32749224773113</c:v>
                </c:pt>
                <c:pt idx="476">
                  <c:v>724.31040634636611</c:v>
                </c:pt>
                <c:pt idx="477">
                  <c:v>724.29295232552477</c:v>
                </c:pt>
                <c:pt idx="478">
                  <c:v>724.27513019038474</c:v>
                </c:pt>
                <c:pt idx="479">
                  <c:v>724.25693994628421</c:v>
                </c:pt>
                <c:pt idx="480">
                  <c:v>724.23838159870752</c:v>
                </c:pt>
                <c:pt idx="481">
                  <c:v>724.21945515328275</c:v>
                </c:pt>
                <c:pt idx="482">
                  <c:v>724.2001606158268</c:v>
                </c:pt>
                <c:pt idx="483">
                  <c:v>724.18049799227299</c:v>
                </c:pt>
                <c:pt idx="484">
                  <c:v>724.16046728873971</c:v>
                </c:pt>
                <c:pt idx="485">
                  <c:v>724.14006851147167</c:v>
                </c:pt>
                <c:pt idx="486">
                  <c:v>724.11930166688649</c:v>
                </c:pt>
                <c:pt idx="487">
                  <c:v>724.09816676155481</c:v>
                </c:pt>
                <c:pt idx="488">
                  <c:v>724.07666380218393</c:v>
                </c:pt>
                <c:pt idx="489">
                  <c:v>724.0547927956618</c:v>
                </c:pt>
                <c:pt idx="490">
                  <c:v>724.03255374901971</c:v>
                </c:pt>
                <c:pt idx="491">
                  <c:v>724.00994666943893</c:v>
                </c:pt>
                <c:pt idx="492">
                  <c:v>723.98697156425203</c:v>
                </c:pt>
                <c:pt idx="493">
                  <c:v>723.9636284409537</c:v>
                </c:pt>
                <c:pt idx="494">
                  <c:v>723.93991730720325</c:v>
                </c:pt>
                <c:pt idx="495">
                  <c:v>723.91583817078094</c:v>
                </c:pt>
                <c:pt idx="496">
                  <c:v>723.89139103965806</c:v>
                </c:pt>
                <c:pt idx="497">
                  <c:v>723.86657592194513</c:v>
                </c:pt>
                <c:pt idx="498">
                  <c:v>723.84139282589695</c:v>
                </c:pt>
                <c:pt idx="499">
                  <c:v>723.81584175995522</c:v>
                </c:pt>
                <c:pt idx="500">
                  <c:v>723.78992273266545</c:v>
                </c:pt>
                <c:pt idx="501">
                  <c:v>723.76363575275775</c:v>
                </c:pt>
                <c:pt idx="502">
                  <c:v>723.73698082914689</c:v>
                </c:pt>
                <c:pt idx="503">
                  <c:v>723.70995797084561</c:v>
                </c:pt>
                <c:pt idx="504">
                  <c:v>723.68256718703765</c:v>
                </c:pt>
                <c:pt idx="505">
                  <c:v>723.65480848709524</c:v>
                </c:pt>
                <c:pt idx="506">
                  <c:v>723.62668188049895</c:v>
                </c:pt>
                <c:pt idx="507">
                  <c:v>723.59818737691819</c:v>
                </c:pt>
                <c:pt idx="508">
                  <c:v>723.56932498614742</c:v>
                </c:pt>
                <c:pt idx="509">
                  <c:v>723.54009471818699</c:v>
                </c:pt>
                <c:pt idx="510">
                  <c:v>723.51049658311319</c:v>
                </c:pt>
                <c:pt idx="511">
                  <c:v>723.48053059121196</c:v>
                </c:pt>
                <c:pt idx="512">
                  <c:v>723.45019675293929</c:v>
                </c:pt>
                <c:pt idx="513">
                  <c:v>723.41949507885488</c:v>
                </c:pt>
                <c:pt idx="514">
                  <c:v>723.3884255797002</c:v>
                </c:pt>
                <c:pt idx="515">
                  <c:v>723.35698826636735</c:v>
                </c:pt>
                <c:pt idx="516">
                  <c:v>723.3251831499249</c:v>
                </c:pt>
                <c:pt idx="517">
                  <c:v>723.29301024155768</c:v>
                </c:pt>
                <c:pt idx="518">
                  <c:v>723.26046955260506</c:v>
                </c:pt>
                <c:pt idx="519">
                  <c:v>723.22756109462898</c:v>
                </c:pt>
                <c:pt idx="520">
                  <c:v>723.19428487925052</c:v>
                </c:pt>
                <c:pt idx="521">
                  <c:v>723.16064091832061</c:v>
                </c:pt>
                <c:pt idx="522">
                  <c:v>723.12662922379388</c:v>
                </c:pt>
                <c:pt idx="523">
                  <c:v>723.09224980782062</c:v>
                </c:pt>
                <c:pt idx="524">
                  <c:v>723.05750268268991</c:v>
                </c:pt>
                <c:pt idx="525">
                  <c:v>723.02238786083183</c:v>
                </c:pt>
                <c:pt idx="526">
                  <c:v>722.98690535485503</c:v>
                </c:pt>
                <c:pt idx="527">
                  <c:v>722.95105517751085</c:v>
                </c:pt>
                <c:pt idx="528">
                  <c:v>722.91483734169469</c:v>
                </c:pt>
                <c:pt idx="529">
                  <c:v>722.87825186047121</c:v>
                </c:pt>
                <c:pt idx="530">
                  <c:v>722.84129874708606</c:v>
                </c:pt>
                <c:pt idx="531">
                  <c:v>722.80397801486652</c:v>
                </c:pt>
                <c:pt idx="532">
                  <c:v>722.76628967738702</c:v>
                </c:pt>
                <c:pt idx="533">
                  <c:v>722.7282337482892</c:v>
                </c:pt>
                <c:pt idx="534">
                  <c:v>722.6898102414475</c:v>
                </c:pt>
                <c:pt idx="535">
                  <c:v>722.65101917083246</c:v>
                </c:pt>
                <c:pt idx="536">
                  <c:v>722.61186055059989</c:v>
                </c:pt>
                <c:pt idx="537">
                  <c:v>722.57233439505228</c:v>
                </c:pt>
                <c:pt idx="538">
                  <c:v>722.53244071863821</c:v>
                </c:pt>
                <c:pt idx="539">
                  <c:v>722.4921795359927</c:v>
                </c:pt>
                <c:pt idx="540">
                  <c:v>722.45155086188186</c:v>
                </c:pt>
                <c:pt idx="541">
                  <c:v>722.4105547112199</c:v>
                </c:pt>
                <c:pt idx="542">
                  <c:v>722.36919109910207</c:v>
                </c:pt>
                <c:pt idx="543">
                  <c:v>722.32746004074886</c:v>
                </c:pt>
                <c:pt idx="544">
                  <c:v>722.28536155156974</c:v>
                </c:pt>
                <c:pt idx="545">
                  <c:v>722.24289564709875</c:v>
                </c:pt>
                <c:pt idx="546">
                  <c:v>722.20006234304731</c:v>
                </c:pt>
                <c:pt idx="547">
                  <c:v>722.15686165526381</c:v>
                </c:pt>
                <c:pt idx="548">
                  <c:v>722.11329359976367</c:v>
                </c:pt>
                <c:pt idx="549">
                  <c:v>722.0693581927153</c:v>
                </c:pt>
                <c:pt idx="550">
                  <c:v>722.02505545046097</c:v>
                </c:pt>
                <c:pt idx="551">
                  <c:v>721.98038538946287</c:v>
                </c:pt>
                <c:pt idx="552">
                  <c:v>721.93534802635622</c:v>
                </c:pt>
                <c:pt idx="553">
                  <c:v>721.88994337795373</c:v>
                </c:pt>
                <c:pt idx="554">
                  <c:v>721.84417146118119</c:v>
                </c:pt>
                <c:pt idx="555">
                  <c:v>721.79803229315405</c:v>
                </c:pt>
                <c:pt idx="556">
                  <c:v>721.75152589111542</c:v>
                </c:pt>
                <c:pt idx="557">
                  <c:v>721.70465227250861</c:v>
                </c:pt>
                <c:pt idx="558">
                  <c:v>721.65741145487971</c:v>
                </c:pt>
                <c:pt idx="559">
                  <c:v>721.60980345596442</c:v>
                </c:pt>
                <c:pt idx="560">
                  <c:v>721.56182829365423</c:v>
                </c:pt>
                <c:pt idx="561">
                  <c:v>721.51348598597519</c:v>
                </c:pt>
                <c:pt idx="562">
                  <c:v>721.46477655112972</c:v>
                </c:pt>
                <c:pt idx="563">
                  <c:v>721.41570000745787</c:v>
                </c:pt>
                <c:pt idx="564">
                  <c:v>721.36625637349584</c:v>
                </c:pt>
                <c:pt idx="565">
                  <c:v>721.31644566787395</c:v>
                </c:pt>
                <c:pt idx="566">
                  <c:v>721.26626790941191</c:v>
                </c:pt>
                <c:pt idx="567">
                  <c:v>721.21572311711782</c:v>
                </c:pt>
                <c:pt idx="568">
                  <c:v>721.16481131009425</c:v>
                </c:pt>
                <c:pt idx="569">
                  <c:v>721.11353250762465</c:v>
                </c:pt>
                <c:pt idx="570">
                  <c:v>721.0618867291771</c:v>
                </c:pt>
                <c:pt idx="571">
                  <c:v>721.00987399433052</c:v>
                </c:pt>
                <c:pt idx="572">
                  <c:v>720.95749432285038</c:v>
                </c:pt>
                <c:pt idx="573">
                  <c:v>720.90474773466246</c:v>
                </c:pt>
                <c:pt idx="574">
                  <c:v>720.85163424980578</c:v>
                </c:pt>
                <c:pt idx="575">
                  <c:v>720.79815388853194</c:v>
                </c:pt>
                <c:pt idx="576">
                  <c:v>720.74430667121715</c:v>
                </c:pt>
                <c:pt idx="577">
                  <c:v>720.69009261838335</c:v>
                </c:pt>
                <c:pt idx="578">
                  <c:v>720.63551175074338</c:v>
                </c:pt>
                <c:pt idx="579">
                  <c:v>720.58056408914388</c:v>
                </c:pt>
                <c:pt idx="580">
                  <c:v>720.52524965459736</c:v>
                </c:pt>
                <c:pt idx="581">
                  <c:v>720.46956846825901</c:v>
                </c:pt>
                <c:pt idx="582">
                  <c:v>720.41352055145637</c:v>
                </c:pt>
                <c:pt idx="583">
                  <c:v>720.3571059256758</c:v>
                </c:pt>
                <c:pt idx="584">
                  <c:v>720.30032461253211</c:v>
                </c:pt>
                <c:pt idx="585">
                  <c:v>720.24317663382976</c:v>
                </c:pt>
                <c:pt idx="586">
                  <c:v>720.18566201151805</c:v>
                </c:pt>
                <c:pt idx="587">
                  <c:v>720.12778076770394</c:v>
                </c:pt>
                <c:pt idx="588">
                  <c:v>720.06953292464505</c:v>
                </c:pt>
                <c:pt idx="589">
                  <c:v>720.01091850475359</c:v>
                </c:pt>
                <c:pt idx="590">
                  <c:v>719.95193753061005</c:v>
                </c:pt>
                <c:pt idx="591">
                  <c:v>719.89259002496544</c:v>
                </c:pt>
                <c:pt idx="592">
                  <c:v>719.83287601068707</c:v>
                </c:pt>
                <c:pt idx="593">
                  <c:v>719.7727955108287</c:v>
                </c:pt>
                <c:pt idx="594">
                  <c:v>719.71234854859119</c:v>
                </c:pt>
                <c:pt idx="595">
                  <c:v>719.65153514734288</c:v>
                </c:pt>
                <c:pt idx="596">
                  <c:v>719.59035533060501</c:v>
                </c:pt>
                <c:pt idx="597">
                  <c:v>719.52880912205217</c:v>
                </c:pt>
                <c:pt idx="598">
                  <c:v>719.46689654550164</c:v>
                </c:pt>
                <c:pt idx="599">
                  <c:v>719.40461762496079</c:v>
                </c:pt>
                <c:pt idx="600">
                  <c:v>719.34197238457762</c:v>
                </c:pt>
                <c:pt idx="601">
                  <c:v>719.2789608486471</c:v>
                </c:pt>
                <c:pt idx="602">
                  <c:v>719.21558304162988</c:v>
                </c:pt>
                <c:pt idx="603">
                  <c:v>719.15183898816883</c:v>
                </c:pt>
                <c:pt idx="604">
                  <c:v>719.08772871301744</c:v>
                </c:pt>
                <c:pt idx="605">
                  <c:v>719.02325224112269</c:v>
                </c:pt>
                <c:pt idx="606">
                  <c:v>718.9584095975739</c:v>
                </c:pt>
                <c:pt idx="607">
                  <c:v>718.89320080762218</c:v>
                </c:pt>
                <c:pt idx="608">
                  <c:v>718.82762589667186</c:v>
                </c:pt>
                <c:pt idx="609">
                  <c:v>718.76168489030181</c:v>
                </c:pt>
                <c:pt idx="610">
                  <c:v>718.69537781422218</c:v>
                </c:pt>
                <c:pt idx="611">
                  <c:v>718.62870469432085</c:v>
                </c:pt>
                <c:pt idx="612">
                  <c:v>718.56166555662128</c:v>
                </c:pt>
                <c:pt idx="613">
                  <c:v>718.49426042734046</c:v>
                </c:pt>
                <c:pt idx="614">
                  <c:v>718.42648933282305</c:v>
                </c:pt>
                <c:pt idx="615">
                  <c:v>718.35835229959673</c:v>
                </c:pt>
                <c:pt idx="616">
                  <c:v>718.28984935432129</c:v>
                </c:pt>
                <c:pt idx="617">
                  <c:v>718.2209805238258</c:v>
                </c:pt>
                <c:pt idx="618">
                  <c:v>718.15174583509213</c:v>
                </c:pt>
                <c:pt idx="619">
                  <c:v>718.0821453152746</c:v>
                </c:pt>
                <c:pt idx="620">
                  <c:v>718.01217899167807</c:v>
                </c:pt>
                <c:pt idx="621">
                  <c:v>717.94184689176245</c:v>
                </c:pt>
                <c:pt idx="622">
                  <c:v>717.87114904314444</c:v>
                </c:pt>
                <c:pt idx="623">
                  <c:v>717.80008547361103</c:v>
                </c:pt>
                <c:pt idx="624">
                  <c:v>717.72865621109599</c:v>
                </c:pt>
                <c:pt idx="625">
                  <c:v>717.65686128368736</c:v>
                </c:pt>
                <c:pt idx="626">
                  <c:v>717.58470071964052</c:v>
                </c:pt>
                <c:pt idx="627">
                  <c:v>717.51217454738401</c:v>
                </c:pt>
                <c:pt idx="628">
                  <c:v>717.43928279547401</c:v>
                </c:pt>
                <c:pt idx="629">
                  <c:v>717.36602549263739</c:v>
                </c:pt>
                <c:pt idx="630">
                  <c:v>717.2924026677689</c:v>
                </c:pt>
                <c:pt idx="631">
                  <c:v>717.21841434992393</c:v>
                </c:pt>
                <c:pt idx="632">
                  <c:v>717.14406056829228</c:v>
                </c:pt>
                <c:pt idx="633">
                  <c:v>717.06934135224969</c:v>
                </c:pt>
                <c:pt idx="634">
                  <c:v>716.99425673132544</c:v>
                </c:pt>
                <c:pt idx="635">
                  <c:v>716.91880673519233</c:v>
                </c:pt>
                <c:pt idx="636">
                  <c:v>716.8429913936908</c:v>
                </c:pt>
                <c:pt idx="637">
                  <c:v>716.76681073682357</c:v>
                </c:pt>
                <c:pt idx="638">
                  <c:v>716.69026479475383</c:v>
                </c:pt>
                <c:pt idx="639">
                  <c:v>716.61335359781003</c:v>
                </c:pt>
                <c:pt idx="640">
                  <c:v>716.53607717645411</c:v>
                </c:pt>
                <c:pt idx="641">
                  <c:v>716.4584355613232</c:v>
                </c:pt>
                <c:pt idx="642">
                  <c:v>716.38042878321767</c:v>
                </c:pt>
                <c:pt idx="643">
                  <c:v>716.30205687309387</c:v>
                </c:pt>
                <c:pt idx="644">
                  <c:v>716.22331986208326</c:v>
                </c:pt>
                <c:pt idx="645">
                  <c:v>716.14421778144242</c:v>
                </c:pt>
                <c:pt idx="646">
                  <c:v>716.0647506625985</c:v>
                </c:pt>
                <c:pt idx="647">
                  <c:v>715.98491853716598</c:v>
                </c:pt>
                <c:pt idx="648">
                  <c:v>715.90472143688555</c:v>
                </c:pt>
                <c:pt idx="649">
                  <c:v>715.82415939367002</c:v>
                </c:pt>
                <c:pt idx="650">
                  <c:v>715.74323243960293</c:v>
                </c:pt>
                <c:pt idx="651">
                  <c:v>715.66194060690555</c:v>
                </c:pt>
                <c:pt idx="652">
                  <c:v>715.58028392797905</c:v>
                </c:pt>
                <c:pt idx="653">
                  <c:v>715.49826243536734</c:v>
                </c:pt>
                <c:pt idx="654">
                  <c:v>715.41587616178674</c:v>
                </c:pt>
                <c:pt idx="655">
                  <c:v>715.33312514011732</c:v>
                </c:pt>
                <c:pt idx="656">
                  <c:v>715.25000940337895</c:v>
                </c:pt>
                <c:pt idx="657">
                  <c:v>715.16652898476457</c:v>
                </c:pt>
                <c:pt idx="658">
                  <c:v>715.08268391763784</c:v>
                </c:pt>
                <c:pt idx="659">
                  <c:v>714.99847423549716</c:v>
                </c:pt>
                <c:pt idx="660">
                  <c:v>714.91389997203248</c:v>
                </c:pt>
                <c:pt idx="661">
                  <c:v>714.82896116105076</c:v>
                </c:pt>
                <c:pt idx="662">
                  <c:v>714.74365783657481</c:v>
                </c:pt>
                <c:pt idx="663">
                  <c:v>714.65799003274242</c:v>
                </c:pt>
                <c:pt idx="664">
                  <c:v>714.57195778387199</c:v>
                </c:pt>
                <c:pt idx="665">
                  <c:v>714.48556112444214</c:v>
                </c:pt>
                <c:pt idx="666">
                  <c:v>714.39880008908426</c:v>
                </c:pt>
                <c:pt idx="667">
                  <c:v>714.31167471259118</c:v>
                </c:pt>
                <c:pt idx="668">
                  <c:v>714.22418502993094</c:v>
                </c:pt>
                <c:pt idx="669">
                  <c:v>714.1363310762008</c:v>
                </c:pt>
                <c:pt idx="670">
                  <c:v>714.04811288670862</c:v>
                </c:pt>
                <c:pt idx="671">
                  <c:v>713.9595304968708</c:v>
                </c:pt>
                <c:pt idx="672">
                  <c:v>713.87058394229018</c:v>
                </c:pt>
                <c:pt idx="673">
                  <c:v>713.78127325874516</c:v>
                </c:pt>
                <c:pt idx="674">
                  <c:v>713.69159848213792</c:v>
                </c:pt>
                <c:pt idx="675">
                  <c:v>713.60155964856165</c:v>
                </c:pt>
                <c:pt idx="676">
                  <c:v>713.5111567942588</c:v>
                </c:pt>
                <c:pt idx="677">
                  <c:v>713.42038995564417</c:v>
                </c:pt>
                <c:pt idx="678">
                  <c:v>713.32925916926217</c:v>
                </c:pt>
                <c:pt idx="679">
                  <c:v>713.23776447186856</c:v>
                </c:pt>
                <c:pt idx="680">
                  <c:v>713.14590590034538</c:v>
                </c:pt>
                <c:pt idx="681">
                  <c:v>713.05368349173739</c:v>
                </c:pt>
                <c:pt idx="682">
                  <c:v>712.96109728325268</c:v>
                </c:pt>
                <c:pt idx="683">
                  <c:v>712.86814731229094</c:v>
                </c:pt>
                <c:pt idx="684">
                  <c:v>712.77483361636132</c:v>
                </c:pt>
                <c:pt idx="685">
                  <c:v>712.68115623317772</c:v>
                </c:pt>
                <c:pt idx="686">
                  <c:v>712.5871152005941</c:v>
                </c:pt>
                <c:pt idx="687">
                  <c:v>712.49271055663087</c:v>
                </c:pt>
                <c:pt idx="688">
                  <c:v>712.397942339476</c:v>
                </c:pt>
                <c:pt idx="689">
                  <c:v>712.3028105874796</c:v>
                </c:pt>
                <c:pt idx="690">
                  <c:v>712.20731533913829</c:v>
                </c:pt>
                <c:pt idx="691">
                  <c:v>712.111456633128</c:v>
                </c:pt>
                <c:pt idx="692">
                  <c:v>712.01523450828404</c:v>
                </c:pt>
                <c:pt idx="693">
                  <c:v>711.91864900359872</c:v>
                </c:pt>
                <c:pt idx="694">
                  <c:v>711.82170015822214</c:v>
                </c:pt>
                <c:pt idx="695">
                  <c:v>711.72438801148496</c:v>
                </c:pt>
                <c:pt idx="696">
                  <c:v>711.62671260285856</c:v>
                </c:pt>
                <c:pt idx="697">
                  <c:v>711.52867397198656</c:v>
                </c:pt>
                <c:pt idx="698">
                  <c:v>711.4302721586854</c:v>
                </c:pt>
                <c:pt idx="699">
                  <c:v>711.33150720291883</c:v>
                </c:pt>
                <c:pt idx="700">
                  <c:v>711.23237914482115</c:v>
                </c:pt>
                <c:pt idx="701">
                  <c:v>711.13288802468048</c:v>
                </c:pt>
                <c:pt idx="702">
                  <c:v>711.03303388295501</c:v>
                </c:pt>
                <c:pt idx="703">
                  <c:v>710.93281676027698</c:v>
                </c:pt>
                <c:pt idx="704">
                  <c:v>710.8322366974171</c:v>
                </c:pt>
                <c:pt idx="705">
                  <c:v>710.7312937353239</c:v>
                </c:pt>
                <c:pt idx="706">
                  <c:v>710.62998791511689</c:v>
                </c:pt>
                <c:pt idx="707">
                  <c:v>710.52831927805209</c:v>
                </c:pt>
                <c:pt idx="708">
                  <c:v>710.42628786559067</c:v>
                </c:pt>
                <c:pt idx="709">
                  <c:v>710.32389371929321</c:v>
                </c:pt>
                <c:pt idx="710">
                  <c:v>710.22113688095783</c:v>
                </c:pt>
                <c:pt idx="711">
                  <c:v>710.11801739249006</c:v>
                </c:pt>
                <c:pt idx="712">
                  <c:v>710.01453529599485</c:v>
                </c:pt>
                <c:pt idx="713">
                  <c:v>709.9106906337222</c:v>
                </c:pt>
                <c:pt idx="714">
                  <c:v>709.80648344808696</c:v>
                </c:pt>
                <c:pt idx="715">
                  <c:v>709.70191378166271</c:v>
                </c:pt>
                <c:pt idx="716">
                  <c:v>709.59698167720228</c:v>
                </c:pt>
                <c:pt idx="717">
                  <c:v>709.49168717759858</c:v>
                </c:pt>
                <c:pt idx="718">
                  <c:v>709.38603032595097</c:v>
                </c:pt>
                <c:pt idx="719">
                  <c:v>709.28001116547512</c:v>
                </c:pt>
                <c:pt idx="720">
                  <c:v>709.1736297395712</c:v>
                </c:pt>
                <c:pt idx="721">
                  <c:v>709.06688609181947</c:v>
                </c:pt>
                <c:pt idx="722">
                  <c:v>708.95978026593025</c:v>
                </c:pt>
                <c:pt idx="723">
                  <c:v>708.85231230580746</c:v>
                </c:pt>
                <c:pt idx="724">
                  <c:v>708.7444822554985</c:v>
                </c:pt>
                <c:pt idx="725">
                  <c:v>708.63629015923743</c:v>
                </c:pt>
                <c:pt idx="726">
                  <c:v>708.52773606140443</c:v>
                </c:pt>
                <c:pt idx="727">
                  <c:v>708.41882000656233</c:v>
                </c:pt>
                <c:pt idx="728">
                  <c:v>708.30954203940496</c:v>
                </c:pt>
                <c:pt idx="729">
                  <c:v>708.19990220483317</c:v>
                </c:pt>
                <c:pt idx="730">
                  <c:v>708.08990054788205</c:v>
                </c:pt>
                <c:pt idx="731">
                  <c:v>707.97953711376783</c:v>
                </c:pt>
                <c:pt idx="732">
                  <c:v>707.86881194785428</c:v>
                </c:pt>
                <c:pt idx="733">
                  <c:v>707.75772509569151</c:v>
                </c:pt>
                <c:pt idx="734">
                  <c:v>707.64627660297413</c:v>
                </c:pt>
                <c:pt idx="735">
                  <c:v>707.53446651559318</c:v>
                </c:pt>
                <c:pt idx="736">
                  <c:v>707.42229487956149</c:v>
                </c:pt>
                <c:pt idx="737">
                  <c:v>707.30976174108469</c:v>
                </c:pt>
                <c:pt idx="738">
                  <c:v>707.19686714654642</c:v>
                </c:pt>
                <c:pt idx="739">
                  <c:v>707.08361114246611</c:v>
                </c:pt>
                <c:pt idx="740">
                  <c:v>706.9699937755455</c:v>
                </c:pt>
                <c:pt idx="741">
                  <c:v>706.85601509263211</c:v>
                </c:pt>
                <c:pt idx="742">
                  <c:v>706.74167514078295</c:v>
                </c:pt>
                <c:pt idx="743">
                  <c:v>706.62697396716908</c:v>
                </c:pt>
                <c:pt idx="744">
                  <c:v>706.5119116191546</c:v>
                </c:pt>
                <c:pt idx="745">
                  <c:v>706.39648814428563</c:v>
                </c:pt>
                <c:pt idx="746">
                  <c:v>706.28070359023661</c:v>
                </c:pt>
                <c:pt idx="747">
                  <c:v>706.16455800486449</c:v>
                </c:pt>
                <c:pt idx="748">
                  <c:v>706.04805143620035</c:v>
                </c:pt>
                <c:pt idx="749">
                  <c:v>705.93118393244504</c:v>
                </c:pt>
                <c:pt idx="750">
                  <c:v>705.81395554193114</c:v>
                </c:pt>
                <c:pt idx="751">
                  <c:v>705.69636631320702</c:v>
                </c:pt>
                <c:pt idx="752">
                  <c:v>705.57841629495078</c:v>
                </c:pt>
                <c:pt idx="753">
                  <c:v>705.46010553604037</c:v>
                </c:pt>
                <c:pt idx="754">
                  <c:v>705.34143408546754</c:v>
                </c:pt>
                <c:pt idx="755">
                  <c:v>705.2224019924472</c:v>
                </c:pt>
                <c:pt idx="756">
                  <c:v>705.10300930632513</c:v>
                </c:pt>
                <c:pt idx="757">
                  <c:v>704.98325607663139</c:v>
                </c:pt>
                <c:pt idx="758">
                  <c:v>704.86314235304735</c:v>
                </c:pt>
                <c:pt idx="759">
                  <c:v>704.74266818545732</c:v>
                </c:pt>
                <c:pt idx="760">
                  <c:v>704.62183362385713</c:v>
                </c:pt>
                <c:pt idx="761">
                  <c:v>704.50063871845896</c:v>
                </c:pt>
                <c:pt idx="762">
                  <c:v>704.37908351961505</c:v>
                </c:pt>
                <c:pt idx="763">
                  <c:v>704.25716807785375</c:v>
                </c:pt>
                <c:pt idx="764">
                  <c:v>704.13489244387995</c:v>
                </c:pt>
                <c:pt idx="765">
                  <c:v>704.01225666855214</c:v>
                </c:pt>
                <c:pt idx="766">
                  <c:v>703.88926080288877</c:v>
                </c:pt>
                <c:pt idx="767">
                  <c:v>703.76590489810246</c:v>
                </c:pt>
                <c:pt idx="768">
                  <c:v>703.64218900555124</c:v>
                </c:pt>
                <c:pt idx="769">
                  <c:v>703.5181131767855</c:v>
                </c:pt>
                <c:pt idx="770">
                  <c:v>703.39367746348842</c:v>
                </c:pt>
                <c:pt idx="771">
                  <c:v>703.26888191753812</c:v>
                </c:pt>
                <c:pt idx="772">
                  <c:v>703.14372659097103</c:v>
                </c:pt>
                <c:pt idx="773">
                  <c:v>703.01821153600315</c:v>
                </c:pt>
                <c:pt idx="774">
                  <c:v>702.89233680499296</c:v>
                </c:pt>
                <c:pt idx="775">
                  <c:v>702.7661024505046</c:v>
                </c:pt>
                <c:pt idx="776">
                  <c:v>702.63950852523635</c:v>
                </c:pt>
                <c:pt idx="777">
                  <c:v>702.5125550820801</c:v>
                </c:pt>
                <c:pt idx="778">
                  <c:v>702.38524217407087</c:v>
                </c:pt>
                <c:pt idx="779">
                  <c:v>702.25756985444127</c:v>
                </c:pt>
                <c:pt idx="780">
                  <c:v>702.12953817656626</c:v>
                </c:pt>
                <c:pt idx="781">
                  <c:v>702.00114719401324</c:v>
                </c:pt>
                <c:pt idx="782">
                  <c:v>701.87239696050062</c:v>
                </c:pt>
                <c:pt idx="783">
                  <c:v>701.74328752993927</c:v>
                </c:pt>
                <c:pt idx="784">
                  <c:v>701.6138189563718</c:v>
                </c:pt>
                <c:pt idx="785">
                  <c:v>701.48399129403595</c:v>
                </c:pt>
                <c:pt idx="786">
                  <c:v>701.35380459734677</c:v>
                </c:pt>
                <c:pt idx="787">
                  <c:v>701.2232589208611</c:v>
                </c:pt>
                <c:pt idx="788">
                  <c:v>701.09235431933416</c:v>
                </c:pt>
                <c:pt idx="789">
                  <c:v>700.96109084766681</c:v>
                </c:pt>
                <c:pt idx="790">
                  <c:v>700.82946856095305</c:v>
                </c:pt>
                <c:pt idx="791">
                  <c:v>700.69748751443581</c:v>
                </c:pt>
                <c:pt idx="792">
                  <c:v>700.56514776353015</c:v>
                </c:pt>
                <c:pt idx="793">
                  <c:v>700.43244936384508</c:v>
                </c:pt>
                <c:pt idx="794">
                  <c:v>700.2993923711291</c:v>
                </c:pt>
                <c:pt idx="795">
                  <c:v>700.16597684132012</c:v>
                </c:pt>
                <c:pt idx="796">
                  <c:v>700.0322028305078</c:v>
                </c:pt>
                <c:pt idx="797">
                  <c:v>699.89807039497987</c:v>
                </c:pt>
                <c:pt idx="798">
                  <c:v>699.76357959117536</c:v>
                </c:pt>
                <c:pt idx="799">
                  <c:v>699.62873047571441</c:v>
                </c:pt>
                <c:pt idx="800">
                  <c:v>699.49352310536904</c:v>
                </c:pt>
                <c:pt idx="801">
                  <c:v>699.3579575370984</c:v>
                </c:pt>
                <c:pt idx="802">
                  <c:v>699.22203382803571</c:v>
                </c:pt>
                <c:pt idx="803">
                  <c:v>699.08575203548094</c:v>
                </c:pt>
                <c:pt idx="804">
                  <c:v>698.94911221688881</c:v>
                </c:pt>
                <c:pt idx="805">
                  <c:v>698.81211442990718</c:v>
                </c:pt>
                <c:pt idx="806">
                  <c:v>698.67475873233798</c:v>
                </c:pt>
                <c:pt idx="807">
                  <c:v>698.53704518218626</c:v>
                </c:pt>
                <c:pt idx="808">
                  <c:v>698.3989738375858</c:v>
                </c:pt>
                <c:pt idx="809">
                  <c:v>698.26054475686021</c:v>
                </c:pt>
                <c:pt idx="810">
                  <c:v>698.12175799852707</c:v>
                </c:pt>
                <c:pt idx="811">
                  <c:v>697.98261362124276</c:v>
                </c:pt>
                <c:pt idx="812">
                  <c:v>697.8431116838517</c:v>
                </c:pt>
                <c:pt idx="813">
                  <c:v>697.7032522453535</c:v>
                </c:pt>
                <c:pt idx="814">
                  <c:v>697.56303536495193</c:v>
                </c:pt>
                <c:pt idx="815">
                  <c:v>697.42246110199665</c:v>
                </c:pt>
                <c:pt idx="816">
                  <c:v>697.28152951602044</c:v>
                </c:pt>
                <c:pt idx="817">
                  <c:v>697.14024066672084</c:v>
                </c:pt>
                <c:pt idx="818">
                  <c:v>696.99859461398</c:v>
                </c:pt>
                <c:pt idx="819">
                  <c:v>696.85659141782537</c:v>
                </c:pt>
                <c:pt idx="820">
                  <c:v>696.71423113850551</c:v>
                </c:pt>
                <c:pt idx="821">
                  <c:v>696.57151383639405</c:v>
                </c:pt>
                <c:pt idx="822">
                  <c:v>696.42843957205957</c:v>
                </c:pt>
                <c:pt idx="823">
                  <c:v>696.28500840624633</c:v>
                </c:pt>
                <c:pt idx="824">
                  <c:v>696.14122039985637</c:v>
                </c:pt>
                <c:pt idx="825">
                  <c:v>695.99707561398247</c:v>
                </c:pt>
                <c:pt idx="826">
                  <c:v>695.85257410988083</c:v>
                </c:pt>
                <c:pt idx="827">
                  <c:v>695.70771594897496</c:v>
                </c:pt>
                <c:pt idx="828">
                  <c:v>695.5625011928812</c:v>
                </c:pt>
                <c:pt idx="829">
                  <c:v>695.4169299033756</c:v>
                </c:pt>
                <c:pt idx="830">
                  <c:v>695.27100214241705</c:v>
                </c:pt>
                <c:pt idx="831">
                  <c:v>695.12471797211856</c:v>
                </c:pt>
                <c:pt idx="832">
                  <c:v>694.9780774547844</c:v>
                </c:pt>
                <c:pt idx="833">
                  <c:v>694.83108065289207</c:v>
                </c:pt>
                <c:pt idx="834">
                  <c:v>694.683727629087</c:v>
                </c:pt>
                <c:pt idx="835">
                  <c:v>648.2512158788295</c:v>
                </c:pt>
                <c:pt idx="836">
                  <c:v>604.85815261817061</c:v>
                </c:pt>
                <c:pt idx="837">
                  <c:v>564.3055771023071</c:v>
                </c:pt>
                <c:pt idx="838">
                  <c:v>526.40755245511014</c:v>
                </c:pt>
                <c:pt idx="839">
                  <c:v>490.99031313333887</c:v>
                </c:pt>
                <c:pt idx="840">
                  <c:v>457.89146819740898</c:v>
                </c:pt>
                <c:pt idx="841">
                  <c:v>426.95925673565074</c:v>
                </c:pt>
                <c:pt idx="842">
                  <c:v>398.05185202811367</c:v>
                </c:pt>
                <c:pt idx="843">
                  <c:v>371.03671125945471</c:v>
                </c:pt>
                <c:pt idx="844">
                  <c:v>345.78996779928588</c:v>
                </c:pt>
                <c:pt idx="845">
                  <c:v>322.19586326354209</c:v>
                </c:pt>
                <c:pt idx="846">
                  <c:v>300.14621675281995</c:v>
                </c:pt>
                <c:pt idx="847">
                  <c:v>279.53992883410467</c:v>
                </c:pt>
                <c:pt idx="848">
                  <c:v>260.28251799159943</c:v>
                </c:pt>
                <c:pt idx="849">
                  <c:v>242.28568742124597</c:v>
                </c:pt>
                <c:pt idx="850">
                  <c:v>225.46692018265531</c:v>
                </c:pt>
                <c:pt idx="851">
                  <c:v>209.74910085218556</c:v>
                </c:pt>
                <c:pt idx="852">
                  <c:v>195.06016194241613</c:v>
                </c:pt>
                <c:pt idx="853">
                  <c:v>181.33275346682274</c:v>
                </c:pt>
                <c:pt idx="854">
                  <c:v>168.50393413457911</c:v>
                </c:pt>
                <c:pt idx="855">
                  <c:v>156.51488275959034</c:v>
                </c:pt>
                <c:pt idx="856">
                  <c:v>145.31062856054209</c:v>
                </c:pt>
                <c:pt idx="857">
                  <c:v>134.83979911537196</c:v>
                </c:pt>
                <c:pt idx="858">
                  <c:v>125.05438481451161</c:v>
                </c:pt>
                <c:pt idx="859">
                  <c:v>115.90951873289937</c:v>
                </c:pt>
                <c:pt idx="860">
                  <c:v>107.36327091145881</c:v>
                </c:pt>
                <c:pt idx="861">
                  <c:v>99.376456104805897</c:v>
                </c:pt>
                <c:pt idx="862">
                  <c:v>91.912454113693897</c:v>
                </c:pt>
                <c:pt idx="863">
                  <c:v>84.937041878403548</c:v>
                </c:pt>
                <c:pt idx="864">
                  <c:v>78.418236563215189</c:v>
                </c:pt>
                <c:pt idx="865">
                  <c:v>72.326148912490083</c:v>
                </c:pt>
                <c:pt idx="866">
                  <c:v>66.632846205988855</c:v>
                </c:pt>
                <c:pt idx="867">
                  <c:v>61.312224185063627</c:v>
                </c:pt>
                <c:pt idx="868">
                  <c:v>56.339887362497016</c:v>
                </c:pt>
                <c:pt idx="869">
                  <c:v>51.693037167197367</c:v>
                </c:pt>
                <c:pt idx="870">
                  <c:v>47.35036741088539</c:v>
                </c:pt>
                <c:pt idx="871">
                  <c:v>43.291966597478009</c:v>
                </c:pt>
                <c:pt idx="872">
                  <c:v>39.499226627249676</c:v>
                </c:pt>
                <c:pt idx="873">
                  <c:v>35.954757477173303</c:v>
                </c:pt>
                <c:pt idx="874">
                  <c:v>32.64230746624176</c:v>
                </c:pt>
                <c:pt idx="875">
                  <c:v>29.546688740181274</c:v>
                </c:pt>
                <c:pt idx="876">
                  <c:v>26.653707633896875</c:v>
                </c:pt>
                <c:pt idx="877">
                  <c:v>23.950099592356999</c:v>
                </c:pt>
                <c:pt idx="878">
                  <c:v>21.423468351523589</c:v>
                </c:pt>
                <c:pt idx="879">
                  <c:v>19.062229100467263</c:v>
                </c:pt>
                <c:pt idx="880">
                  <c:v>16.855555364061669</c:v>
                </c:pt>
                <c:pt idx="881">
                  <c:v>14.79332936270924</c:v>
                </c:pt>
                <c:pt idx="882" formatCode="General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D18-4BB1-8F47-1F695D58E6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671652128"/>
        <c:axId val="-671642880"/>
      </c:scatterChart>
      <c:valAx>
        <c:axId val="-671652128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(sec.)</a:t>
                </a:r>
              </a:p>
            </c:rich>
          </c:tx>
          <c:layout>
            <c:manualLayout>
              <c:xMode val="edge"/>
              <c:yMode val="edge"/>
              <c:x val="0.47218931065220621"/>
              <c:y val="0.90156283986601127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671642880"/>
        <c:crosses val="autoZero"/>
        <c:crossBetween val="midCat"/>
      </c:valAx>
      <c:valAx>
        <c:axId val="-671642880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75" b="0" i="0" u="none" strike="noStrike" baseline="0">
                    <a:solidFill>
                      <a:srgbClr val="0000FF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Chamber pressure  (psi)</a:t>
                </a:r>
              </a:p>
            </c:rich>
          </c:tx>
          <c:layout>
            <c:manualLayout>
              <c:xMode val="edge"/>
              <c:yMode val="edge"/>
              <c:x val="5.5690090625464268E-2"/>
              <c:y val="0.2770087440727367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FF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671652128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400"/>
              <a:t>Thrust vs time</a:t>
            </a:r>
          </a:p>
        </c:rich>
      </c:tx>
      <c:layout>
        <c:manualLayout>
          <c:xMode val="edge"/>
          <c:yMode val="edge"/>
          <c:x val="0.37613294181457724"/>
          <c:y val="0.1562605428381777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2727305624458102"/>
          <c:y val="0.26720647773279355"/>
          <c:w val="0.69960575574418848"/>
          <c:h val="0.53238866396761131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Performance!$L$28:$L$910</c:f>
              <c:numCache>
                <c:formatCode>0.0000</c:formatCode>
                <c:ptCount val="883"/>
                <c:pt idx="0">
                  <c:v>0</c:v>
                </c:pt>
                <c:pt idx="1">
                  <c:v>1.6710334693929663E-3</c:v>
                </c:pt>
                <c:pt idx="2">
                  <c:v>2.4843220196037958E-3</c:v>
                </c:pt>
                <c:pt idx="3">
                  <c:v>3.1810959485757606E-3</c:v>
                </c:pt>
                <c:pt idx="4">
                  <c:v>3.8206732307621274E-3</c:v>
                </c:pt>
                <c:pt idx="5">
                  <c:v>4.425010811441232E-3</c:v>
                </c:pt>
                <c:pt idx="6">
                  <c:v>5.0051821890309094E-3</c:v>
                </c:pt>
                <c:pt idx="7">
                  <c:v>5.5677072839621635E-3</c:v>
                </c:pt>
                <c:pt idx="8">
                  <c:v>6.1168052341769906E-3</c:v>
                </c:pt>
                <c:pt idx="9">
                  <c:v>6.655386144892853E-3</c:v>
                </c:pt>
                <c:pt idx="10">
                  <c:v>7.1855514631596886E-3</c:v>
                </c:pt>
                <c:pt idx="11">
                  <c:v>7.7088718685779109E-3</c:v>
                </c:pt>
                <c:pt idx="12">
                  <c:v>8.2265530704858526E-3</c:v>
                </c:pt>
                <c:pt idx="13">
                  <c:v>8.7395403982088674E-3</c:v>
                </c:pt>
                <c:pt idx="14">
                  <c:v>9.2485877962660071E-3</c:v>
                </c:pt>
                <c:pt idx="15">
                  <c:v>9.7543050395444888E-3</c:v>
                </c:pt>
                <c:pt idx="16">
                  <c:v>1.0257191050367084E-2</c:v>
                </c:pt>
                <c:pt idx="17">
                  <c:v>1.0757658028359783E-2</c:v>
                </c:pt>
                <c:pt idx="18">
                  <c:v>1.1256049321341333E-2</c:v>
                </c:pt>
                <c:pt idx="19">
                  <c:v>1.1752652919476391E-2</c:v>
                </c:pt>
                <c:pt idx="20">
                  <c:v>1.2247711818283298E-2</c:v>
                </c:pt>
                <c:pt idx="21">
                  <c:v>1.2741432096047563E-2</c:v>
                </c:pt>
                <c:pt idx="22">
                  <c:v>1.3233989292713522E-2</c:v>
                </c:pt>
                <c:pt idx="23">
                  <c:v>1.3725533506141557E-2</c:v>
                </c:pt>
                <c:pt idx="24">
                  <c:v>1.421619350572296E-2</c:v>
                </c:pt>
                <c:pt idx="25">
                  <c:v>1.4706080083315238E-2</c:v>
                </c:pt>
                <c:pt idx="26">
                  <c:v>1.5195288805200977E-2</c:v>
                </c:pt>
                <c:pt idx="27">
                  <c:v>1.5683902288574979E-2</c:v>
                </c:pt>
                <c:pt idx="28">
                  <c:v>1.6171992096911249E-2</c:v>
                </c:pt>
                <c:pt idx="29">
                  <c:v>1.6659620327126621E-2</c:v>
                </c:pt>
                <c:pt idx="30">
                  <c:v>1.7146840945497063E-2</c:v>
                </c:pt>
                <c:pt idx="31">
                  <c:v>1.7633700917256964E-2</c:v>
                </c:pt>
                <c:pt idx="32">
                  <c:v>1.8120241165650731E-2</c:v>
                </c:pt>
                <c:pt idx="33">
                  <c:v>1.8606497389155249E-2</c:v>
                </c:pt>
                <c:pt idx="34">
                  <c:v>1.9092500760112149E-2</c:v>
                </c:pt>
                <c:pt idx="35">
                  <c:v>1.9578278523711933E-2</c:v>
                </c:pt>
                <c:pt idx="36">
                  <c:v>2.0063854512873083E-2</c:v>
                </c:pt>
                <c:pt idx="37">
                  <c:v>2.0549249591849339E-2</c:v>
                </c:pt>
                <c:pt idx="38">
                  <c:v>2.1034482039221206E-2</c:v>
                </c:pt>
                <c:pt idx="39">
                  <c:v>2.1519567879166146E-2</c:v>
                </c:pt>
                <c:pt idx="40">
                  <c:v>2.2004521168467038E-2</c:v>
                </c:pt>
                <c:pt idx="41">
                  <c:v>2.2489354245542457E-2</c:v>
                </c:pt>
                <c:pt idx="42">
                  <c:v>2.2974077946812891E-2</c:v>
                </c:pt>
                <c:pt idx="43">
                  <c:v>2.3458701794913113E-2</c:v>
                </c:pt>
                <c:pt idx="44">
                  <c:v>2.3943234162591691E-2</c:v>
                </c:pt>
                <c:pt idx="45">
                  <c:v>2.4427682415578179E-2</c:v>
                </c:pt>
                <c:pt idx="46">
                  <c:v>2.4912053037227388E-2</c:v>
                </c:pt>
                <c:pt idx="47">
                  <c:v>2.5396351737352888E-2</c:v>
                </c:pt>
                <c:pt idx="48">
                  <c:v>2.5880583547325059E-2</c:v>
                </c:pt>
                <c:pt idx="49">
                  <c:v>2.6364752903222943E-2</c:v>
                </c:pt>
                <c:pt idx="50">
                  <c:v>2.6848863718585327E-2</c:v>
                </c:pt>
                <c:pt idx="51">
                  <c:v>2.7332919448098049E-2</c:v>
                </c:pt>
                <c:pt idx="52">
                  <c:v>2.7816923143375808E-2</c:v>
                </c:pt>
                <c:pt idx="53">
                  <c:v>2.8300877501843482E-2</c:v>
                </c:pt>
                <c:pt idx="54">
                  <c:v>2.8784784909589817E-2</c:v>
                </c:pt>
                <c:pt idx="55">
                  <c:v>2.9268647478952532E-2</c:v>
                </c:pt>
                <c:pt idx="56">
                  <c:v>2.9752467081495607E-2</c:v>
                </c:pt>
                <c:pt idx="57">
                  <c:v>3.0236245376954254E-2</c:v>
                </c:pt>
                <c:pt idx="58">
                  <c:v>3.0719983838649635E-2</c:v>
                </c:pt>
                <c:pt idx="59">
                  <c:v>3.1203683775811137E-2</c:v>
                </c:pt>
                <c:pt idx="60">
                  <c:v>3.1687346353188775E-2</c:v>
                </c:pt>
                <c:pt idx="61">
                  <c:v>3.2170972608289813E-2</c:v>
                </c:pt>
                <c:pt idx="62">
                  <c:v>3.2654563466531762E-2</c:v>
                </c:pt>
                <c:pt idx="63">
                  <c:v>3.3138119754567319E-2</c:v>
                </c:pt>
                <c:pt idx="64">
                  <c:v>3.3621642212004949E-2</c:v>
                </c:pt>
                <c:pt idx="65">
                  <c:v>3.4105131501720828E-2</c:v>
                </c:pt>
                <c:pt idx="66">
                  <c:v>3.458858821893384E-2</c:v>
                </c:pt>
                <c:pt idx="67">
                  <c:v>3.5072012899193844E-2</c:v>
                </c:pt>
                <c:pt idx="68">
                  <c:v>3.5555406025415057E-2</c:v>
                </c:pt>
                <c:pt idx="69">
                  <c:v>3.6038768034070114E-2</c:v>
                </c:pt>
                <c:pt idx="70">
                  <c:v>3.6522099320646192E-2</c:v>
                </c:pt>
                <c:pt idx="71">
                  <c:v>3.7005400244452195E-2</c:v>
                </c:pt>
                <c:pt idx="72">
                  <c:v>3.7488671132855089E-2</c:v>
                </c:pt>
                <c:pt idx="73">
                  <c:v>3.797191228501396E-2</c:v>
                </c:pt>
                <c:pt idx="74">
                  <c:v>3.8455123975172104E-2</c:v>
                </c:pt>
                <c:pt idx="75">
                  <c:v>3.8938306455559984E-2</c:v>
                </c:pt>
                <c:pt idx="76">
                  <c:v>3.9421459958955615E-2</c:v>
                </c:pt>
                <c:pt idx="77">
                  <c:v>3.9904584700943289E-2</c:v>
                </c:pt>
                <c:pt idx="78">
                  <c:v>4.0387680881906515E-2</c:v>
                </c:pt>
                <c:pt idx="79">
                  <c:v>4.087074868878688E-2</c:v>
                </c:pt>
                <c:pt idx="80">
                  <c:v>4.1353788296636537E-2</c:v>
                </c:pt>
                <c:pt idx="81">
                  <c:v>4.1836799869988922E-2</c:v>
                </c:pt>
                <c:pt idx="82">
                  <c:v>4.2319783564069083E-2</c:v>
                </c:pt>
                <c:pt idx="83">
                  <c:v>4.2802739525862714E-2</c:v>
                </c:pt>
                <c:pt idx="84">
                  <c:v>4.3285667895060491E-2</c:v>
                </c:pt>
                <c:pt idx="85">
                  <c:v>4.3768568804892459E-2</c:v>
                </c:pt>
                <c:pt idx="86">
                  <c:v>4.4251442382865394E-2</c:v>
                </c:pt>
                <c:pt idx="87">
                  <c:v>4.4734288751414546E-2</c:v>
                </c:pt>
                <c:pt idx="88">
                  <c:v>4.5217108028479815E-2</c:v>
                </c:pt>
                <c:pt idx="89">
                  <c:v>4.5699900328015235E-2</c:v>
                </c:pt>
                <c:pt idx="90">
                  <c:v>4.6182665760439529E-2</c:v>
                </c:pt>
                <c:pt idx="91">
                  <c:v>4.6665404433034678E-2</c:v>
                </c:pt>
                <c:pt idx="92">
                  <c:v>4.7148116450298531E-2</c:v>
                </c:pt>
                <c:pt idx="93">
                  <c:v>4.763080191425683E-2</c:v>
                </c:pt>
                <c:pt idx="94">
                  <c:v>4.8113460924739358E-2</c:v>
                </c:pt>
                <c:pt idx="95">
                  <c:v>4.8596093579624411E-2</c:v>
                </c:pt>
                <c:pt idx="96">
                  <c:v>4.9078699975055227E-2</c:v>
                </c:pt>
                <c:pt idx="97">
                  <c:v>4.9561280205631678E-2</c:v>
                </c:pt>
                <c:pt idx="98">
                  <c:v>5.0043834364580021E-2</c:v>
                </c:pt>
                <c:pt idx="99">
                  <c:v>5.0526362543903303E-2</c:v>
                </c:pt>
                <c:pt idx="100">
                  <c:v>5.1008864834514618E-2</c:v>
                </c:pt>
                <c:pt idx="101">
                  <c:v>5.1491341326355203E-2</c:v>
                </c:pt>
                <c:pt idx="102">
                  <c:v>5.1973792108499117E-2</c:v>
                </c:pt>
                <c:pt idx="103">
                  <c:v>5.2456217269246076E-2</c:v>
                </c:pt>
                <c:pt idx="104">
                  <c:v>5.2938616896203723E-2</c:v>
                </c:pt>
                <c:pt idx="105">
                  <c:v>5.3420991076360634E-2</c:v>
                </c:pt>
                <c:pt idx="106">
                  <c:v>5.3903339896151072E-2</c:v>
                </c:pt>
                <c:pt idx="107">
                  <c:v>5.4385663441512438E-2</c:v>
                </c:pt>
                <c:pt idx="108">
                  <c:v>5.4867961797936265E-2</c:v>
                </c:pt>
                <c:pt idx="109">
                  <c:v>5.5350235050513466E-2</c:v>
                </c:pt>
                <c:pt idx="110">
                  <c:v>5.5832483283974534E-2</c:v>
                </c:pt>
                <c:pt idx="111">
                  <c:v>5.6314706582725221E-2</c:v>
                </c:pt>
                <c:pt idx="112">
                  <c:v>5.6796905030878232E-2</c:v>
                </c:pt>
                <c:pt idx="113">
                  <c:v>5.7279078712281391E-2</c:v>
                </c:pt>
                <c:pt idx="114">
                  <c:v>5.7761227710542672E-2</c:v>
                </c:pt>
                <c:pt idx="115">
                  <c:v>5.8243352109052432E-2</c:v>
                </c:pt>
                <c:pt idx="116">
                  <c:v>5.8725451991003208E-2</c:v>
                </c:pt>
                <c:pt idx="117">
                  <c:v>5.9207527439407298E-2</c:v>
                </c:pt>
                <c:pt idx="118">
                  <c:v>5.9689578537112403E-2</c:v>
                </c:pt>
                <c:pt idx="119">
                  <c:v>6.017160536681556E-2</c:v>
                </c:pt>
                <c:pt idx="120">
                  <c:v>6.0653608011075541E-2</c:v>
                </c:pt>
                <c:pt idx="121">
                  <c:v>6.1135586552323873E-2</c:v>
                </c:pt>
                <c:pt idx="122">
                  <c:v>6.161754107287469E-2</c:v>
                </c:pt>
                <c:pt idx="123">
                  <c:v>6.2099471654933472E-2</c:v>
                </c:pt>
                <c:pt idx="124">
                  <c:v>6.2581378380604874E-2</c:v>
                </c:pt>
                <c:pt idx="125">
                  <c:v>6.3063261331899656E-2</c:v>
                </c:pt>
                <c:pt idx="126">
                  <c:v>6.3545120590740939E-2</c:v>
                </c:pt>
                <c:pt idx="127">
                  <c:v>6.4026956238969701E-2</c:v>
                </c:pt>
                <c:pt idx="128">
                  <c:v>6.4508768358349761E-2</c:v>
                </c:pt>
                <c:pt idx="129">
                  <c:v>6.4990557030572174E-2</c:v>
                </c:pt>
                <c:pt idx="130">
                  <c:v>6.5472322337259206E-2</c:v>
                </c:pt>
                <c:pt idx="131">
                  <c:v>6.5954064359967882E-2</c:v>
                </c:pt>
                <c:pt idx="132">
                  <c:v>6.6435783180193109E-2</c:v>
                </c:pt>
                <c:pt idx="133">
                  <c:v>6.6917478879370537E-2</c:v>
                </c:pt>
                <c:pt idx="134">
                  <c:v>6.7399151538879112E-2</c:v>
                </c:pt>
                <c:pt idx="135">
                  <c:v>6.7880801240043309E-2</c:v>
                </c:pt>
                <c:pt idx="136">
                  <c:v>6.8362428064135242E-2</c:v>
                </c:pt>
                <c:pt idx="137">
                  <c:v>6.8844032092376467E-2</c:v>
                </c:pt>
                <c:pt idx="138">
                  <c:v>6.932561340593961E-2</c:v>
                </c:pt>
                <c:pt idx="139">
                  <c:v>6.9807172085949942E-2</c:v>
                </c:pt>
                <c:pt idx="140">
                  <c:v>7.028870821348665E-2</c:v>
                </c:pt>
                <c:pt idx="141">
                  <c:v>7.077022186958408E-2</c:v>
                </c:pt>
                <c:pt idx="142">
                  <c:v>7.1251713135232819E-2</c:v>
                </c:pt>
                <c:pt idx="143">
                  <c:v>7.1733182091380701E-2</c:v>
                </c:pt>
                <c:pt idx="144">
                  <c:v>7.2214628818933729E-2</c:v>
                </c:pt>
                <c:pt idx="145">
                  <c:v>7.2696053398756871E-2</c:v>
                </c:pt>
                <c:pt idx="146">
                  <c:v>7.3177455911674807E-2</c:v>
                </c:pt>
                <c:pt idx="147">
                  <c:v>7.3658836438472639E-2</c:v>
                </c:pt>
                <c:pt idx="148">
                  <c:v>7.4140195059896455E-2</c:v>
                </c:pt>
                <c:pt idx="149">
                  <c:v>7.4621531856653989E-2</c:v>
                </c:pt>
                <c:pt idx="150">
                  <c:v>7.5102846909415058E-2</c:v>
                </c:pt>
                <c:pt idx="151">
                  <c:v>7.5584140298812094E-2</c:v>
                </c:pt>
                <c:pt idx="152">
                  <c:v>7.60654121054406E-2</c:v>
                </c:pt>
                <c:pt idx="153">
                  <c:v>7.6546662409859523E-2</c:v>
                </c:pt>
                <c:pt idx="154">
                  <c:v>7.7027891292591674E-2</c:v>
                </c:pt>
                <c:pt idx="155">
                  <c:v>7.7509098834124088E-2</c:v>
                </c:pt>
                <c:pt idx="156">
                  <c:v>7.7990285114908312E-2</c:v>
                </c:pt>
                <c:pt idx="157">
                  <c:v>7.8471450215360769E-2</c:v>
                </c:pt>
                <c:pt idx="158">
                  <c:v>7.8952594215863051E-2</c:v>
                </c:pt>
                <c:pt idx="159">
                  <c:v>7.9433717196762149E-2</c:v>
                </c:pt>
                <c:pt idx="160">
                  <c:v>7.9914819238370766E-2</c:v>
                </c:pt>
                <c:pt idx="161">
                  <c:v>8.0395900420967545E-2</c:v>
                </c:pt>
                <c:pt idx="162">
                  <c:v>8.0876960824797312E-2</c:v>
                </c:pt>
                <c:pt idx="163">
                  <c:v>8.1358000530071292E-2</c:v>
                </c:pt>
                <c:pt idx="164">
                  <c:v>8.1839019616967351E-2</c:v>
                </c:pt>
                <c:pt idx="165">
                  <c:v>8.2320018165630171E-2</c:v>
                </c:pt>
                <c:pt idx="166">
                  <c:v>8.2800996256171475E-2</c:v>
                </c:pt>
                <c:pt idx="167">
                  <c:v>8.3281953968670219E-2</c:v>
                </c:pt>
                <c:pt idx="168">
                  <c:v>8.3762891383172763E-2</c:v>
                </c:pt>
                <c:pt idx="169">
                  <c:v>8.4243808579693089E-2</c:v>
                </c:pt>
                <c:pt idx="170">
                  <c:v>8.4724705638212924E-2</c:v>
                </c:pt>
                <c:pt idx="171">
                  <c:v>8.5205582638681943E-2</c:v>
                </c:pt>
                <c:pt idx="172">
                  <c:v>8.5686439661017966E-2</c:v>
                </c:pt>
                <c:pt idx="173">
                  <c:v>8.6167276785107064E-2</c:v>
                </c:pt>
                <c:pt idx="174">
                  <c:v>8.6648094090803776E-2</c:v>
                </c:pt>
                <c:pt idx="175">
                  <c:v>8.7128891657931209E-2</c:v>
                </c:pt>
                <c:pt idx="176">
                  <c:v>8.7609669566281259E-2</c:v>
                </c:pt>
                <c:pt idx="177">
                  <c:v>8.809042789561472E-2</c:v>
                </c:pt>
                <c:pt idx="178">
                  <c:v>8.857116672566144E-2</c:v>
                </c:pt>
                <c:pt idx="179">
                  <c:v>8.9051886136120501E-2</c:v>
                </c:pt>
                <c:pt idx="180">
                  <c:v>8.9532586206660325E-2</c:v>
                </c:pt>
                <c:pt idx="181">
                  <c:v>9.0013267016918849E-2</c:v>
                </c:pt>
                <c:pt idx="182">
                  <c:v>9.0493928646503657E-2</c:v>
                </c:pt>
                <c:pt idx="183">
                  <c:v>9.0974571174992136E-2</c:v>
                </c:pt>
                <c:pt idx="184">
                  <c:v>9.1455194681931598E-2</c:v>
                </c:pt>
                <c:pt idx="185">
                  <c:v>9.1935799246839436E-2</c:v>
                </c:pt>
                <c:pt idx="186">
                  <c:v>9.2416384949203276E-2</c:v>
                </c:pt>
                <c:pt idx="187">
                  <c:v>9.2896951868481098E-2</c:v>
                </c:pt>
                <c:pt idx="188">
                  <c:v>9.3377500084101367E-2</c:v>
                </c:pt>
                <c:pt idx="189">
                  <c:v>9.3858029675463195E-2</c:v>
                </c:pt>
                <c:pt idx="190">
                  <c:v>9.4338540721936467E-2</c:v>
                </c:pt>
                <c:pt idx="191">
                  <c:v>9.4819033302861969E-2</c:v>
                </c:pt>
                <c:pt idx="192">
                  <c:v>9.5299507497551547E-2</c:v>
                </c:pt>
                <c:pt idx="193">
                  <c:v>9.5779963385288214E-2</c:v>
                </c:pt>
                <c:pt idx="194">
                  <c:v>9.6260401045326308E-2</c:v>
                </c:pt>
                <c:pt idx="195">
                  <c:v>9.6740820556891607E-2</c:v>
                </c:pt>
                <c:pt idx="196">
                  <c:v>9.7221221999181484E-2</c:v>
                </c:pt>
                <c:pt idx="197">
                  <c:v>9.7701605451365039E-2</c:v>
                </c:pt>
                <c:pt idx="198">
                  <c:v>9.8181970992583203E-2</c:v>
                </c:pt>
                <c:pt idx="199">
                  <c:v>9.8662318701948928E-2</c:v>
                </c:pt>
                <c:pt idx="200">
                  <c:v>9.9142648658547244E-2</c:v>
                </c:pt>
                <c:pt idx="201">
                  <c:v>9.9622960941435468E-2</c:v>
                </c:pt>
                <c:pt idx="202">
                  <c:v>0.10010325562964328</c:v>
                </c:pt>
                <c:pt idx="203">
                  <c:v>0.10058353280217289</c:v>
                </c:pt>
                <c:pt idx="204">
                  <c:v>0.10106379253799913</c:v>
                </c:pt>
                <c:pt idx="205">
                  <c:v>0.10154403491606967</c:v>
                </c:pt>
                <c:pt idx="206">
                  <c:v>0.10202426001530503</c:v>
                </c:pt>
                <c:pt idx="207">
                  <c:v>0.10250446791459879</c:v>
                </c:pt>
                <c:pt idx="208">
                  <c:v>0.10298465869281773</c:v>
                </c:pt>
                <c:pt idx="209">
                  <c:v>0.1034648324288019</c:v>
                </c:pt>
                <c:pt idx="210">
                  <c:v>0.10394498920136482</c:v>
                </c:pt>
                <c:pt idx="211">
                  <c:v>0.10442512908929354</c:v>
                </c:pt>
                <c:pt idx="212">
                  <c:v>0.10490525217134881</c:v>
                </c:pt>
                <c:pt idx="213">
                  <c:v>0.10538535852626525</c:v>
                </c:pt>
                <c:pt idx="214">
                  <c:v>0.1058654482327514</c:v>
                </c:pt>
                <c:pt idx="215">
                  <c:v>0.1063455213694899</c:v>
                </c:pt>
                <c:pt idx="216">
                  <c:v>0.10682557801513758</c:v>
                </c:pt>
                <c:pt idx="217">
                  <c:v>0.10730561824832563</c:v>
                </c:pt>
                <c:pt idx="218">
                  <c:v>0.10778564214765975</c:v>
                </c:pt>
                <c:pt idx="219">
                  <c:v>0.10826564979172019</c:v>
                </c:pt>
                <c:pt idx="220">
                  <c:v>0.10874564125906198</c:v>
                </c:pt>
                <c:pt idx="221">
                  <c:v>0.10922561662821498</c:v>
                </c:pt>
                <c:pt idx="222">
                  <c:v>0.10970557597768404</c:v>
                </c:pt>
                <c:pt idx="223">
                  <c:v>0.11018551938594917</c:v>
                </c:pt>
                <c:pt idx="224">
                  <c:v>0.1106654469314656</c:v>
                </c:pt>
                <c:pt idx="225">
                  <c:v>0.11114535869266393</c:v>
                </c:pt>
                <c:pt idx="226">
                  <c:v>0.11162525474795028</c:v>
                </c:pt>
                <c:pt idx="227">
                  <c:v>0.1121051351757064</c:v>
                </c:pt>
                <c:pt idx="228">
                  <c:v>0.11258500005428981</c:v>
                </c:pt>
                <c:pt idx="229">
                  <c:v>0.11306484946203392</c:v>
                </c:pt>
                <c:pt idx="230">
                  <c:v>0.11354468347724815</c:v>
                </c:pt>
                <c:pt idx="231">
                  <c:v>0.11402450217821807</c:v>
                </c:pt>
                <c:pt idx="232">
                  <c:v>0.11450430564320552</c:v>
                </c:pt>
                <c:pt idx="233">
                  <c:v>0.11498409395044876</c:v>
                </c:pt>
                <c:pt idx="234">
                  <c:v>0.11546386717816257</c:v>
                </c:pt>
                <c:pt idx="235">
                  <c:v>0.11594362540453836</c:v>
                </c:pt>
                <c:pt idx="236">
                  <c:v>0.11642336870774438</c:v>
                </c:pt>
                <c:pt idx="237">
                  <c:v>0.11690309716592574</c:v>
                </c:pt>
                <c:pt idx="238">
                  <c:v>0.11738281085720463</c:v>
                </c:pt>
                <c:pt idx="239">
                  <c:v>0.11786250985968037</c:v>
                </c:pt>
                <c:pt idx="240">
                  <c:v>0.1183421942514296</c:v>
                </c:pt>
                <c:pt idx="241">
                  <c:v>0.11882186411050635</c:v>
                </c:pt>
                <c:pt idx="242">
                  <c:v>0.11930151951494224</c:v>
                </c:pt>
                <c:pt idx="243">
                  <c:v>0.11978116054274651</c:v>
                </c:pt>
                <c:pt idx="244">
                  <c:v>0.12026078727190626</c:v>
                </c:pt>
                <c:pt idx="245">
                  <c:v>0.12074039978038646</c:v>
                </c:pt>
                <c:pt idx="246">
                  <c:v>0.12121999814613017</c:v>
                </c:pt>
                <c:pt idx="247">
                  <c:v>0.1216995824470586</c:v>
                </c:pt>
                <c:pt idx="248">
                  <c:v>0.12217915276107129</c:v>
                </c:pt>
                <c:pt idx="249">
                  <c:v>0.1226587091660462</c:v>
                </c:pt>
                <c:pt idx="250">
                  <c:v>0.12313825173983983</c:v>
                </c:pt>
                <c:pt idx="251">
                  <c:v>0.1236177805602874</c:v>
                </c:pt>
                <c:pt idx="252">
                  <c:v>0.12409729570520289</c:v>
                </c:pt>
                <c:pt idx="253">
                  <c:v>0.12457679725237927</c:v>
                </c:pt>
                <c:pt idx="254">
                  <c:v>0.12505628527958854</c:v>
                </c:pt>
                <c:pt idx="255">
                  <c:v>0.12553575986458188</c:v>
                </c:pt>
                <c:pt idx="256">
                  <c:v>0.12601522108508975</c:v>
                </c:pt>
                <c:pt idx="257">
                  <c:v>0.12649466901882214</c:v>
                </c:pt>
                <c:pt idx="258">
                  <c:v>0.12697410374346851</c:v>
                </c:pt>
                <c:pt idx="259">
                  <c:v>0.12745352533669804</c:v>
                </c:pt>
                <c:pt idx="260">
                  <c:v>0.12793293387615973</c:v>
                </c:pt>
                <c:pt idx="261">
                  <c:v>0.1284123294394825</c:v>
                </c:pt>
                <c:pt idx="262">
                  <c:v>0.12889171210427533</c:v>
                </c:pt>
                <c:pt idx="263">
                  <c:v>0.12937108194812741</c:v>
                </c:pt>
                <c:pt idx="264">
                  <c:v>0.12985043904860821</c:v>
                </c:pt>
                <c:pt idx="265">
                  <c:v>0.13032978348326768</c:v>
                </c:pt>
                <c:pt idx="266">
                  <c:v>0.13080911532963627</c:v>
                </c:pt>
                <c:pt idx="267">
                  <c:v>0.13128843466522513</c:v>
                </c:pt>
                <c:pt idx="268">
                  <c:v>0.13176774156752627</c:v>
                </c:pt>
                <c:pt idx="269">
                  <c:v>0.13224703611401256</c:v>
                </c:pt>
                <c:pt idx="270">
                  <c:v>0.13272631838213797</c:v>
                </c:pt>
                <c:pt idx="271">
                  <c:v>0.13320558844933766</c:v>
                </c:pt>
                <c:pt idx="272">
                  <c:v>0.13368484639302808</c:v>
                </c:pt>
                <c:pt idx="273">
                  <c:v>0.13416409229060708</c:v>
                </c:pt>
                <c:pt idx="274">
                  <c:v>0.1346433262194541</c:v>
                </c:pt>
                <c:pt idx="275">
                  <c:v>0.13512254825693024</c:v>
                </c:pt>
                <c:pt idx="276">
                  <c:v>0.13560175848037842</c:v>
                </c:pt>
                <c:pt idx="277">
                  <c:v>0.13608095696712347</c:v>
                </c:pt>
                <c:pt idx="278">
                  <c:v>0.13656014379447226</c:v>
                </c:pt>
                <c:pt idx="279">
                  <c:v>0.13703931903971386</c:v>
                </c:pt>
                <c:pt idx="280">
                  <c:v>0.13751848278011961</c:v>
                </c:pt>
                <c:pt idx="281">
                  <c:v>0.13799763509294324</c:v>
                </c:pt>
                <c:pt idx="282">
                  <c:v>0.13847677605542111</c:v>
                </c:pt>
                <c:pt idx="283">
                  <c:v>0.13895590574477215</c:v>
                </c:pt>
                <c:pt idx="284">
                  <c:v>0.13943502423819812</c:v>
                </c:pt>
                <c:pt idx="285">
                  <c:v>0.13991413161288371</c:v>
                </c:pt>
                <c:pt idx="286">
                  <c:v>0.1403932279459966</c:v>
                </c:pt>
                <c:pt idx="287">
                  <c:v>0.14087231331468766</c:v>
                </c:pt>
                <c:pt idx="288">
                  <c:v>0.14135138779609102</c:v>
                </c:pt>
                <c:pt idx="289">
                  <c:v>0.14183045146732423</c:v>
                </c:pt>
                <c:pt idx="290">
                  <c:v>0.14230950440548834</c:v>
                </c:pt>
                <c:pt idx="291">
                  <c:v>0.14278854668766808</c:v>
                </c:pt>
                <c:pt idx="292">
                  <c:v>0.1432675783909319</c:v>
                </c:pt>
                <c:pt idx="293">
                  <c:v>0.14374659959233221</c:v>
                </c:pt>
                <c:pt idx="294">
                  <c:v>0.14422561036890538</c:v>
                </c:pt>
                <c:pt idx="295">
                  <c:v>0.14470461079767194</c:v>
                </c:pt>
                <c:pt idx="296">
                  <c:v>0.14518360095563668</c:v>
                </c:pt>
                <c:pt idx="297">
                  <c:v>0.14566258091978876</c:v>
                </c:pt>
                <c:pt idx="298">
                  <c:v>0.14614155076710186</c:v>
                </c:pt>
                <c:pt idx="299">
                  <c:v>0.14662051057453429</c:v>
                </c:pt>
                <c:pt idx="300">
                  <c:v>0.14709946041902908</c:v>
                </c:pt>
                <c:pt idx="301">
                  <c:v>0.14757840037751416</c:v>
                </c:pt>
                <c:pt idx="302">
                  <c:v>0.14805733052690243</c:v>
                </c:pt>
                <c:pt idx="303">
                  <c:v>0.1485362509440919</c:v>
                </c:pt>
                <c:pt idx="304">
                  <c:v>0.14901516170596582</c:v>
                </c:pt>
                <c:pt idx="305">
                  <c:v>0.14949406288939285</c:v>
                </c:pt>
                <c:pt idx="306">
                  <c:v>0.14997295457122703</c:v>
                </c:pt>
                <c:pt idx="307">
                  <c:v>0.15045183682830809</c:v>
                </c:pt>
                <c:pt idx="308">
                  <c:v>0.15093070973746142</c:v>
                </c:pt>
                <c:pt idx="309">
                  <c:v>0.15140957337549829</c:v>
                </c:pt>
                <c:pt idx="310">
                  <c:v>0.15188842781921594</c:v>
                </c:pt>
                <c:pt idx="311">
                  <c:v>0.15236727314539766</c:v>
                </c:pt>
                <c:pt idx="312">
                  <c:v>0.15284610943081298</c:v>
                </c:pt>
                <c:pt idx="313">
                  <c:v>0.15332493675221773</c:v>
                </c:pt>
                <c:pt idx="314">
                  <c:v>0.1538037551863542</c:v>
                </c:pt>
                <c:pt idx="315">
                  <c:v>0.15428256480995126</c:v>
                </c:pt>
                <c:pt idx="316">
                  <c:v>0.15476136569972448</c:v>
                </c:pt>
                <c:pt idx="317">
                  <c:v>0.15524015793237622</c:v>
                </c:pt>
                <c:pt idx="318">
                  <c:v>0.15571894158459579</c:v>
                </c:pt>
                <c:pt idx="319">
                  <c:v>0.15619771673305954</c:v>
                </c:pt>
                <c:pt idx="320">
                  <c:v>0.156676483454431</c:v>
                </c:pt>
                <c:pt idx="321">
                  <c:v>0.157155241825361</c:v>
                </c:pt>
                <c:pt idx="322">
                  <c:v>0.15763399192248781</c:v>
                </c:pt>
                <c:pt idx="323">
                  <c:v>0.15811273382243718</c:v>
                </c:pt>
                <c:pt idx="324">
                  <c:v>0.15859146760182258</c:v>
                </c:pt>
                <c:pt idx="325">
                  <c:v>0.1590701933372452</c:v>
                </c:pt>
                <c:pt idx="326">
                  <c:v>0.15954891110529421</c:v>
                </c:pt>
                <c:pt idx="327">
                  <c:v>0.16002762098254672</c:v>
                </c:pt>
                <c:pt idx="328">
                  <c:v>0.160506323045568</c:v>
                </c:pt>
                <c:pt idx="329">
                  <c:v>0.16098501737091162</c:v>
                </c:pt>
                <c:pt idx="330">
                  <c:v>0.16146370403511948</c:v>
                </c:pt>
                <c:pt idx="331">
                  <c:v>0.161942383114722</c:v>
                </c:pt>
                <c:pt idx="332">
                  <c:v>0.16242105468623821</c:v>
                </c:pt>
                <c:pt idx="333">
                  <c:v>0.16289971882617593</c:v>
                </c:pt>
                <c:pt idx="334">
                  <c:v>0.1633783756110318</c:v>
                </c:pt>
                <c:pt idx="335">
                  <c:v>0.16385702511729142</c:v>
                </c:pt>
                <c:pt idx="336">
                  <c:v>0.16433566742142955</c:v>
                </c:pt>
                <c:pt idx="337">
                  <c:v>0.16481430259991012</c:v>
                </c:pt>
                <c:pt idx="338">
                  <c:v>0.16529293072918641</c:v>
                </c:pt>
                <c:pt idx="339">
                  <c:v>0.16577155188570122</c:v>
                </c:pt>
                <c:pt idx="340">
                  <c:v>0.16625016614588686</c:v>
                </c:pt>
                <c:pt idx="341">
                  <c:v>0.16672877358616536</c:v>
                </c:pt>
                <c:pt idx="342">
                  <c:v>0.16720737428294857</c:v>
                </c:pt>
                <c:pt idx="343">
                  <c:v>0.16768596831263829</c:v>
                </c:pt>
                <c:pt idx="344">
                  <c:v>0.16816455575162639</c:v>
                </c:pt>
                <c:pt idx="345">
                  <c:v>0.16864313667629491</c:v>
                </c:pt>
                <c:pt idx="346">
                  <c:v>0.16912171116301616</c:v>
                </c:pt>
                <c:pt idx="347">
                  <c:v>0.16960027928815291</c:v>
                </c:pt>
                <c:pt idx="348">
                  <c:v>0.17007884112805846</c:v>
                </c:pt>
                <c:pt idx="349">
                  <c:v>0.17055739675907675</c:v>
                </c:pt>
                <c:pt idx="350">
                  <c:v>0.17103594625754251</c:v>
                </c:pt>
                <c:pt idx="351">
                  <c:v>0.17151448969978136</c:v>
                </c:pt>
                <c:pt idx="352">
                  <c:v>0.17199302716210996</c:v>
                </c:pt>
                <c:pt idx="353">
                  <c:v>0.17247155872083608</c:v>
                </c:pt>
                <c:pt idx="354">
                  <c:v>0.17295008445225873</c:v>
                </c:pt>
                <c:pt idx="355">
                  <c:v>0.17342860443266833</c:v>
                </c:pt>
                <c:pt idx="356">
                  <c:v>0.1739071187383468</c:v>
                </c:pt>
                <c:pt idx="357">
                  <c:v>0.1743856274455676</c:v>
                </c:pt>
                <c:pt idx="358">
                  <c:v>0.174864130630596</c:v>
                </c:pt>
                <c:pt idx="359">
                  <c:v>0.17534262836968909</c:v>
                </c:pt>
                <c:pt idx="360">
                  <c:v>0.17582112073909592</c:v>
                </c:pt>
                <c:pt idx="361">
                  <c:v>0.17629960781505766</c:v>
                </c:pt>
                <c:pt idx="362">
                  <c:v>0.17677808967380765</c:v>
                </c:pt>
                <c:pt idx="363">
                  <c:v>0.17725656639157159</c:v>
                </c:pt>
                <c:pt idx="364">
                  <c:v>0.17773503804456758</c:v>
                </c:pt>
                <c:pt idx="365">
                  <c:v>0.17821350470900635</c:v>
                </c:pt>
                <c:pt idx="366">
                  <c:v>0.17869196646109123</c:v>
                </c:pt>
                <c:pt idx="367">
                  <c:v>0.17917042337701844</c:v>
                </c:pt>
                <c:pt idx="368">
                  <c:v>0.17964887553297704</c:v>
                </c:pt>
                <c:pt idx="369">
                  <c:v>0.18012732300514919</c:v>
                </c:pt>
                <c:pt idx="370">
                  <c:v>0.18060576586971019</c:v>
                </c:pt>
                <c:pt idx="371">
                  <c:v>0.18108420420282861</c:v>
                </c:pt>
                <c:pt idx="372">
                  <c:v>0.18156263808066642</c:v>
                </c:pt>
                <c:pt idx="373">
                  <c:v>0.1820410675793791</c:v>
                </c:pt>
                <c:pt idx="374">
                  <c:v>0.18251949277511578</c:v>
                </c:pt>
                <c:pt idx="375">
                  <c:v>0.1829979137440193</c:v>
                </c:pt>
                <c:pt idx="376">
                  <c:v>0.18347633056222643</c:v>
                </c:pt>
                <c:pt idx="377">
                  <c:v>0.18395474330586789</c:v>
                </c:pt>
                <c:pt idx="378">
                  <c:v>0.1844331520510685</c:v>
                </c:pt>
                <c:pt idx="379">
                  <c:v>0.18491155687394734</c:v>
                </c:pt>
                <c:pt idx="380">
                  <c:v>0.18538995785061779</c:v>
                </c:pt>
                <c:pt idx="381">
                  <c:v>0.18586835505718774</c:v>
                </c:pt>
                <c:pt idx="382">
                  <c:v>0.18634674856975963</c:v>
                </c:pt>
                <c:pt idx="383">
                  <c:v>0.18682513846443063</c:v>
                </c:pt>
                <c:pt idx="384">
                  <c:v>0.18730352481729268</c:v>
                </c:pt>
                <c:pt idx="385">
                  <c:v>0.1877819077044327</c:v>
                </c:pt>
                <c:pt idx="386">
                  <c:v>0.18826028720193264</c:v>
                </c:pt>
                <c:pt idx="387">
                  <c:v>0.18873866338586964</c:v>
                </c:pt>
                <c:pt idx="388">
                  <c:v>0.18921703633231612</c:v>
                </c:pt>
                <c:pt idx="389">
                  <c:v>0.18969540611733993</c:v>
                </c:pt>
                <c:pt idx="390">
                  <c:v>0.1901737728170044</c:v>
                </c:pt>
                <c:pt idx="391">
                  <c:v>0.19065213650736856</c:v>
                </c:pt>
                <c:pt idx="392">
                  <c:v>0.19113049726448716</c:v>
                </c:pt>
                <c:pt idx="393">
                  <c:v>0.1916088551644109</c:v>
                </c:pt>
                <c:pt idx="394">
                  <c:v>0.1920872102831864</c:v>
                </c:pt>
                <c:pt idx="395">
                  <c:v>0.19256556269685643</c:v>
                </c:pt>
                <c:pt idx="396">
                  <c:v>0.19304391248146002</c:v>
                </c:pt>
                <c:pt idx="397">
                  <c:v>0.19352225971303255</c:v>
                </c:pt>
                <c:pt idx="398">
                  <c:v>0.19400060446760586</c:v>
                </c:pt>
                <c:pt idx="399">
                  <c:v>0.19447894682120836</c:v>
                </c:pt>
                <c:pt idx="400">
                  <c:v>0.19495728684986521</c:v>
                </c:pt>
                <c:pt idx="401">
                  <c:v>0.1954356246295984</c:v>
                </c:pt>
                <c:pt idx="402">
                  <c:v>0.19591396023642685</c:v>
                </c:pt>
                <c:pt idx="403">
                  <c:v>0.19639229374636652</c:v>
                </c:pt>
                <c:pt idx="404">
                  <c:v>0.19687062523543059</c:v>
                </c:pt>
                <c:pt idx="405">
                  <c:v>0.19734895477962952</c:v>
                </c:pt>
                <c:pt idx="406">
                  <c:v>0.19782728245497119</c:v>
                </c:pt>
                <c:pt idx="407">
                  <c:v>0.19830560833746103</c:v>
                </c:pt>
                <c:pt idx="408">
                  <c:v>0.19878393250310211</c:v>
                </c:pt>
                <c:pt idx="409">
                  <c:v>0.1992622550278953</c:v>
                </c:pt>
                <c:pt idx="410">
                  <c:v>0.19974057598783931</c:v>
                </c:pt>
                <c:pt idx="411">
                  <c:v>0.20021889545893093</c:v>
                </c:pt>
                <c:pt idx="412">
                  <c:v>0.20069721351716502</c:v>
                </c:pt>
                <c:pt idx="413">
                  <c:v>0.20117553023853468</c:v>
                </c:pt>
                <c:pt idx="414">
                  <c:v>0.20165384569903141</c:v>
                </c:pt>
                <c:pt idx="415">
                  <c:v>0.20213215997464518</c:v>
                </c:pt>
                <c:pt idx="416">
                  <c:v>0.20261047314136452</c:v>
                </c:pt>
                <c:pt idx="417">
                  <c:v>0.20308878527517674</c:v>
                </c:pt>
                <c:pt idx="418">
                  <c:v>0.20356709645206794</c:v>
                </c:pt>
                <c:pt idx="419">
                  <c:v>0.20404540674802321</c:v>
                </c:pt>
                <c:pt idx="420">
                  <c:v>0.20452371623902668</c:v>
                </c:pt>
                <c:pt idx="421">
                  <c:v>0.20500202500106166</c:v>
                </c:pt>
                <c:pt idx="422">
                  <c:v>0.20548033311011077</c:v>
                </c:pt>
                <c:pt idx="423">
                  <c:v>0.2059586406421561</c:v>
                </c:pt>
                <c:pt idx="424">
                  <c:v>0.20643694767317924</c:v>
                </c:pt>
                <c:pt idx="425">
                  <c:v>0.20691525427916144</c:v>
                </c:pt>
                <c:pt idx="426">
                  <c:v>0.20739356053608374</c:v>
                </c:pt>
                <c:pt idx="427">
                  <c:v>0.20787186651992706</c:v>
                </c:pt>
                <c:pt idx="428">
                  <c:v>0.20835017230667235</c:v>
                </c:pt>
                <c:pt idx="429">
                  <c:v>0.20882847797230072</c:v>
                </c:pt>
                <c:pt idx="430">
                  <c:v>0.20930678359279348</c:v>
                </c:pt>
                <c:pt idx="431">
                  <c:v>0.20978508924413231</c:v>
                </c:pt>
                <c:pt idx="432">
                  <c:v>0.2102633950022994</c:v>
                </c:pt>
                <c:pt idx="433">
                  <c:v>0.21074170094327757</c:v>
                </c:pt>
                <c:pt idx="434">
                  <c:v>0.21122000714305031</c:v>
                </c:pt>
                <c:pt idx="435">
                  <c:v>0.21169831367760197</c:v>
                </c:pt>
                <c:pt idx="436">
                  <c:v>0.21217662062291787</c:v>
                </c:pt>
                <c:pt idx="437">
                  <c:v>0.21265492805498434</c:v>
                </c:pt>
                <c:pt idx="438">
                  <c:v>0.21313323604978901</c:v>
                </c:pt>
                <c:pt idx="439">
                  <c:v>0.21361154468332075</c:v>
                </c:pt>
                <c:pt idx="440">
                  <c:v>0.21408985403156988</c:v>
                </c:pt>
                <c:pt idx="441">
                  <c:v>0.21456816417052829</c:v>
                </c:pt>
                <c:pt idx="442">
                  <c:v>0.21504647517618949</c:v>
                </c:pt>
                <c:pt idx="443">
                  <c:v>0.21552478712454878</c:v>
                </c:pt>
                <c:pt idx="444">
                  <c:v>0.21600310009160339</c:v>
                </c:pt>
                <c:pt idx="445">
                  <c:v>0.21648141415335259</c:v>
                </c:pt>
                <c:pt idx="446">
                  <c:v>0.21695972938579772</c:v>
                </c:pt>
                <c:pt idx="447">
                  <c:v>0.21743804586494242</c:v>
                </c:pt>
                <c:pt idx="448">
                  <c:v>0.21791636366679268</c:v>
                </c:pt>
                <c:pt idx="449">
                  <c:v>0.21839468286735703</c:v>
                </c:pt>
                <c:pt idx="450">
                  <c:v>0.21887300354264655</c:v>
                </c:pt>
                <c:pt idx="451">
                  <c:v>0.21935132576867508</c:v>
                </c:pt>
                <c:pt idx="452">
                  <c:v>0.21982964962145932</c:v>
                </c:pt>
                <c:pt idx="453">
                  <c:v>0.22030797517701892</c:v>
                </c:pt>
                <c:pt idx="454">
                  <c:v>0.2207863025113766</c:v>
                </c:pt>
                <c:pt idx="455">
                  <c:v>0.22126463170055827</c:v>
                </c:pt>
                <c:pt idx="456">
                  <c:v>0.22174296282059319</c:v>
                </c:pt>
                <c:pt idx="457">
                  <c:v>0.22222129594751408</c:v>
                </c:pt>
                <c:pt idx="458">
                  <c:v>0.22269963115735716</c:v>
                </c:pt>
                <c:pt idx="459">
                  <c:v>0.22317796852616234</c:v>
                </c:pt>
                <c:pt idx="460">
                  <c:v>0.22365630812997334</c:v>
                </c:pt>
                <c:pt idx="461">
                  <c:v>0.22413465004483776</c:v>
                </c:pt>
                <c:pt idx="462">
                  <c:v>0.22461299434680726</c:v>
                </c:pt>
                <c:pt idx="463">
                  <c:v>0.22509134111193763</c:v>
                </c:pt>
                <c:pt idx="464">
                  <c:v>0.22556969041628894</c:v>
                </c:pt>
                <c:pt idx="465">
                  <c:v>0.22604804233592563</c:v>
                </c:pt>
                <c:pt idx="466">
                  <c:v>0.22652639694691662</c:v>
                </c:pt>
                <c:pt idx="467">
                  <c:v>0.22700475432533551</c:v>
                </c:pt>
                <c:pt idx="468">
                  <c:v>0.22748311454726058</c:v>
                </c:pt>
                <c:pt idx="469">
                  <c:v>0.22796147768877498</c:v>
                </c:pt>
                <c:pt idx="470">
                  <c:v>0.22843984382596685</c:v>
                </c:pt>
                <c:pt idx="471">
                  <c:v>0.22891821303492943</c:v>
                </c:pt>
                <c:pt idx="472">
                  <c:v>0.22939658539176114</c:v>
                </c:pt>
                <c:pt idx="473">
                  <c:v>0.22987496097256577</c:v>
                </c:pt>
                <c:pt idx="474">
                  <c:v>0.23035333985345252</c:v>
                </c:pt>
                <c:pt idx="475">
                  <c:v>0.23083172211053621</c:v>
                </c:pt>
                <c:pt idx="476">
                  <c:v>0.23131010781993727</c:v>
                </c:pt>
                <c:pt idx="477">
                  <c:v>0.23178849705778201</c:v>
                </c:pt>
                <c:pt idx="478">
                  <c:v>0.23226688990020264</c:v>
                </c:pt>
                <c:pt idx="479">
                  <c:v>0.23274528642333736</c:v>
                </c:pt>
                <c:pt idx="480">
                  <c:v>0.23322368670333063</c:v>
                </c:pt>
                <c:pt idx="481">
                  <c:v>0.23370209081633309</c:v>
                </c:pt>
                <c:pt idx="482">
                  <c:v>0.23418049883850184</c:v>
                </c:pt>
                <c:pt idx="483">
                  <c:v>0.23465891084600049</c:v>
                </c:pt>
                <c:pt idx="484">
                  <c:v>0.23513732691499925</c:v>
                </c:pt>
                <c:pt idx="485">
                  <c:v>0.23561574712167513</c:v>
                </c:pt>
                <c:pt idx="486">
                  <c:v>0.23609417154221199</c:v>
                </c:pt>
                <c:pt idx="487">
                  <c:v>0.23657260025280069</c:v>
                </c:pt>
                <c:pt idx="488">
                  <c:v>0.2370510333296392</c:v>
                </c:pt>
                <c:pt idx="489">
                  <c:v>0.23752947084893269</c:v>
                </c:pt>
                <c:pt idx="490">
                  <c:v>0.23800791288689374</c:v>
                </c:pt>
                <c:pt idx="491">
                  <c:v>0.23848635951974234</c:v>
                </c:pt>
                <c:pt idx="492">
                  <c:v>0.2389648108237061</c:v>
                </c:pt>
                <c:pt idx="493">
                  <c:v>0.23944326687502032</c:v>
                </c:pt>
                <c:pt idx="494">
                  <c:v>0.23992172774992815</c:v>
                </c:pt>
                <c:pt idx="495">
                  <c:v>0.24040019352468067</c:v>
                </c:pt>
                <c:pt idx="496">
                  <c:v>0.240878664275537</c:v>
                </c:pt>
                <c:pt idx="497">
                  <c:v>0.24135714007876449</c:v>
                </c:pt>
                <c:pt idx="498">
                  <c:v>0.24183562101063874</c:v>
                </c:pt>
                <c:pt idx="499">
                  <c:v>0.24231410714744381</c:v>
                </c:pt>
                <c:pt idx="500">
                  <c:v>0.24279259856547231</c:v>
                </c:pt>
                <c:pt idx="501">
                  <c:v>0.24327109534102545</c:v>
                </c:pt>
                <c:pt idx="502">
                  <c:v>0.24374959755041328</c:v>
                </c:pt>
                <c:pt idx="503">
                  <c:v>0.24422810526995473</c:v>
                </c:pt>
                <c:pt idx="504">
                  <c:v>0.24470661857597772</c:v>
                </c:pt>
                <c:pt idx="505">
                  <c:v>0.24518513754481938</c:v>
                </c:pt>
                <c:pt idx="506">
                  <c:v>0.24566366225282601</c:v>
                </c:pt>
                <c:pt idx="507">
                  <c:v>0.24614219277635335</c:v>
                </c:pt>
                <c:pt idx="508">
                  <c:v>0.24662072919176659</c:v>
                </c:pt>
                <c:pt idx="509">
                  <c:v>0.24709927157544057</c:v>
                </c:pt>
                <c:pt idx="510">
                  <c:v>0.24757782000375986</c:v>
                </c:pt>
                <c:pt idx="511">
                  <c:v>0.24805637455311888</c:v>
                </c:pt>
                <c:pt idx="512">
                  <c:v>0.24853493529992204</c:v>
                </c:pt>
                <c:pt idx="513">
                  <c:v>0.24901350232058381</c:v>
                </c:pt>
                <c:pt idx="514">
                  <c:v>0.2494920756915289</c:v>
                </c:pt>
                <c:pt idx="515">
                  <c:v>0.24997065548919237</c:v>
                </c:pt>
                <c:pt idx="516">
                  <c:v>0.25044924179001971</c:v>
                </c:pt>
                <c:pt idx="517">
                  <c:v>0.25092783467046698</c:v>
                </c:pt>
                <c:pt idx="518">
                  <c:v>0.25140643420700098</c:v>
                </c:pt>
                <c:pt idx="519">
                  <c:v>0.25188504047609928</c:v>
                </c:pt>
                <c:pt idx="520">
                  <c:v>0.25236365355425039</c:v>
                </c:pt>
                <c:pt idx="521">
                  <c:v>0.25284227351795391</c:v>
                </c:pt>
                <c:pt idx="522">
                  <c:v>0.25332090044372058</c:v>
                </c:pt>
                <c:pt idx="523">
                  <c:v>0.25379953440807246</c:v>
                </c:pt>
                <c:pt idx="524">
                  <c:v>0.254278175487543</c:v>
                </c:pt>
                <c:pt idx="525">
                  <c:v>0.2547568237586772</c:v>
                </c:pt>
                <c:pt idx="526">
                  <c:v>0.2552354792980317</c:v>
                </c:pt>
                <c:pt idx="527">
                  <c:v>0.25571414218217497</c:v>
                </c:pt>
                <c:pt idx="528">
                  <c:v>0.25619281248768738</c:v>
                </c:pt>
                <c:pt idx="529">
                  <c:v>0.25667149029116121</c:v>
                </c:pt>
                <c:pt idx="530">
                  <c:v>0.25715017566920101</c:v>
                </c:pt>
                <c:pt idx="531">
                  <c:v>0.2576288686984235</c:v>
                </c:pt>
                <c:pt idx="532">
                  <c:v>0.25810756945545782</c:v>
                </c:pt>
                <c:pt idx="533">
                  <c:v>0.25858627801694567</c:v>
                </c:pt>
                <c:pt idx="534">
                  <c:v>0.25906499445954123</c:v>
                </c:pt>
                <c:pt idx="535">
                  <c:v>0.25954371885991157</c:v>
                </c:pt>
                <c:pt idx="536">
                  <c:v>0.2600224512947365</c:v>
                </c:pt>
                <c:pt idx="537">
                  <c:v>0.26050119184070897</c:v>
                </c:pt>
                <c:pt idx="538">
                  <c:v>0.26097994057453489</c:v>
                </c:pt>
                <c:pt idx="539">
                  <c:v>0.26145869757293344</c:v>
                </c:pt>
                <c:pt idx="540">
                  <c:v>0.2619374629126372</c:v>
                </c:pt>
                <c:pt idx="541">
                  <c:v>0.26241623667039216</c:v>
                </c:pt>
                <c:pt idx="542">
                  <c:v>0.26289501892295791</c:v>
                </c:pt>
                <c:pt idx="543">
                  <c:v>0.26337380974710778</c:v>
                </c:pt>
                <c:pt idx="544">
                  <c:v>0.26385260921962894</c:v>
                </c:pt>
                <c:pt idx="545">
                  <c:v>0.26433141741732252</c:v>
                </c:pt>
                <c:pt idx="546">
                  <c:v>0.26481023441700369</c:v>
                </c:pt>
                <c:pt idx="547">
                  <c:v>0.26528906029550181</c:v>
                </c:pt>
                <c:pt idx="548">
                  <c:v>0.26576789512966065</c:v>
                </c:pt>
                <c:pt idx="549">
                  <c:v>0.26624673899633833</c:v>
                </c:pt>
                <c:pt idx="550">
                  <c:v>0.26672559197240758</c:v>
                </c:pt>
                <c:pt idx="551">
                  <c:v>0.2672044541347558</c:v>
                </c:pt>
                <c:pt idx="552">
                  <c:v>0.26768332556028523</c:v>
                </c:pt>
                <c:pt idx="553">
                  <c:v>0.26816220632591298</c:v>
                </c:pt>
                <c:pt idx="554">
                  <c:v>0.26864109650857126</c:v>
                </c:pt>
                <c:pt idx="555">
                  <c:v>0.26911999618520749</c:v>
                </c:pt>
                <c:pt idx="556">
                  <c:v>0.26959890543278431</c:v>
                </c:pt>
                <c:pt idx="557">
                  <c:v>0.27007782432827981</c:v>
                </c:pt>
                <c:pt idx="558">
                  <c:v>0.27055675294868764</c:v>
                </c:pt>
                <c:pt idx="559">
                  <c:v>0.27103569137101707</c:v>
                </c:pt>
                <c:pt idx="560">
                  <c:v>0.27151463967229322</c:v>
                </c:pt>
                <c:pt idx="561">
                  <c:v>0.27199359792955707</c:v>
                </c:pt>
                <c:pt idx="562">
                  <c:v>0.27247256621986565</c:v>
                </c:pt>
                <c:pt idx="563">
                  <c:v>0.27295154462029214</c:v>
                </c:pt>
                <c:pt idx="564">
                  <c:v>0.27343053320792599</c:v>
                </c:pt>
                <c:pt idx="565">
                  <c:v>0.27390953205987306</c:v>
                </c:pt>
                <c:pt idx="566">
                  <c:v>0.27438854125325579</c:v>
                </c:pt>
                <c:pt idx="567">
                  <c:v>0.27486756086521313</c:v>
                </c:pt>
                <c:pt idx="568">
                  <c:v>0.27534659097290093</c:v>
                </c:pt>
                <c:pt idx="569">
                  <c:v>0.27582563165349189</c:v>
                </c:pt>
                <c:pt idx="570">
                  <c:v>0.27630468298417571</c:v>
                </c:pt>
                <c:pt idx="571">
                  <c:v>0.27678374504215925</c:v>
                </c:pt>
                <c:pt idx="572">
                  <c:v>0.27726281790466661</c:v>
                </c:pt>
                <c:pt idx="573">
                  <c:v>0.27774190164893925</c:v>
                </c:pt>
                <c:pt idx="574">
                  <c:v>0.27822099635223624</c:v>
                </c:pt>
                <c:pt idx="575">
                  <c:v>0.27870010209183416</c:v>
                </c:pt>
                <c:pt idx="576">
                  <c:v>0.27917921894502745</c:v>
                </c:pt>
                <c:pt idx="577">
                  <c:v>0.27965834698912839</c:v>
                </c:pt>
                <c:pt idx="578">
                  <c:v>0.28013748630146723</c:v>
                </c:pt>
                <c:pt idx="579">
                  <c:v>0.28061663695939243</c:v>
                </c:pt>
                <c:pt idx="580">
                  <c:v>0.2810957990402706</c:v>
                </c:pt>
                <c:pt idx="581">
                  <c:v>0.28157497262148679</c:v>
                </c:pt>
                <c:pt idx="582">
                  <c:v>0.28205415778044451</c:v>
                </c:pt>
                <c:pt idx="583">
                  <c:v>0.28253335459456597</c:v>
                </c:pt>
                <c:pt idx="584">
                  <c:v>0.28301256314129208</c:v>
                </c:pt>
                <c:pt idx="585">
                  <c:v>0.28349178349808263</c:v>
                </c:pt>
                <c:pt idx="586">
                  <c:v>0.28397101574241634</c:v>
                </c:pt>
                <c:pt idx="587">
                  <c:v>0.28445025995179118</c:v>
                </c:pt>
                <c:pt idx="588">
                  <c:v>0.28492951620372425</c:v>
                </c:pt>
                <c:pt idx="589">
                  <c:v>0.28540878457575214</c:v>
                </c:pt>
                <c:pt idx="590">
                  <c:v>0.2858880651454308</c:v>
                </c:pt>
                <c:pt idx="591">
                  <c:v>0.28636735799033591</c:v>
                </c:pt>
                <c:pt idx="592">
                  <c:v>0.28684666318806284</c:v>
                </c:pt>
                <c:pt idx="593">
                  <c:v>0.2873259808162269</c:v>
                </c:pt>
                <c:pt idx="594">
                  <c:v>0.28780531095246326</c:v>
                </c:pt>
                <c:pt idx="595">
                  <c:v>0.28828465367442735</c:v>
                </c:pt>
                <c:pt idx="596">
                  <c:v>0.28876400905979477</c:v>
                </c:pt>
                <c:pt idx="597">
                  <c:v>0.28924337718626153</c:v>
                </c:pt>
                <c:pt idx="598">
                  <c:v>0.28972275813154413</c:v>
                </c:pt>
                <c:pt idx="599">
                  <c:v>0.29020215197337967</c:v>
                </c:pt>
                <c:pt idx="600">
                  <c:v>0.29068155878952606</c:v>
                </c:pt>
                <c:pt idx="601">
                  <c:v>0.29116097865776197</c:v>
                </c:pt>
                <c:pt idx="602">
                  <c:v>0.29164041165588722</c:v>
                </c:pt>
                <c:pt idx="603">
                  <c:v>0.29211985786172262</c:v>
                </c:pt>
                <c:pt idx="604">
                  <c:v>0.29259931735311034</c:v>
                </c:pt>
                <c:pt idx="605">
                  <c:v>0.29307879020791383</c:v>
                </c:pt>
                <c:pt idx="606">
                  <c:v>0.29355827650401811</c:v>
                </c:pt>
                <c:pt idx="607">
                  <c:v>0.29403777631932987</c:v>
                </c:pt>
                <c:pt idx="608">
                  <c:v>0.29451728973177743</c:v>
                </c:pt>
                <c:pt idx="609">
                  <c:v>0.29499681681931111</c:v>
                </c:pt>
                <c:pt idx="610">
                  <c:v>0.29547635765990321</c:v>
                </c:pt>
                <c:pt idx="611">
                  <c:v>0.29595591233154817</c:v>
                </c:pt>
                <c:pt idx="612">
                  <c:v>0.29643548091226268</c:v>
                </c:pt>
                <c:pt idx="613">
                  <c:v>0.29691506348008584</c:v>
                </c:pt>
                <c:pt idx="614">
                  <c:v>0.29739466011307919</c:v>
                </c:pt>
                <c:pt idx="615">
                  <c:v>0.29787427088932705</c:v>
                </c:pt>
                <c:pt idx="616">
                  <c:v>0.29835389588693639</c:v>
                </c:pt>
                <c:pt idx="617">
                  <c:v>0.29883353518403721</c:v>
                </c:pt>
                <c:pt idx="618">
                  <c:v>0.29931318885878239</c:v>
                </c:pt>
                <c:pt idx="619">
                  <c:v>0.2997928569893481</c:v>
                </c:pt>
                <c:pt idx="620">
                  <c:v>0.30027253965393369</c:v>
                </c:pt>
                <c:pt idx="621">
                  <c:v>0.30075223693076197</c:v>
                </c:pt>
                <c:pt idx="622">
                  <c:v>0.3012319488980793</c:v>
                </c:pt>
                <c:pt idx="623">
                  <c:v>0.30171167563415563</c:v>
                </c:pt>
                <c:pt idx="624">
                  <c:v>0.30219141721728482</c:v>
                </c:pt>
                <c:pt idx="625">
                  <c:v>0.30267117372578456</c:v>
                </c:pt>
                <c:pt idx="626">
                  <c:v>0.30315094523799668</c:v>
                </c:pt>
                <c:pt idx="627">
                  <c:v>0.30363073183228706</c:v>
                </c:pt>
                <c:pt idx="628">
                  <c:v>0.30411053358704604</c:v>
                </c:pt>
                <c:pt idx="629">
                  <c:v>0.30459035058068828</c:v>
                </c:pt>
                <c:pt idx="630">
                  <c:v>0.30507018289165305</c:v>
                </c:pt>
                <c:pt idx="631">
                  <c:v>0.3055500305984043</c:v>
                </c:pt>
                <c:pt idx="632">
                  <c:v>0.30602989377943079</c:v>
                </c:pt>
                <c:pt idx="633">
                  <c:v>0.30650977251324629</c:v>
                </c:pt>
                <c:pt idx="634">
                  <c:v>0.30698966687838958</c:v>
                </c:pt>
                <c:pt idx="635">
                  <c:v>0.30746957695342469</c:v>
                </c:pt>
                <c:pt idx="636">
                  <c:v>0.307949502816941</c:v>
                </c:pt>
                <c:pt idx="637">
                  <c:v>0.30842944454755333</c:v>
                </c:pt>
                <c:pt idx="638">
                  <c:v>0.30890940222390206</c:v>
                </c:pt>
                <c:pt idx="639">
                  <c:v>0.30938937592465343</c:v>
                </c:pt>
                <c:pt idx="640">
                  <c:v>0.30986936572849938</c:v>
                </c:pt>
                <c:pt idx="641">
                  <c:v>0.310349371714158</c:v>
                </c:pt>
                <c:pt idx="642">
                  <c:v>0.31082939396037335</c:v>
                </c:pt>
                <c:pt idx="643">
                  <c:v>0.31130943254591581</c:v>
                </c:pt>
                <c:pt idx="644">
                  <c:v>0.31178948754958208</c:v>
                </c:pt>
                <c:pt idx="645">
                  <c:v>0.31226955905019549</c:v>
                </c:pt>
                <c:pt idx="646">
                  <c:v>0.31274964712660591</c:v>
                </c:pt>
                <c:pt idx="647">
                  <c:v>0.31322975185768998</c:v>
                </c:pt>
                <c:pt idx="648">
                  <c:v>0.31370987332235128</c:v>
                </c:pt>
                <c:pt idx="649">
                  <c:v>0.31419001159952042</c:v>
                </c:pt>
                <c:pt idx="650">
                  <c:v>0.31467016676815512</c:v>
                </c:pt>
                <c:pt idx="651">
                  <c:v>0.31515033890724048</c:v>
                </c:pt>
                <c:pt idx="652">
                  <c:v>0.31563052809578895</c:v>
                </c:pt>
                <c:pt idx="653">
                  <c:v>0.31611073441284054</c:v>
                </c:pt>
                <c:pt idx="654">
                  <c:v>0.316590957937463</c:v>
                </c:pt>
                <c:pt idx="655">
                  <c:v>0.31707119874875184</c:v>
                </c:pt>
                <c:pt idx="656">
                  <c:v>0.31755145692583053</c:v>
                </c:pt>
                <c:pt idx="657">
                  <c:v>0.31803173254785072</c:v>
                </c:pt>
                <c:pt idx="658">
                  <c:v>0.31851202569399212</c:v>
                </c:pt>
                <c:pt idx="659">
                  <c:v>0.31899233644346286</c:v>
                </c:pt>
                <c:pt idx="660">
                  <c:v>0.31947266487549963</c:v>
                </c:pt>
                <c:pt idx="661">
                  <c:v>0.31995301106936758</c:v>
                </c:pt>
                <c:pt idx="662">
                  <c:v>0.32043337510436071</c:v>
                </c:pt>
                <c:pt idx="663">
                  <c:v>0.3209137570598018</c:v>
                </c:pt>
                <c:pt idx="664">
                  <c:v>0.32139415701504276</c:v>
                </c:pt>
                <c:pt idx="665">
                  <c:v>0.32187457504946454</c:v>
                </c:pt>
                <c:pt idx="666">
                  <c:v>0.32235501124247745</c:v>
                </c:pt>
                <c:pt idx="667">
                  <c:v>0.32283546567352112</c:v>
                </c:pt>
                <c:pt idx="668">
                  <c:v>0.32331593842206474</c:v>
                </c:pt>
                <c:pt idx="669">
                  <c:v>0.32379642956760729</c:v>
                </c:pt>
                <c:pt idx="670">
                  <c:v>0.32427693918967737</c:v>
                </c:pt>
                <c:pt idx="671">
                  <c:v>0.32475746736783367</c:v>
                </c:pt>
                <c:pt idx="672">
                  <c:v>0.32523801418166487</c:v>
                </c:pt>
                <c:pt idx="673">
                  <c:v>0.32571857971078993</c:v>
                </c:pt>
                <c:pt idx="674">
                  <c:v>0.3261991640348581</c:v>
                </c:pt>
                <c:pt idx="675">
                  <c:v>0.32667976723354913</c:v>
                </c:pt>
                <c:pt idx="676">
                  <c:v>0.32716038938657332</c:v>
                </c:pt>
                <c:pt idx="677">
                  <c:v>0.32764103057367183</c:v>
                </c:pt>
                <c:pt idx="678">
                  <c:v>0.32812169087461662</c:v>
                </c:pt>
                <c:pt idx="679">
                  <c:v>0.32860237036921069</c:v>
                </c:pt>
                <c:pt idx="680">
                  <c:v>0.32908306913728819</c:v>
                </c:pt>
                <c:pt idx="681">
                  <c:v>0.32956378725871449</c:v>
                </c:pt>
                <c:pt idx="682">
                  <c:v>0.33004452481338653</c:v>
                </c:pt>
                <c:pt idx="683">
                  <c:v>0.33052528188123265</c:v>
                </c:pt>
                <c:pt idx="684">
                  <c:v>0.33100605854221299</c:v>
                </c:pt>
                <c:pt idx="685">
                  <c:v>0.33148685487631946</c:v>
                </c:pt>
                <c:pt idx="686">
                  <c:v>0.33196767096357599</c:v>
                </c:pt>
                <c:pt idx="687">
                  <c:v>0.33244850688403849</c:v>
                </c:pt>
                <c:pt idx="688">
                  <c:v>0.33292936271779522</c:v>
                </c:pt>
                <c:pt idx="689">
                  <c:v>0.33341023854496676</c:v>
                </c:pt>
                <c:pt idx="690">
                  <c:v>0.33389113444570623</c:v>
                </c:pt>
                <c:pt idx="691">
                  <c:v>0.33437205050019936</c:v>
                </c:pt>
                <c:pt idx="692">
                  <c:v>0.33485298678866465</c:v>
                </c:pt>
                <c:pt idx="693">
                  <c:v>0.33533394339135358</c:v>
                </c:pt>
                <c:pt idx="694">
                  <c:v>0.3358149203885506</c:v>
                </c:pt>
                <c:pt idx="695">
                  <c:v>0.33629591786057339</c:v>
                </c:pt>
                <c:pt idx="696">
                  <c:v>0.33677693588777302</c:v>
                </c:pt>
                <c:pt idx="697">
                  <c:v>0.33725797455053391</c:v>
                </c:pt>
                <c:pt idx="698">
                  <c:v>0.33773903392927412</c:v>
                </c:pt>
                <c:pt idx="699">
                  <c:v>0.33822011410444552</c:v>
                </c:pt>
                <c:pt idx="700">
                  <c:v>0.33870121515653379</c:v>
                </c:pt>
                <c:pt idx="701">
                  <c:v>0.33918233716605861</c:v>
                </c:pt>
                <c:pt idx="702">
                  <c:v>0.3396634802135739</c:v>
                </c:pt>
                <c:pt idx="703">
                  <c:v>0.34014464437966774</c:v>
                </c:pt>
                <c:pt idx="704">
                  <c:v>0.34062582974496275</c:v>
                </c:pt>
                <c:pt idx="705">
                  <c:v>0.34110703639011614</c:v>
                </c:pt>
                <c:pt idx="706">
                  <c:v>0.34158826439581969</c:v>
                </c:pt>
                <c:pt idx="707">
                  <c:v>0.34206951384280015</c:v>
                </c:pt>
                <c:pt idx="708">
                  <c:v>0.34255078481181922</c:v>
                </c:pt>
                <c:pt idx="709">
                  <c:v>0.34303207738367375</c:v>
                </c:pt>
                <c:pt idx="710">
                  <c:v>0.34351339163919581</c:v>
                </c:pt>
                <c:pt idx="711">
                  <c:v>0.34399472765925287</c:v>
                </c:pt>
                <c:pt idx="712">
                  <c:v>0.34447608552474795</c:v>
                </c:pt>
                <c:pt idx="713">
                  <c:v>0.3449574653166198</c:v>
                </c:pt>
                <c:pt idx="714">
                  <c:v>0.34543886711584293</c:v>
                </c:pt>
                <c:pt idx="715">
                  <c:v>0.34592029100342786</c:v>
                </c:pt>
                <c:pt idx="716">
                  <c:v>0.34640173706042121</c:v>
                </c:pt>
                <c:pt idx="717">
                  <c:v>0.34688320536790584</c:v>
                </c:pt>
                <c:pt idx="718">
                  <c:v>0.34736469600700098</c:v>
                </c:pt>
                <c:pt idx="719">
                  <c:v>0.34784620905886238</c:v>
                </c:pt>
                <c:pt idx="720">
                  <c:v>0.34832774460468247</c:v>
                </c:pt>
                <c:pt idx="721">
                  <c:v>0.3488093027256905</c:v>
                </c:pt>
                <c:pt idx="722">
                  <c:v>0.34929088350315268</c:v>
                </c:pt>
                <c:pt idx="723">
                  <c:v>0.34977248701837227</c:v>
                </c:pt>
                <c:pt idx="724">
                  <c:v>0.3502541133526898</c:v>
                </c:pt>
                <c:pt idx="725">
                  <c:v>0.35073576258748312</c:v>
                </c:pt>
                <c:pt idx="726">
                  <c:v>0.35121743480416767</c:v>
                </c:pt>
                <c:pt idx="727">
                  <c:v>0.35169913008419645</c:v>
                </c:pt>
                <c:pt idx="728">
                  <c:v>0.3521808485090604</c:v>
                </c:pt>
                <c:pt idx="729">
                  <c:v>0.35266259016028823</c:v>
                </c:pt>
                <c:pt idx="730">
                  <c:v>0.35314435511944692</c:v>
                </c:pt>
                <c:pt idx="731">
                  <c:v>0.35362614346814153</c:v>
                </c:pt>
                <c:pt idx="732">
                  <c:v>0.35410795528801559</c:v>
                </c:pt>
                <c:pt idx="733">
                  <c:v>0.35458979066075108</c:v>
                </c:pt>
                <c:pt idx="734">
                  <c:v>0.3550716496680687</c:v>
                </c:pt>
                <c:pt idx="735">
                  <c:v>0.35555353239172788</c:v>
                </c:pt>
                <c:pt idx="736">
                  <c:v>0.35603543891352707</c:v>
                </c:pt>
                <c:pt idx="737">
                  <c:v>0.35651736931530376</c:v>
                </c:pt>
                <c:pt idx="738">
                  <c:v>0.35699932367893467</c:v>
                </c:pt>
                <c:pt idx="739">
                  <c:v>0.35748130208633588</c:v>
                </c:pt>
                <c:pt idx="740">
                  <c:v>0.35796330461946307</c:v>
                </c:pt>
                <c:pt idx="741">
                  <c:v>0.35844533136031159</c:v>
                </c:pt>
                <c:pt idx="742">
                  <c:v>0.35892738239091648</c:v>
                </c:pt>
                <c:pt idx="743">
                  <c:v>0.35940945779335287</c:v>
                </c:pt>
                <c:pt idx="744">
                  <c:v>0.3598915576497359</c:v>
                </c:pt>
                <c:pt idx="745">
                  <c:v>0.36037368204222098</c:v>
                </c:pt>
                <c:pt idx="746">
                  <c:v>0.36085583105300395</c:v>
                </c:pt>
                <c:pt idx="747">
                  <c:v>0.36133800476432121</c:v>
                </c:pt>
                <c:pt idx="748">
                  <c:v>0.36182020325844971</c:v>
                </c:pt>
                <c:pt idx="749">
                  <c:v>0.3623024266177074</c:v>
                </c:pt>
                <c:pt idx="750">
                  <c:v>0.3627846749244531</c:v>
                </c:pt>
                <c:pt idx="751">
                  <c:v>0.3632669482610868</c:v>
                </c:pt>
                <c:pt idx="752">
                  <c:v>0.36374924671004971</c:v>
                </c:pt>
                <c:pt idx="753">
                  <c:v>0.36423157035382447</c:v>
                </c:pt>
                <c:pt idx="754">
                  <c:v>0.36471391927493535</c:v>
                </c:pt>
                <c:pt idx="755">
                  <c:v>0.36519629355594829</c:v>
                </c:pt>
                <c:pt idx="756">
                  <c:v>0.36567869327947106</c:v>
                </c:pt>
                <c:pt idx="757">
                  <c:v>0.36616111852815347</c:v>
                </c:pt>
                <c:pt idx="758">
                  <c:v>0.36664356938468751</c:v>
                </c:pt>
                <c:pt idx="759">
                  <c:v>0.36712604593180737</c:v>
                </c:pt>
                <c:pt idx="760">
                  <c:v>0.36760854825228984</c:v>
                </c:pt>
                <c:pt idx="761">
                  <c:v>0.36809107642895417</c:v>
                </c:pt>
                <c:pt idx="762">
                  <c:v>0.36857363054466241</c:v>
                </c:pt>
                <c:pt idx="763">
                  <c:v>0.36905621068231959</c:v>
                </c:pt>
                <c:pt idx="764">
                  <c:v>0.36953881692487361</c:v>
                </c:pt>
                <c:pt idx="765">
                  <c:v>0.37002144935531572</c:v>
                </c:pt>
                <c:pt idx="766">
                  <c:v>0.37050410805668049</c:v>
                </c:pt>
                <c:pt idx="767">
                  <c:v>0.37098679311204591</c:v>
                </c:pt>
                <c:pt idx="768">
                  <c:v>0.37146950460453365</c:v>
                </c:pt>
                <c:pt idx="769">
                  <c:v>0.37195224261730919</c:v>
                </c:pt>
                <c:pt idx="770">
                  <c:v>0.37243500723358197</c:v>
                </c:pt>
                <c:pt idx="771">
                  <c:v>0.3729177985366055</c:v>
                </c:pt>
                <c:pt idx="772">
                  <c:v>0.37340061660967749</c:v>
                </c:pt>
                <c:pt idx="773">
                  <c:v>0.37388346153614016</c:v>
                </c:pt>
                <c:pt idx="774">
                  <c:v>0.37436633339938014</c:v>
                </c:pt>
                <c:pt idx="775">
                  <c:v>0.37484923228282885</c:v>
                </c:pt>
                <c:pt idx="776">
                  <c:v>0.37533215826996252</c:v>
                </c:pt>
                <c:pt idx="777">
                  <c:v>0.37581511144430246</c:v>
                </c:pt>
                <c:pt idx="778">
                  <c:v>0.37629809188941499</c:v>
                </c:pt>
                <c:pt idx="779">
                  <c:v>0.37678109968891188</c:v>
                </c:pt>
                <c:pt idx="780">
                  <c:v>0.37726413492645028</c:v>
                </c:pt>
                <c:pt idx="781">
                  <c:v>0.37774719768573295</c:v>
                </c:pt>
                <c:pt idx="782">
                  <c:v>0.3782302880505084</c:v>
                </c:pt>
                <c:pt idx="783">
                  <c:v>0.3787134061045711</c:v>
                </c:pt>
                <c:pt idx="784">
                  <c:v>0.37919655193176161</c:v>
                </c:pt>
                <c:pt idx="785">
                  <c:v>0.37967972561596663</c:v>
                </c:pt>
                <c:pt idx="786">
                  <c:v>0.38016292724111933</c:v>
                </c:pt>
                <c:pt idx="787">
                  <c:v>0.38064615689119935</c:v>
                </c:pt>
                <c:pt idx="788">
                  <c:v>0.38112941465023298</c:v>
                </c:pt>
                <c:pt idx="789">
                  <c:v>0.38161270060229341</c:v>
                </c:pt>
                <c:pt idx="790">
                  <c:v>0.38209601483150085</c:v>
                </c:pt>
                <c:pt idx="791">
                  <c:v>0.38257935742202254</c:v>
                </c:pt>
                <c:pt idx="792">
                  <c:v>0.38306272845807315</c:v>
                </c:pt>
                <c:pt idx="793">
                  <c:v>0.38354612802391475</c:v>
                </c:pt>
                <c:pt idx="794">
                  <c:v>0.38402955620385698</c:v>
                </c:pt>
                <c:pt idx="795">
                  <c:v>0.38451301308225733</c:v>
                </c:pt>
                <c:pt idx="796">
                  <c:v>0.38499649874352121</c:v>
                </c:pt>
                <c:pt idx="797">
                  <c:v>0.38548001327210202</c:v>
                </c:pt>
                <c:pt idx="798">
                  <c:v>0.38596355675250149</c:v>
                </c:pt>
                <c:pt idx="799">
                  <c:v>0.38644712926926966</c:v>
                </c:pt>
                <c:pt idx="800">
                  <c:v>0.38693073090700519</c:v>
                </c:pt>
                <c:pt idx="801">
                  <c:v>0.38741436175035548</c:v>
                </c:pt>
                <c:pt idx="802">
                  <c:v>0.38789802188401667</c:v>
                </c:pt>
                <c:pt idx="803">
                  <c:v>0.38838171139273397</c:v>
                </c:pt>
                <c:pt idx="804">
                  <c:v>0.38886543036130183</c:v>
                </c:pt>
                <c:pt idx="805">
                  <c:v>0.38934917887456399</c:v>
                </c:pt>
                <c:pt idx="806">
                  <c:v>0.38983295701741372</c:v>
                </c:pt>
                <c:pt idx="807">
                  <c:v>0.39031676487479383</c:v>
                </c:pt>
                <c:pt idx="808">
                  <c:v>0.39080060253169707</c:v>
                </c:pt>
                <c:pt idx="809">
                  <c:v>0.39128447007316614</c:v>
                </c:pt>
                <c:pt idx="810">
                  <c:v>0.39176836758429379</c:v>
                </c:pt>
                <c:pt idx="811">
                  <c:v>0.39225229515022308</c:v>
                </c:pt>
                <c:pt idx="812">
                  <c:v>0.39273625285614761</c:v>
                </c:pt>
                <c:pt idx="813">
                  <c:v>0.39322024078731155</c:v>
                </c:pt>
                <c:pt idx="814">
                  <c:v>0.39370425902900974</c:v>
                </c:pt>
                <c:pt idx="815">
                  <c:v>0.39418830766658808</c:v>
                </c:pt>
                <c:pt idx="816">
                  <c:v>0.39467238678544347</c:v>
                </c:pt>
                <c:pt idx="817">
                  <c:v>0.39515649647102408</c:v>
                </c:pt>
                <c:pt idx="818">
                  <c:v>0.39564063680882955</c:v>
                </c:pt>
                <c:pt idx="819">
                  <c:v>0.39612480788441101</c:v>
                </c:pt>
                <c:pt idx="820">
                  <c:v>0.39660900978337132</c:v>
                </c:pt>
                <c:pt idx="821">
                  <c:v>0.3970932425913653</c:v>
                </c:pt>
                <c:pt idx="822">
                  <c:v>0.39757750639409983</c:v>
                </c:pt>
                <c:pt idx="823">
                  <c:v>0.39806180127733393</c:v>
                </c:pt>
                <c:pt idx="824">
                  <c:v>0.39854612732687905</c:v>
                </c:pt>
                <c:pt idx="825">
                  <c:v>0.39903048462859919</c:v>
                </c:pt>
                <c:pt idx="826">
                  <c:v>0.39951487326841106</c:v>
                </c:pt>
                <c:pt idx="827">
                  <c:v>0.39999929333228423</c:v>
                </c:pt>
                <c:pt idx="828">
                  <c:v>0.40048374490624128</c:v>
                </c:pt>
                <c:pt idx="829">
                  <c:v>0.40096822807635801</c:v>
                </c:pt>
                <c:pt idx="830">
                  <c:v>0.40145274292876354</c:v>
                </c:pt>
                <c:pt idx="831">
                  <c:v>0.40193728954964059</c:v>
                </c:pt>
                <c:pt idx="832">
                  <c:v>0.40242186802522556</c:v>
                </c:pt>
                <c:pt idx="833">
                  <c:v>0.40290647844180866</c:v>
                </c:pt>
                <c:pt idx="834">
                  <c:v>0.40339112088573409</c:v>
                </c:pt>
                <c:pt idx="835">
                  <c:v>0.40380591126550303</c:v>
                </c:pt>
                <c:pt idx="836">
                  <c:v>0.40422070164527196</c:v>
                </c:pt>
                <c:pt idx="837">
                  <c:v>0.4046354920250409</c:v>
                </c:pt>
                <c:pt idx="838">
                  <c:v>0.40505028240480984</c:v>
                </c:pt>
                <c:pt idx="839">
                  <c:v>0.40546507278457877</c:v>
                </c:pt>
                <c:pt idx="840">
                  <c:v>0.40587986316434771</c:v>
                </c:pt>
                <c:pt idx="841">
                  <c:v>0.40629465354411665</c:v>
                </c:pt>
                <c:pt idx="842">
                  <c:v>0.40670944392388558</c:v>
                </c:pt>
                <c:pt idx="843">
                  <c:v>0.40712423430365452</c:v>
                </c:pt>
                <c:pt idx="844">
                  <c:v>0.40753902468342346</c:v>
                </c:pt>
                <c:pt idx="845">
                  <c:v>0.40795381506319239</c:v>
                </c:pt>
                <c:pt idx="846">
                  <c:v>0.40836860544296133</c:v>
                </c:pt>
                <c:pt idx="847">
                  <c:v>0.40878339582273027</c:v>
                </c:pt>
                <c:pt idx="848">
                  <c:v>0.4091981862024992</c:v>
                </c:pt>
                <c:pt idx="849">
                  <c:v>0.40961297658226814</c:v>
                </c:pt>
                <c:pt idx="850">
                  <c:v>0.41002776696203708</c:v>
                </c:pt>
                <c:pt idx="851">
                  <c:v>0.41044255734180601</c:v>
                </c:pt>
                <c:pt idx="852">
                  <c:v>0.41085734772157495</c:v>
                </c:pt>
                <c:pt idx="853">
                  <c:v>0.41127213810134389</c:v>
                </c:pt>
                <c:pt idx="854">
                  <c:v>0.41168692848111282</c:v>
                </c:pt>
                <c:pt idx="855">
                  <c:v>0.41210171886088176</c:v>
                </c:pt>
                <c:pt idx="856">
                  <c:v>0.4125165092406507</c:v>
                </c:pt>
                <c:pt idx="857">
                  <c:v>0.41293129962041963</c:v>
                </c:pt>
                <c:pt idx="858">
                  <c:v>0.41334609000018857</c:v>
                </c:pt>
                <c:pt idx="859">
                  <c:v>0.41376088037995751</c:v>
                </c:pt>
                <c:pt idx="860">
                  <c:v>0.41417567075972644</c:v>
                </c:pt>
                <c:pt idx="861">
                  <c:v>0.41459046113949538</c:v>
                </c:pt>
                <c:pt idx="862">
                  <c:v>0.41500525151926432</c:v>
                </c:pt>
                <c:pt idx="863">
                  <c:v>0.41542004189903325</c:v>
                </c:pt>
                <c:pt idx="864">
                  <c:v>0.41583483227880219</c:v>
                </c:pt>
                <c:pt idx="865">
                  <c:v>0.41624962265857113</c:v>
                </c:pt>
                <c:pt idx="866">
                  <c:v>0.41666441303834006</c:v>
                </c:pt>
                <c:pt idx="867">
                  <c:v>0.417079203418109</c:v>
                </c:pt>
                <c:pt idx="868">
                  <c:v>0.41749399379787794</c:v>
                </c:pt>
                <c:pt idx="869">
                  <c:v>0.41790878417764687</c:v>
                </c:pt>
                <c:pt idx="870">
                  <c:v>0.41832357455741581</c:v>
                </c:pt>
                <c:pt idx="871">
                  <c:v>0.41873836493718475</c:v>
                </c:pt>
                <c:pt idx="872">
                  <c:v>0.41915315531695369</c:v>
                </c:pt>
                <c:pt idx="873">
                  <c:v>0.41956794569672262</c:v>
                </c:pt>
                <c:pt idx="874">
                  <c:v>0.41998273607649156</c:v>
                </c:pt>
                <c:pt idx="875">
                  <c:v>0.4203975264562605</c:v>
                </c:pt>
                <c:pt idx="876">
                  <c:v>0.42081231683602943</c:v>
                </c:pt>
                <c:pt idx="877">
                  <c:v>0.42122710721579837</c:v>
                </c:pt>
                <c:pt idx="878">
                  <c:v>0.42164189759556731</c:v>
                </c:pt>
                <c:pt idx="879">
                  <c:v>0.42205668797533624</c:v>
                </c:pt>
                <c:pt idx="880">
                  <c:v>0.42247147835510518</c:v>
                </c:pt>
                <c:pt idx="881">
                  <c:v>0.42288626873487412</c:v>
                </c:pt>
                <c:pt idx="882">
                  <c:v>0.42330105911464305</c:v>
                </c:pt>
              </c:numCache>
            </c:numRef>
          </c:xVal>
          <c:yVal>
            <c:numRef>
              <c:f>Performance!$J$28:$J$910</c:f>
              <c:numCache>
                <c:formatCode>0</c:formatCode>
                <c:ptCount val="883"/>
                <c:pt idx="0">
                  <c:v>0</c:v>
                </c:pt>
                <c:pt idx="1">
                  <c:v>74.422289939615084</c:v>
                </c:pt>
                <c:pt idx="2">
                  <c:v>131.39410667341579</c:v>
                </c:pt>
                <c:pt idx="3">
                  <c:v>178.74833146579368</c:v>
                </c:pt>
                <c:pt idx="4">
                  <c:v>218.88315440214103</c:v>
                </c:pt>
                <c:pt idx="5">
                  <c:v>253.79475251089133</c:v>
                </c:pt>
                <c:pt idx="6">
                  <c:v>283.35274713441828</c:v>
                </c:pt>
                <c:pt idx="7">
                  <c:v>308.55100137235672</c:v>
                </c:pt>
                <c:pt idx="8">
                  <c:v>330.14345068925167</c:v>
                </c:pt>
                <c:pt idx="9">
                  <c:v>348.72051317807012</c:v>
                </c:pt>
                <c:pt idx="10">
                  <c:v>364.75501793680968</c:v>
                </c:pt>
                <c:pt idx="11">
                  <c:v>378.63191950490864</c:v>
                </c:pt>
                <c:pt idx="12">
                  <c:v>390.66859324174578</c:v>
                </c:pt>
                <c:pt idx="13">
                  <c:v>401.12928464735813</c:v>
                </c:pt>
                <c:pt idx="14">
                  <c:v>410.23573803585094</c:v>
                </c:pt>
                <c:pt idx="15">
                  <c:v>418.17522266909543</c:v>
                </c:pt>
                <c:pt idx="16">
                  <c:v>425.10672488972364</c:v>
                </c:pt>
                <c:pt idx="17">
                  <c:v>431.16581076348047</c:v>
                </c:pt>
                <c:pt idx="18">
                  <c:v>436.46850167104333</c:v>
                </c:pt>
                <c:pt idx="19">
                  <c:v>441.11440201401507</c:v>
                </c:pt>
                <c:pt idx="20">
                  <c:v>445.1892502447343</c:v>
                </c:pt>
                <c:pt idx="21">
                  <c:v>448.76701845089519</c:v>
                </c:pt>
                <c:pt idx="22">
                  <c:v>451.91165384724843</c:v>
                </c:pt>
                <c:pt idx="23">
                  <c:v>454.67853293940829</c:v>
                </c:pt>
                <c:pt idx="24">
                  <c:v>457.11568280807614</c:v>
                </c:pt>
                <c:pt idx="25">
                  <c:v>459.2648119692862</c:v>
                </c:pt>
                <c:pt idx="26">
                  <c:v>461.1621843117087</c:v>
                </c:pt>
                <c:pt idx="27">
                  <c:v>462.83936282956535</c:v>
                </c:pt>
                <c:pt idx="28">
                  <c:v>464.32384466628804</c:v>
                </c:pt>
                <c:pt idx="29">
                  <c:v>465.63960494372549</c:v>
                </c:pt>
                <c:pt idx="30">
                  <c:v>466.80756368019399</c:v>
                </c:pt>
                <c:pt idx="31">
                  <c:v>467.84598758682762</c:v>
                </c:pt>
                <c:pt idx="32">
                  <c:v>468.7708365201982</c:v>
                </c:pt>
                <c:pt idx="33">
                  <c:v>469.59606274707022</c:v>
                </c:pt>
                <c:pt idx="34">
                  <c:v>470.33386985755453</c:v>
                </c:pt>
                <c:pt idx="35">
                  <c:v>470.99493708370653</c:v>
                </c:pt>
                <c:pt idx="36">
                  <c:v>471.58861389100491</c:v>
                </c:pt>
                <c:pt idx="37">
                  <c:v>472.12308897255184</c:v>
                </c:pt>
                <c:pt idx="38">
                  <c:v>472.60553716242646</c:v>
                </c:pt>
                <c:pt idx="39">
                  <c:v>473.04224726996006</c:v>
                </c:pt>
                <c:pt idx="40">
                  <c:v>473.43873340486755</c:v>
                </c:pt>
                <c:pt idx="41">
                  <c:v>473.79983199778155</c:v>
                </c:pt>
                <c:pt idx="42">
                  <c:v>474.12978641264118</c:v>
                </c:pt>
                <c:pt idx="43">
                  <c:v>474.43232078359983</c:v>
                </c:pt>
                <c:pt idx="44">
                  <c:v>474.71070448562432</c:v>
                </c:pt>
                <c:pt idx="45">
                  <c:v>474.96780845731541</c:v>
                </c:pt>
                <c:pt idx="46">
                  <c:v>475.20615442894058</c:v>
                </c:pt>
                <c:pt idx="47">
                  <c:v>475.42795796951231</c:v>
                </c:pt>
                <c:pt idx="48">
                  <c:v>475.63516614474139</c:v>
                </c:pt>
                <c:pt idx="49">
                  <c:v>475.82949047367526</c:v>
                </c:pt>
                <c:pt idx="50">
                  <c:v>476.01243578155351</c:v>
                </c:pt>
                <c:pt idx="51">
                  <c:v>476.18532546903612</c:v>
                </c:pt>
                <c:pt idx="52">
                  <c:v>476.34932365015936</c:v>
                </c:pt>
                <c:pt idx="53">
                  <c:v>476.50545455317234</c:v>
                </c:pt>
                <c:pt idx="54">
                  <c:v>476.65461952801257</c:v>
                </c:pt>
                <c:pt idx="55">
                  <c:v>476.79761195960424</c:v>
                </c:pt>
                <c:pt idx="56">
                  <c:v>476.93513034915441</c:v>
                </c:pt>
                <c:pt idx="57">
                  <c:v>477.06778979080201</c:v>
                </c:pt>
                <c:pt idx="58">
                  <c:v>477.19613204388753</c:v>
                </c:pt>
                <c:pt idx="59">
                  <c:v>477.32063437419504</c:v>
                </c:pt>
                <c:pt idx="60">
                  <c:v>477.44171731709264</c:v>
                </c:pt>
                <c:pt idx="61">
                  <c:v>477.55975149540723</c:v>
                </c:pt>
                <c:pt idx="62">
                  <c:v>477.67506360851979</c:v>
                </c:pt>
                <c:pt idx="63">
                  <c:v>477.78794169470393</c:v>
                </c:pt>
                <c:pt idx="64">
                  <c:v>477.89863975603049</c:v>
                </c:pt>
                <c:pt idx="65">
                  <c:v>478.00738182378115</c:v>
                </c:pt>
                <c:pt idx="66">
                  <c:v>478.11436553285955</c:v>
                </c:pt>
                <c:pt idx="67">
                  <c:v>478.21976526526231</c:v>
                </c:pt>
                <c:pt idx="68">
                  <c:v>478.32373491516915</c:v>
                </c:pt>
                <c:pt idx="69">
                  <c:v>478.42641032151778</c:v>
                </c:pt>
                <c:pt idx="70">
                  <c:v>478.52791140867748</c:v>
                </c:pt>
                <c:pt idx="71">
                  <c:v>478.62834407062695</c:v>
                </c:pt>
                <c:pt idx="72">
                  <c:v>478.72780182957905</c:v>
                </c:pt>
                <c:pt idx="73">
                  <c:v>478.82636729639205</c:v>
                </c:pt>
                <c:pt idx="74">
                  <c:v>478.92411345682098</c:v>
                </c:pt>
                <c:pt idx="75">
                  <c:v>479.02110480456042</c:v>
                </c:pt>
                <c:pt idx="76">
                  <c:v>479.11739833924628</c:v>
                </c:pt>
                <c:pt idx="77">
                  <c:v>479.21304444622672</c:v>
                </c:pt>
                <c:pt idx="78">
                  <c:v>479.3080876716968</c:v>
                </c:pt>
                <c:pt idx="79">
                  <c:v>479.40256740627433</c:v>
                </c:pt>
                <c:pt idx="80">
                  <c:v>479.49651848733157</c:v>
                </c:pt>
                <c:pt idx="81">
                  <c:v>479.58997173072538</c:v>
                </c:pt>
                <c:pt idx="82">
                  <c:v>479.68295439922974</c:v>
                </c:pt>
                <c:pt idx="83">
                  <c:v>479.77549061624933</c:v>
                </c:pt>
                <c:pt idx="84">
                  <c:v>479.86760173059469</c:v>
                </c:pt>
                <c:pt idx="85">
                  <c:v>479.9593066385645</c:v>
                </c:pt>
                <c:pt idx="86">
                  <c:v>480.05062206814051</c:v>
                </c:pt>
                <c:pt idx="87">
                  <c:v>480.14156283002768</c:v>
                </c:pt>
                <c:pt idx="88">
                  <c:v>480.23214203915984</c:v>
                </c:pt>
                <c:pt idx="89">
                  <c:v>480.32237131056428</c:v>
                </c:pt>
                <c:pt idx="90">
                  <c:v>480.41226093207973</c:v>
                </c:pt>
                <c:pt idx="91">
                  <c:v>480.50182001722732</c:v>
                </c:pt>
                <c:pt idx="92">
                  <c:v>480.59105664020592</c:v>
                </c:pt>
                <c:pt idx="93">
                  <c:v>480.67997795514327</c:v>
                </c:pt>
                <c:pt idx="94">
                  <c:v>480.76859030155987</c:v>
                </c:pt>
                <c:pt idx="95">
                  <c:v>480.85689929773775</c:v>
                </c:pt>
                <c:pt idx="96">
                  <c:v>480.94490992299853</c:v>
                </c:pt>
                <c:pt idx="97">
                  <c:v>481.03262659079923</c:v>
                </c:pt>
                <c:pt idx="98">
                  <c:v>481.12005321318816</c:v>
                </c:pt>
                <c:pt idx="99">
                  <c:v>481.20719325789759</c:v>
                </c:pt>
                <c:pt idx="100">
                  <c:v>481.29404979891865</c:v>
                </c:pt>
                <c:pt idx="101">
                  <c:v>481.38062556112266</c:v>
                </c:pt>
                <c:pt idx="102">
                  <c:v>481.46692295992932</c:v>
                </c:pt>
                <c:pt idx="103">
                  <c:v>481.55294413633118</c:v>
                </c:pt>
                <c:pt idx="104">
                  <c:v>481.63869098792821</c:v>
                </c:pt>
                <c:pt idx="105">
                  <c:v>481.72416519647419</c:v>
                </c:pt>
                <c:pt idx="106">
                  <c:v>481.80936825213314</c:v>
                </c:pt>
                <c:pt idx="107">
                  <c:v>481.89430147513247</c:v>
                </c:pt>
                <c:pt idx="108">
                  <c:v>481.97896603491461</c:v>
                </c:pt>
                <c:pt idx="109">
                  <c:v>482.06336296699357</c:v>
                </c:pt>
                <c:pt idx="110">
                  <c:v>482.14749318803882</c:v>
                </c:pt>
                <c:pt idx="111">
                  <c:v>482.23135750925036</c:v>
                </c:pt>
                <c:pt idx="112">
                  <c:v>482.31495664809751</c:v>
                </c:pt>
                <c:pt idx="113">
                  <c:v>482.39829123878155</c:v>
                </c:pt>
                <c:pt idx="114">
                  <c:v>482.48136184161916</c:v>
                </c:pt>
                <c:pt idx="115">
                  <c:v>482.56416895123681</c:v>
                </c:pt>
                <c:pt idx="116">
                  <c:v>482.64671300390972</c:v>
                </c:pt>
                <c:pt idx="117">
                  <c:v>482.72899438401947</c:v>
                </c:pt>
                <c:pt idx="118">
                  <c:v>482.81101342990667</c:v>
                </c:pt>
                <c:pt idx="119">
                  <c:v>482.89277043885306</c:v>
                </c:pt>
                <c:pt idx="120">
                  <c:v>482.97426567183078</c:v>
                </c:pt>
                <c:pt idx="121">
                  <c:v>483.05549935731665</c:v>
                </c:pt>
                <c:pt idx="122">
                  <c:v>483.13647169505151</c:v>
                </c:pt>
                <c:pt idx="123">
                  <c:v>483.21718285912249</c:v>
                </c:pt>
                <c:pt idx="124">
                  <c:v>483.29763300088644</c:v>
                </c:pt>
                <c:pt idx="125">
                  <c:v>483.37782225135714</c:v>
                </c:pt>
                <c:pt idx="126">
                  <c:v>483.45775072363483</c:v>
                </c:pt>
                <c:pt idx="127">
                  <c:v>483.53741851467925</c:v>
                </c:pt>
                <c:pt idx="128">
                  <c:v>483.61682570725628</c:v>
                </c:pt>
                <c:pt idx="129">
                  <c:v>483.69597237136577</c:v>
                </c:pt>
                <c:pt idx="130">
                  <c:v>483.77485856577738</c:v>
                </c:pt>
                <c:pt idx="131">
                  <c:v>483.85348433919404</c:v>
                </c:pt>
                <c:pt idx="132">
                  <c:v>483.93184973133913</c:v>
                </c:pt>
                <c:pt idx="133">
                  <c:v>484.00995477405161</c:v>
                </c:pt>
                <c:pt idx="134">
                  <c:v>484.08779949204268</c:v>
                </c:pt>
                <c:pt idx="135">
                  <c:v>484.16538390369135</c:v>
                </c:pt>
                <c:pt idx="136">
                  <c:v>484.24270802182309</c:v>
                </c:pt>
                <c:pt idx="137">
                  <c:v>484.31977185431646</c:v>
                </c:pt>
                <c:pt idx="138">
                  <c:v>484.39657540448883</c:v>
                </c:pt>
                <c:pt idx="139">
                  <c:v>484.47311867184573</c:v>
                </c:pt>
                <c:pt idx="140">
                  <c:v>484.54940165234626</c:v>
                </c:pt>
                <c:pt idx="141">
                  <c:v>484.62542433879412</c:v>
                </c:pt>
                <c:pt idx="142">
                  <c:v>484.70118672128046</c:v>
                </c:pt>
                <c:pt idx="143">
                  <c:v>484.77668878739894</c:v>
                </c:pt>
                <c:pt idx="144">
                  <c:v>484.85193052259041</c:v>
                </c:pt>
                <c:pt idx="145">
                  <c:v>484.92691191035078</c:v>
                </c:pt>
                <c:pt idx="146">
                  <c:v>485.00163293247175</c:v>
                </c:pt>
                <c:pt idx="147">
                  <c:v>485.07609356921114</c:v>
                </c:pt>
                <c:pt idx="148">
                  <c:v>485.15029379944895</c:v>
                </c:pt>
                <c:pt idx="149">
                  <c:v>485.22423360096184</c:v>
                </c:pt>
                <c:pt idx="150">
                  <c:v>485.29791295041599</c:v>
                </c:pt>
                <c:pt idx="151">
                  <c:v>485.37133182353398</c:v>
                </c:pt>
                <c:pt idx="152">
                  <c:v>485.44449019529083</c:v>
                </c:pt>
                <c:pt idx="153">
                  <c:v>485.51738803987587</c:v>
                </c:pt>
                <c:pt idx="154">
                  <c:v>485.5900253309008</c:v>
                </c:pt>
                <c:pt idx="155">
                  <c:v>485.66240204139382</c:v>
                </c:pt>
                <c:pt idx="156">
                  <c:v>485.73451814391098</c:v>
                </c:pt>
                <c:pt idx="157">
                  <c:v>485.80637361060894</c:v>
                </c:pt>
                <c:pt idx="158">
                  <c:v>485.877968413291</c:v>
                </c:pt>
                <c:pt idx="159">
                  <c:v>485.94930252340373</c:v>
                </c:pt>
                <c:pt idx="160">
                  <c:v>486.02037591216009</c:v>
                </c:pt>
                <c:pt idx="161">
                  <c:v>486.09118855056653</c:v>
                </c:pt>
                <c:pt idx="162">
                  <c:v>486.16174040941831</c:v>
                </c:pt>
                <c:pt idx="163">
                  <c:v>486.23203145933559</c:v>
                </c:pt>
                <c:pt idx="164">
                  <c:v>486.30206167083963</c:v>
                </c:pt>
                <c:pt idx="165">
                  <c:v>486.37183101433976</c:v>
                </c:pt>
                <c:pt idx="166">
                  <c:v>486.44133946017348</c:v>
                </c:pt>
                <c:pt idx="167">
                  <c:v>486.51058697859776</c:v>
                </c:pt>
                <c:pt idx="168">
                  <c:v>486.57957353982232</c:v>
                </c:pt>
                <c:pt idx="169">
                  <c:v>486.64829911408708</c:v>
                </c:pt>
                <c:pt idx="170">
                  <c:v>486.71676367157386</c:v>
                </c:pt>
                <c:pt idx="171">
                  <c:v>486.78496718245879</c:v>
                </c:pt>
                <c:pt idx="172">
                  <c:v>486.85290961694091</c:v>
                </c:pt>
                <c:pt idx="173">
                  <c:v>486.92059094530583</c:v>
                </c:pt>
                <c:pt idx="174">
                  <c:v>486.9880111377787</c:v>
                </c:pt>
                <c:pt idx="175">
                  <c:v>487.05517016468508</c:v>
                </c:pt>
                <c:pt idx="176">
                  <c:v>487.1220679963759</c:v>
                </c:pt>
                <c:pt idx="177">
                  <c:v>487.18870460330004</c:v>
                </c:pt>
                <c:pt idx="178">
                  <c:v>487.25507995590095</c:v>
                </c:pt>
                <c:pt idx="179">
                  <c:v>487.32119402476837</c:v>
                </c:pt>
                <c:pt idx="180">
                  <c:v>487.38704678049663</c:v>
                </c:pt>
                <c:pt idx="181">
                  <c:v>487.45263819378994</c:v>
                </c:pt>
                <c:pt idx="182">
                  <c:v>487.51796823546181</c:v>
                </c:pt>
                <c:pt idx="183">
                  <c:v>487.58303687635942</c:v>
                </c:pt>
                <c:pt idx="184">
                  <c:v>487.64784408743202</c:v>
                </c:pt>
                <c:pt idx="185">
                  <c:v>487.71238983974905</c:v>
                </c:pt>
                <c:pt idx="186">
                  <c:v>487.77667410442223</c:v>
                </c:pt>
                <c:pt idx="187">
                  <c:v>487.84069685273721</c:v>
                </c:pt>
                <c:pt idx="188">
                  <c:v>487.90445805598142</c:v>
                </c:pt>
                <c:pt idx="189">
                  <c:v>487.96795768561077</c:v>
                </c:pt>
                <c:pt idx="190">
                  <c:v>488.03119571316114</c:v>
                </c:pt>
                <c:pt idx="191">
                  <c:v>488.09417211028182</c:v>
                </c:pt>
                <c:pt idx="192">
                  <c:v>488.15688684870372</c:v>
                </c:pt>
                <c:pt idx="193">
                  <c:v>488.21933990025809</c:v>
                </c:pt>
                <c:pt idx="194">
                  <c:v>488.28153123694676</c:v>
                </c:pt>
                <c:pt idx="195">
                  <c:v>488.34346083078265</c:v>
                </c:pt>
                <c:pt idx="196">
                  <c:v>488.40512865396511</c:v>
                </c:pt>
                <c:pt idx="197">
                  <c:v>488.46653467875961</c:v>
                </c:pt>
                <c:pt idx="198">
                  <c:v>488.52767887754658</c:v>
                </c:pt>
                <c:pt idx="199">
                  <c:v>488.58856122284794</c:v>
                </c:pt>
                <c:pt idx="200">
                  <c:v>488.64918168722613</c:v>
                </c:pt>
                <c:pt idx="201">
                  <c:v>488.70954024343689</c:v>
                </c:pt>
                <c:pt idx="202">
                  <c:v>488.76963686431782</c:v>
                </c:pt>
                <c:pt idx="203">
                  <c:v>488.82947152278075</c:v>
                </c:pt>
                <c:pt idx="204">
                  <c:v>488.88904419187094</c:v>
                </c:pt>
                <c:pt idx="205">
                  <c:v>488.94835484478841</c:v>
                </c:pt>
                <c:pt idx="206">
                  <c:v>489.00740345478431</c:v>
                </c:pt>
                <c:pt idx="207">
                  <c:v>489.06618999527689</c:v>
                </c:pt>
                <c:pt idx="208">
                  <c:v>489.12471443972885</c:v>
                </c:pt>
                <c:pt idx="209">
                  <c:v>489.18297676179571</c:v>
                </c:pt>
                <c:pt idx="210">
                  <c:v>489.2409769351604</c:v>
                </c:pt>
                <c:pt idx="211">
                  <c:v>489.2987149337219</c:v>
                </c:pt>
                <c:pt idx="212">
                  <c:v>489.35619073139009</c:v>
                </c:pt>
                <c:pt idx="213">
                  <c:v>489.41340430224477</c:v>
                </c:pt>
                <c:pt idx="214">
                  <c:v>489.47035562049621</c:v>
                </c:pt>
                <c:pt idx="215">
                  <c:v>489.52704466042195</c:v>
                </c:pt>
                <c:pt idx="216">
                  <c:v>489.58347139643399</c:v>
                </c:pt>
                <c:pt idx="217">
                  <c:v>489.63963580304113</c:v>
                </c:pt>
                <c:pt idx="218">
                  <c:v>489.69553785490842</c:v>
                </c:pt>
                <c:pt idx="219">
                  <c:v>489.75117752678892</c:v>
                </c:pt>
                <c:pt idx="220">
                  <c:v>489.80655479353004</c:v>
                </c:pt>
                <c:pt idx="221">
                  <c:v>489.86166963012494</c:v>
                </c:pt>
                <c:pt idx="222">
                  <c:v>489.916522011685</c:v>
                </c:pt>
                <c:pt idx="223">
                  <c:v>489.97111191337285</c:v>
                </c:pt>
                <c:pt idx="224">
                  <c:v>490.0254393105497</c:v>
                </c:pt>
                <c:pt idx="225">
                  <c:v>490.0795041786451</c:v>
                </c:pt>
                <c:pt idx="226">
                  <c:v>490.13330649320852</c:v>
                </c:pt>
                <c:pt idx="227">
                  <c:v>490.18684622990725</c:v>
                </c:pt>
                <c:pt idx="228">
                  <c:v>490.24012336452034</c:v>
                </c:pt>
                <c:pt idx="229">
                  <c:v>490.29313787294137</c:v>
                </c:pt>
                <c:pt idx="230">
                  <c:v>490.3458897311686</c:v>
                </c:pt>
                <c:pt idx="231">
                  <c:v>490.39837891534489</c:v>
                </c:pt>
                <c:pt idx="232">
                  <c:v>490.45060540168566</c:v>
                </c:pt>
                <c:pt idx="233">
                  <c:v>490.50256916655951</c:v>
                </c:pt>
                <c:pt idx="234">
                  <c:v>490.55427018642882</c:v>
                </c:pt>
                <c:pt idx="235">
                  <c:v>490.60570843783876</c:v>
                </c:pt>
                <c:pt idx="236">
                  <c:v>490.65688389751534</c:v>
                </c:pt>
                <c:pt idx="237">
                  <c:v>490.70779654226521</c:v>
                </c:pt>
                <c:pt idx="238">
                  <c:v>490.75844634898942</c:v>
                </c:pt>
                <c:pt idx="239">
                  <c:v>490.80883329473164</c:v>
                </c:pt>
                <c:pt idx="240">
                  <c:v>490.85895735663968</c:v>
                </c:pt>
                <c:pt idx="241">
                  <c:v>490.90881851198316</c:v>
                </c:pt>
                <c:pt idx="242">
                  <c:v>490.95841673811907</c:v>
                </c:pt>
                <c:pt idx="243">
                  <c:v>491.00775201253822</c:v>
                </c:pt>
                <c:pt idx="244">
                  <c:v>491.05682431286914</c:v>
                </c:pt>
                <c:pt idx="245">
                  <c:v>491.10563361679118</c:v>
                </c:pt>
                <c:pt idx="246">
                  <c:v>491.15417990216389</c:v>
                </c:pt>
                <c:pt idx="247">
                  <c:v>491.20246314692326</c:v>
                </c:pt>
                <c:pt idx="248">
                  <c:v>491.25048332910666</c:v>
                </c:pt>
                <c:pt idx="249">
                  <c:v>491.29824042691502</c:v>
                </c:pt>
                <c:pt idx="250">
                  <c:v>491.34573441863159</c:v>
                </c:pt>
                <c:pt idx="251">
                  <c:v>491.39296528263742</c:v>
                </c:pt>
                <c:pt idx="252">
                  <c:v>491.43993299745438</c:v>
                </c:pt>
                <c:pt idx="253">
                  <c:v>491.48663754170627</c:v>
                </c:pt>
                <c:pt idx="254">
                  <c:v>491.53307889412434</c:v>
                </c:pt>
                <c:pt idx="255">
                  <c:v>491.57925703358643</c:v>
                </c:pt>
                <c:pt idx="256">
                  <c:v>491.62517193903591</c:v>
                </c:pt>
                <c:pt idx="257">
                  <c:v>491.67082358954684</c:v>
                </c:pt>
                <c:pt idx="258">
                  <c:v>491.71621196432545</c:v>
                </c:pt>
                <c:pt idx="259">
                  <c:v>491.76133704267403</c:v>
                </c:pt>
                <c:pt idx="260">
                  <c:v>491.80619880401542</c:v>
                </c:pt>
                <c:pt idx="261">
                  <c:v>491.85079722789862</c:v>
                </c:pt>
                <c:pt idx="262">
                  <c:v>491.89513229393935</c:v>
                </c:pt>
                <c:pt idx="263">
                  <c:v>491.93920398191017</c:v>
                </c:pt>
                <c:pt idx="264">
                  <c:v>491.98301227166291</c:v>
                </c:pt>
                <c:pt idx="265">
                  <c:v>492.02655714323367</c:v>
                </c:pt>
                <c:pt idx="266">
                  <c:v>492.06983857667933</c:v>
                </c:pt>
                <c:pt idx="267">
                  <c:v>492.11285655221309</c:v>
                </c:pt>
                <c:pt idx="268">
                  <c:v>492.15561105018878</c:v>
                </c:pt>
                <c:pt idx="269">
                  <c:v>492.19810205101965</c:v>
                </c:pt>
                <c:pt idx="270">
                  <c:v>492.2403295352666</c:v>
                </c:pt>
                <c:pt idx="271">
                  <c:v>492.28229348358968</c:v>
                </c:pt>
                <c:pt idx="272">
                  <c:v>492.32399387676861</c:v>
                </c:pt>
                <c:pt idx="273">
                  <c:v>492.36543069568648</c:v>
                </c:pt>
                <c:pt idx="274">
                  <c:v>492.40660392135095</c:v>
                </c:pt>
                <c:pt idx="275">
                  <c:v>492.44751353488493</c:v>
                </c:pt>
                <c:pt idx="276">
                  <c:v>492.48815951752954</c:v>
                </c:pt>
                <c:pt idx="277">
                  <c:v>492.52854185059357</c:v>
                </c:pt>
                <c:pt idx="278">
                  <c:v>492.56866051554226</c:v>
                </c:pt>
                <c:pt idx="279">
                  <c:v>492.60851549397063</c:v>
                </c:pt>
                <c:pt idx="280">
                  <c:v>492.64810676752603</c:v>
                </c:pt>
                <c:pt idx="281">
                  <c:v>492.68743431801602</c:v>
                </c:pt>
                <c:pt idx="282">
                  <c:v>492.72649812732635</c:v>
                </c:pt>
                <c:pt idx="283">
                  <c:v>492.76529817751316</c:v>
                </c:pt>
                <c:pt idx="284">
                  <c:v>492.80383445069026</c:v>
                </c:pt>
                <c:pt idx="285">
                  <c:v>492.84210692908005</c:v>
                </c:pt>
                <c:pt idx="286">
                  <c:v>492.88011559507174</c:v>
                </c:pt>
                <c:pt idx="287">
                  <c:v>492.91786043111898</c:v>
                </c:pt>
                <c:pt idx="288">
                  <c:v>492.95534141980471</c:v>
                </c:pt>
                <c:pt idx="289">
                  <c:v>492.99255854382005</c:v>
                </c:pt>
                <c:pt idx="290">
                  <c:v>493.02951178598687</c:v>
                </c:pt>
                <c:pt idx="291">
                  <c:v>493.06620112920081</c:v>
                </c:pt>
                <c:pt idx="292">
                  <c:v>493.10262655651428</c:v>
                </c:pt>
                <c:pt idx="293">
                  <c:v>493.13878805106015</c:v>
                </c:pt>
                <c:pt idx="294">
                  <c:v>493.1746855961012</c:v>
                </c:pt>
                <c:pt idx="295">
                  <c:v>493.21031917500659</c:v>
                </c:pt>
                <c:pt idx="296">
                  <c:v>493.24568877125671</c:v>
                </c:pt>
                <c:pt idx="297">
                  <c:v>493.28079436843802</c:v>
                </c:pt>
                <c:pt idx="298">
                  <c:v>493.31563595026472</c:v>
                </c:pt>
                <c:pt idx="299">
                  <c:v>493.35021350055126</c:v>
                </c:pt>
                <c:pt idx="300">
                  <c:v>493.38452700324677</c:v>
                </c:pt>
                <c:pt idx="301">
                  <c:v>493.41857644236541</c:v>
                </c:pt>
                <c:pt idx="302">
                  <c:v>493.45236180206672</c:v>
                </c:pt>
                <c:pt idx="303">
                  <c:v>493.4858830666526</c:v>
                </c:pt>
                <c:pt idx="304">
                  <c:v>493.5191402204652</c:v>
                </c:pt>
                <c:pt idx="305">
                  <c:v>493.55213324800945</c:v>
                </c:pt>
                <c:pt idx="306">
                  <c:v>493.58486213389546</c:v>
                </c:pt>
                <c:pt idx="307">
                  <c:v>493.61732686284256</c:v>
                </c:pt>
                <c:pt idx="308">
                  <c:v>493.64952741965931</c:v>
                </c:pt>
                <c:pt idx="309">
                  <c:v>493.68146378930123</c:v>
                </c:pt>
                <c:pt idx="310">
                  <c:v>493.71313595682329</c:v>
                </c:pt>
                <c:pt idx="311">
                  <c:v>493.74454390738703</c:v>
                </c:pt>
                <c:pt idx="312">
                  <c:v>493.77568762626669</c:v>
                </c:pt>
                <c:pt idx="313">
                  <c:v>493.80656709884266</c:v>
                </c:pt>
                <c:pt idx="314">
                  <c:v>493.83718231063915</c:v>
                </c:pt>
                <c:pt idx="315">
                  <c:v>493.86753324725487</c:v>
                </c:pt>
                <c:pt idx="316">
                  <c:v>493.89761989442025</c:v>
                </c:pt>
                <c:pt idx="317">
                  <c:v>493.92744223796416</c:v>
                </c:pt>
                <c:pt idx="318">
                  <c:v>493.95700026384156</c:v>
                </c:pt>
                <c:pt idx="319">
                  <c:v>493.98629395810502</c:v>
                </c:pt>
                <c:pt idx="320">
                  <c:v>494.0153233069513</c:v>
                </c:pt>
                <c:pt idx="321">
                  <c:v>494.04408829664015</c:v>
                </c:pt>
                <c:pt idx="322">
                  <c:v>494.07258891356855</c:v>
                </c:pt>
                <c:pt idx="323">
                  <c:v>494.10082514426063</c:v>
                </c:pt>
                <c:pt idx="324">
                  <c:v>494.12879697532816</c:v>
                </c:pt>
                <c:pt idx="325">
                  <c:v>494.15650439349469</c:v>
                </c:pt>
                <c:pt idx="326">
                  <c:v>494.18394738560875</c:v>
                </c:pt>
                <c:pt idx="327">
                  <c:v>494.21112593864683</c:v>
                </c:pt>
                <c:pt idx="328">
                  <c:v>494.23804003964602</c:v>
                </c:pt>
                <c:pt idx="329">
                  <c:v>494.26468967580269</c:v>
                </c:pt>
                <c:pt idx="330">
                  <c:v>494.29107483439662</c:v>
                </c:pt>
                <c:pt idx="331">
                  <c:v>494.31719550285072</c:v>
                </c:pt>
                <c:pt idx="332">
                  <c:v>494.34305166865391</c:v>
                </c:pt>
                <c:pt idx="333">
                  <c:v>494.36864331943946</c:v>
                </c:pt>
                <c:pt idx="334">
                  <c:v>494.39397044295748</c:v>
                </c:pt>
                <c:pt idx="335">
                  <c:v>494.41903302704458</c:v>
                </c:pt>
                <c:pt idx="336">
                  <c:v>494.44383105966438</c:v>
                </c:pt>
                <c:pt idx="337">
                  <c:v>494.46836452888908</c:v>
                </c:pt>
                <c:pt idx="338">
                  <c:v>494.49263342289942</c:v>
                </c:pt>
                <c:pt idx="339">
                  <c:v>494.51663773000166</c:v>
                </c:pt>
                <c:pt idx="340">
                  <c:v>494.54037743859357</c:v>
                </c:pt>
                <c:pt idx="341">
                  <c:v>494.5638525371906</c:v>
                </c:pt>
                <c:pt idx="342">
                  <c:v>494.58706301443584</c:v>
                </c:pt>
                <c:pt idx="343">
                  <c:v>494.61000885906532</c:v>
                </c:pt>
                <c:pt idx="344">
                  <c:v>494.63269005992703</c:v>
                </c:pt>
                <c:pt idx="345">
                  <c:v>494.65510660598562</c:v>
                </c:pt>
                <c:pt idx="346">
                  <c:v>494.67725848631858</c:v>
                </c:pt>
                <c:pt idx="347">
                  <c:v>494.69914569011445</c:v>
                </c:pt>
                <c:pt idx="348">
                  <c:v>494.72076820666967</c:v>
                </c:pt>
                <c:pt idx="349">
                  <c:v>494.74212602540479</c:v>
                </c:pt>
                <c:pt idx="350">
                  <c:v>494.7632191358274</c:v>
                </c:pt>
                <c:pt idx="351">
                  <c:v>494.78404752758837</c:v>
                </c:pt>
                <c:pt idx="352">
                  <c:v>494.80461119041848</c:v>
                </c:pt>
                <c:pt idx="353">
                  <c:v>494.82491011416403</c:v>
                </c:pt>
                <c:pt idx="354">
                  <c:v>494.84494428880595</c:v>
                </c:pt>
                <c:pt idx="355">
                  <c:v>494.86471370442473</c:v>
                </c:pt>
                <c:pt idx="356">
                  <c:v>494.88421835120624</c:v>
                </c:pt>
                <c:pt idx="357">
                  <c:v>494.90345821945829</c:v>
                </c:pt>
                <c:pt idx="358">
                  <c:v>494.92243329958512</c:v>
                </c:pt>
                <c:pt idx="359">
                  <c:v>494.941143582123</c:v>
                </c:pt>
                <c:pt idx="360">
                  <c:v>494.95958905767895</c:v>
                </c:pt>
                <c:pt idx="361">
                  <c:v>494.97776971702797</c:v>
                </c:pt>
                <c:pt idx="362">
                  <c:v>494.9956855510116</c:v>
                </c:pt>
                <c:pt idx="363">
                  <c:v>495.0133365506062</c:v>
                </c:pt>
                <c:pt idx="364">
                  <c:v>495.03072270689665</c:v>
                </c:pt>
                <c:pt idx="365">
                  <c:v>495.04784401105354</c:v>
                </c:pt>
                <c:pt idx="366">
                  <c:v>495.06470045439931</c:v>
                </c:pt>
                <c:pt idx="367">
                  <c:v>495.08129202834647</c:v>
                </c:pt>
                <c:pt idx="368">
                  <c:v>495.09761872440964</c:v>
                </c:pt>
                <c:pt idx="369">
                  <c:v>495.11368053423303</c:v>
                </c:pt>
                <c:pt idx="370">
                  <c:v>495.12947744956847</c:v>
                </c:pt>
                <c:pt idx="371">
                  <c:v>495.14500946227378</c:v>
                </c:pt>
                <c:pt idx="372">
                  <c:v>495.16027656429605</c:v>
                </c:pt>
                <c:pt idx="373">
                  <c:v>495.17527874774265</c:v>
                </c:pt>
                <c:pt idx="374">
                  <c:v>495.19001600479316</c:v>
                </c:pt>
                <c:pt idx="375">
                  <c:v>495.2044883277469</c:v>
                </c:pt>
                <c:pt idx="376">
                  <c:v>495.21869570902692</c:v>
                </c:pt>
                <c:pt idx="377">
                  <c:v>495.23263814116387</c:v>
                </c:pt>
                <c:pt idx="378">
                  <c:v>495.24631561678262</c:v>
                </c:pt>
                <c:pt idx="379">
                  <c:v>495.25972812863233</c:v>
                </c:pt>
                <c:pt idx="380">
                  <c:v>495.27287566957648</c:v>
                </c:pt>
                <c:pt idx="381">
                  <c:v>495.2857582325729</c:v>
                </c:pt>
                <c:pt idx="382">
                  <c:v>495.29837581072132</c:v>
                </c:pt>
                <c:pt idx="383">
                  <c:v>495.31072839719258</c:v>
                </c:pt>
                <c:pt idx="384">
                  <c:v>495.32281598530892</c:v>
                </c:pt>
                <c:pt idx="385">
                  <c:v>495.33463856846384</c:v>
                </c:pt>
                <c:pt idx="386">
                  <c:v>495.34619614021045</c:v>
                </c:pt>
                <c:pt idx="387">
                  <c:v>495.35748869415175</c:v>
                </c:pt>
                <c:pt idx="388">
                  <c:v>495.36851622405078</c:v>
                </c:pt>
                <c:pt idx="389">
                  <c:v>495.37927872377111</c:v>
                </c:pt>
                <c:pt idx="390">
                  <c:v>495.38977618727495</c:v>
                </c:pt>
                <c:pt idx="391">
                  <c:v>495.40000860864063</c:v>
                </c:pt>
                <c:pt idx="392">
                  <c:v>495.40997598207389</c:v>
                </c:pt>
                <c:pt idx="393">
                  <c:v>495.41967830184433</c:v>
                </c:pt>
                <c:pt idx="394">
                  <c:v>495.42911556239125</c:v>
                </c:pt>
                <c:pt idx="395">
                  <c:v>495.43828775822527</c:v>
                </c:pt>
                <c:pt idx="396">
                  <c:v>495.44719488400483</c:v>
                </c:pt>
                <c:pt idx="397">
                  <c:v>495.45583693444388</c:v>
                </c:pt>
                <c:pt idx="398">
                  <c:v>495.464213904411</c:v>
                </c:pt>
                <c:pt idx="399">
                  <c:v>495.47232578888867</c:v>
                </c:pt>
                <c:pt idx="400">
                  <c:v>495.48017258292685</c:v>
                </c:pt>
                <c:pt idx="401">
                  <c:v>495.48775428173951</c:v>
                </c:pt>
                <c:pt idx="402">
                  <c:v>495.49507088061267</c:v>
                </c:pt>
                <c:pt idx="403">
                  <c:v>495.5021223749593</c:v>
                </c:pt>
                <c:pt idx="404">
                  <c:v>495.50890876031696</c:v>
                </c:pt>
                <c:pt idx="405">
                  <c:v>495.51543003230154</c:v>
                </c:pt>
                <c:pt idx="406">
                  <c:v>495.52168618666406</c:v>
                </c:pt>
                <c:pt idx="407">
                  <c:v>495.52767721926256</c:v>
                </c:pt>
                <c:pt idx="408">
                  <c:v>495.53340312605303</c:v>
                </c:pt>
                <c:pt idx="409">
                  <c:v>495.5388639031284</c:v>
                </c:pt>
                <c:pt idx="410">
                  <c:v>495.54405954665793</c:v>
                </c:pt>
                <c:pt idx="411">
                  <c:v>495.54899005294584</c:v>
                </c:pt>
                <c:pt idx="412">
                  <c:v>495.55365541839495</c:v>
                </c:pt>
                <c:pt idx="413">
                  <c:v>495.55805563955039</c:v>
                </c:pt>
                <c:pt idx="414">
                  <c:v>495.5621907130195</c:v>
                </c:pt>
                <c:pt idx="415">
                  <c:v>495.56606063556291</c:v>
                </c:pt>
                <c:pt idx="416">
                  <c:v>495.56966540400884</c:v>
                </c:pt>
                <c:pt idx="417">
                  <c:v>495.57300501534212</c:v>
                </c:pt>
                <c:pt idx="418">
                  <c:v>495.57607946663398</c:v>
                </c:pt>
                <c:pt idx="419">
                  <c:v>495.57888875506097</c:v>
                </c:pt>
                <c:pt idx="420">
                  <c:v>495.5814328779241</c:v>
                </c:pt>
                <c:pt idx="421">
                  <c:v>495.58371183263716</c:v>
                </c:pt>
                <c:pt idx="422">
                  <c:v>495.5857256167136</c:v>
                </c:pt>
                <c:pt idx="423">
                  <c:v>495.58747422777964</c:v>
                </c:pt>
                <c:pt idx="424">
                  <c:v>495.58895766357386</c:v>
                </c:pt>
                <c:pt idx="425">
                  <c:v>495.59017592195943</c:v>
                </c:pt>
                <c:pt idx="426">
                  <c:v>495.591129000877</c:v>
                </c:pt>
                <c:pt idx="427">
                  <c:v>495.59181689843143</c:v>
                </c:pt>
                <c:pt idx="428">
                  <c:v>495.59223961277593</c:v>
                </c:pt>
                <c:pt idx="429">
                  <c:v>495.59239714220945</c:v>
                </c:pt>
                <c:pt idx="430">
                  <c:v>495.59228948515494</c:v>
                </c:pt>
                <c:pt idx="431">
                  <c:v>495.59191664010666</c:v>
                </c:pt>
                <c:pt idx="432">
                  <c:v>495.5912786057159</c:v>
                </c:pt>
                <c:pt idx="433">
                  <c:v>495.59037538069259</c:v>
                </c:pt>
                <c:pt idx="434">
                  <c:v>495.58920696389873</c:v>
                </c:pt>
                <c:pt idx="435">
                  <c:v>495.58777335429636</c:v>
                </c:pt>
                <c:pt idx="436">
                  <c:v>495.58607455095279</c:v>
                </c:pt>
                <c:pt idx="437">
                  <c:v>495.58411055305231</c:v>
                </c:pt>
                <c:pt idx="438">
                  <c:v>495.5818813598836</c:v>
                </c:pt>
                <c:pt idx="439">
                  <c:v>495.5793869708537</c:v>
                </c:pt>
                <c:pt idx="440">
                  <c:v>495.57662738546168</c:v>
                </c:pt>
                <c:pt idx="441">
                  <c:v>495.57360260334934</c:v>
                </c:pt>
                <c:pt idx="442">
                  <c:v>495.57031262424977</c:v>
                </c:pt>
                <c:pt idx="443">
                  <c:v>495.56675744800805</c:v>
                </c:pt>
                <c:pt idx="444">
                  <c:v>495.5629370745761</c:v>
                </c:pt>
                <c:pt idx="445">
                  <c:v>495.55885150402275</c:v>
                </c:pt>
                <c:pt idx="446">
                  <c:v>495.55450073653839</c:v>
                </c:pt>
                <c:pt idx="447">
                  <c:v>495.54988477239249</c:v>
                </c:pt>
                <c:pt idx="448">
                  <c:v>495.54500361200076</c:v>
                </c:pt>
                <c:pt idx="449">
                  <c:v>495.53985725588103</c:v>
                </c:pt>
                <c:pt idx="450">
                  <c:v>495.53444570464734</c:v>
                </c:pt>
                <c:pt idx="451">
                  <c:v>495.52876895902284</c:v>
                </c:pt>
                <c:pt idx="452">
                  <c:v>495.5228270198657</c:v>
                </c:pt>
                <c:pt idx="453">
                  <c:v>495.51661988812242</c:v>
                </c:pt>
                <c:pt idx="454">
                  <c:v>495.51014756487876</c:v>
                </c:pt>
                <c:pt idx="455">
                  <c:v>495.50341005128524</c:v>
                </c:pt>
                <c:pt idx="456">
                  <c:v>495.49640734865386</c:v>
                </c:pt>
                <c:pt idx="457">
                  <c:v>495.48913945836267</c:v>
                </c:pt>
                <c:pt idx="458">
                  <c:v>495.48160638193053</c:v>
                </c:pt>
                <c:pt idx="459">
                  <c:v>495.47380812098072</c:v>
                </c:pt>
                <c:pt idx="460">
                  <c:v>495.46574467724645</c:v>
                </c:pt>
                <c:pt idx="461">
                  <c:v>495.45741605256006</c:v>
                </c:pt>
                <c:pt idx="462">
                  <c:v>495.44882224888443</c:v>
                </c:pt>
                <c:pt idx="463">
                  <c:v>495.43996326829318</c:v>
                </c:pt>
                <c:pt idx="464">
                  <c:v>495.43083911294201</c:v>
                </c:pt>
                <c:pt idx="465">
                  <c:v>495.42144978512277</c:v>
                </c:pt>
                <c:pt idx="466">
                  <c:v>495.411795287242</c:v>
                </c:pt>
                <c:pt idx="467">
                  <c:v>495.40187562180461</c:v>
                </c:pt>
                <c:pt idx="468">
                  <c:v>495.39169079142494</c:v>
                </c:pt>
                <c:pt idx="469">
                  <c:v>495.38124079883983</c:v>
                </c:pt>
                <c:pt idx="470">
                  <c:v>495.3705256468902</c:v>
                </c:pt>
                <c:pt idx="471">
                  <c:v>495.35954533851657</c:v>
                </c:pt>
                <c:pt idx="472">
                  <c:v>495.34829987679757</c:v>
                </c:pt>
                <c:pt idx="473">
                  <c:v>495.33678926490825</c:v>
                </c:pt>
                <c:pt idx="474">
                  <c:v>495.32501350612569</c:v>
                </c:pt>
                <c:pt idx="475">
                  <c:v>495.31297260384429</c:v>
                </c:pt>
                <c:pt idx="476">
                  <c:v>495.30066656157902</c:v>
                </c:pt>
                <c:pt idx="477">
                  <c:v>495.28809538294564</c:v>
                </c:pt>
                <c:pt idx="478">
                  <c:v>495.2752590716733</c:v>
                </c:pt>
                <c:pt idx="479">
                  <c:v>495.26215763160684</c:v>
                </c:pt>
                <c:pt idx="480">
                  <c:v>495.24879106669613</c:v>
                </c:pt>
                <c:pt idx="481">
                  <c:v>495.23515938099501</c:v>
                </c:pt>
                <c:pt idx="482">
                  <c:v>495.22126257869303</c:v>
                </c:pt>
                <c:pt idx="483">
                  <c:v>495.20710066406355</c:v>
                </c:pt>
                <c:pt idx="484">
                  <c:v>495.19267364151341</c:v>
                </c:pt>
                <c:pt idx="485">
                  <c:v>495.17798151554024</c:v>
                </c:pt>
                <c:pt idx="486">
                  <c:v>495.16302429076643</c:v>
                </c:pt>
                <c:pt idx="487">
                  <c:v>495.1478019719242</c:v>
                </c:pt>
                <c:pt idx="488">
                  <c:v>495.13231456384477</c:v>
                </c:pt>
                <c:pt idx="489">
                  <c:v>495.11656207148894</c:v>
                </c:pt>
                <c:pt idx="490">
                  <c:v>495.10054449992106</c:v>
                </c:pt>
                <c:pt idx="491">
                  <c:v>495.0842618543133</c:v>
                </c:pt>
                <c:pt idx="492">
                  <c:v>495.0677141399471</c:v>
                </c:pt>
                <c:pt idx="493">
                  <c:v>495.05090136222026</c:v>
                </c:pt>
                <c:pt idx="494">
                  <c:v>495.03382352664954</c:v>
                </c:pt>
                <c:pt idx="495">
                  <c:v>495.01648063883857</c:v>
                </c:pt>
                <c:pt idx="496">
                  <c:v>494.99887270452865</c:v>
                </c:pt>
                <c:pt idx="497">
                  <c:v>494.98099972956118</c:v>
                </c:pt>
                <c:pt idx="498">
                  <c:v>494.9628617198818</c:v>
                </c:pt>
                <c:pt idx="499">
                  <c:v>494.94445868157067</c:v>
                </c:pt>
                <c:pt idx="500">
                  <c:v>494.92579062078261</c:v>
                </c:pt>
                <c:pt idx="501">
                  <c:v>494.90685754380536</c:v>
                </c:pt>
                <c:pt idx="502">
                  <c:v>494.88765945705973</c:v>
                </c:pt>
                <c:pt idx="503">
                  <c:v>494.86819636703723</c:v>
                </c:pt>
                <c:pt idx="504">
                  <c:v>494.84846828035228</c:v>
                </c:pt>
                <c:pt idx="505">
                  <c:v>494.82847520375526</c:v>
                </c:pt>
                <c:pt idx="506">
                  <c:v>494.80821714407455</c:v>
                </c:pt>
                <c:pt idx="507">
                  <c:v>494.78769410827448</c:v>
                </c:pt>
                <c:pt idx="508">
                  <c:v>494.76690610340927</c:v>
                </c:pt>
                <c:pt idx="509">
                  <c:v>494.74585313668194</c:v>
                </c:pt>
                <c:pt idx="510">
                  <c:v>494.7245352153497</c:v>
                </c:pt>
                <c:pt idx="511">
                  <c:v>494.70295234682089</c:v>
                </c:pt>
                <c:pt idx="512">
                  <c:v>494.68110453862653</c:v>
                </c:pt>
                <c:pt idx="513">
                  <c:v>494.6589917983722</c:v>
                </c:pt>
                <c:pt idx="514">
                  <c:v>494.63661413379418</c:v>
                </c:pt>
                <c:pt idx="515">
                  <c:v>494.61397155273778</c:v>
                </c:pt>
                <c:pt idx="516">
                  <c:v>494.59106406317494</c:v>
                </c:pt>
                <c:pt idx="517">
                  <c:v>494.5678916731614</c:v>
                </c:pt>
                <c:pt idx="518">
                  <c:v>494.54445439086442</c:v>
                </c:pt>
                <c:pt idx="519">
                  <c:v>494.52075222461133</c:v>
                </c:pt>
                <c:pt idx="520">
                  <c:v>494.49678518277216</c:v>
                </c:pt>
                <c:pt idx="521">
                  <c:v>494.47255327388251</c:v>
                </c:pt>
                <c:pt idx="522">
                  <c:v>494.44805650655286</c:v>
                </c:pt>
                <c:pt idx="523">
                  <c:v>494.42329488953402</c:v>
                </c:pt>
                <c:pt idx="524">
                  <c:v>494.39826843167742</c:v>
                </c:pt>
                <c:pt idx="525">
                  <c:v>494.37297714193562</c:v>
                </c:pt>
                <c:pt idx="526">
                  <c:v>494.34742102939003</c:v>
                </c:pt>
                <c:pt idx="527">
                  <c:v>494.32160010322468</c:v>
                </c:pt>
                <c:pt idx="528">
                  <c:v>494.29551437272761</c:v>
                </c:pt>
                <c:pt idx="529">
                  <c:v>494.26916384730822</c:v>
                </c:pt>
                <c:pt idx="530">
                  <c:v>494.24254853650694</c:v>
                </c:pt>
                <c:pt idx="531">
                  <c:v>494.21566844992259</c:v>
                </c:pt>
                <c:pt idx="532">
                  <c:v>494.18852359733216</c:v>
                </c:pt>
                <c:pt idx="533">
                  <c:v>494.16111398856066</c:v>
                </c:pt>
                <c:pt idx="534">
                  <c:v>494.1334396336016</c:v>
                </c:pt>
                <c:pt idx="535">
                  <c:v>494.10550054251684</c:v>
                </c:pt>
                <c:pt idx="536">
                  <c:v>494.07729672550215</c:v>
                </c:pt>
                <c:pt idx="537">
                  <c:v>494.04882819285871</c:v>
                </c:pt>
                <c:pt idx="538">
                  <c:v>494.02009495499328</c:v>
                </c:pt>
                <c:pt idx="539">
                  <c:v>493.99109702244641</c:v>
                </c:pt>
                <c:pt idx="540">
                  <c:v>493.96183440585355</c:v>
                </c:pt>
                <c:pt idx="541">
                  <c:v>493.93230711595641</c:v>
                </c:pt>
                <c:pt idx="542">
                  <c:v>493.90251516362741</c:v>
                </c:pt>
                <c:pt idx="543">
                  <c:v>493.87245855982889</c:v>
                </c:pt>
                <c:pt idx="544">
                  <c:v>493.84213731565961</c:v>
                </c:pt>
                <c:pt idx="545">
                  <c:v>493.81155144230786</c:v>
                </c:pt>
                <c:pt idx="546">
                  <c:v>493.78070095108961</c:v>
                </c:pt>
                <c:pt idx="547">
                  <c:v>493.74958585341966</c:v>
                </c:pt>
                <c:pt idx="548">
                  <c:v>493.71820616083301</c:v>
                </c:pt>
                <c:pt idx="549">
                  <c:v>493.68656188497505</c:v>
                </c:pt>
                <c:pt idx="550">
                  <c:v>493.65465303761596</c:v>
                </c:pt>
                <c:pt idx="551">
                  <c:v>493.62247963061287</c:v>
                </c:pt>
                <c:pt idx="552">
                  <c:v>493.59004167594679</c:v>
                </c:pt>
                <c:pt idx="553">
                  <c:v>493.55733918572747</c:v>
                </c:pt>
                <c:pt idx="554">
                  <c:v>493.52437217214532</c:v>
                </c:pt>
                <c:pt idx="555">
                  <c:v>493.49114064752763</c:v>
                </c:pt>
                <c:pt idx="556">
                  <c:v>493.45764462429395</c:v>
                </c:pt>
                <c:pt idx="557">
                  <c:v>493.42388411500752</c:v>
                </c:pt>
                <c:pt idx="558">
                  <c:v>493.38985913230596</c:v>
                </c:pt>
                <c:pt idx="559">
                  <c:v>493.35556968896321</c:v>
                </c:pt>
                <c:pt idx="560">
                  <c:v>493.32101579786558</c:v>
                </c:pt>
                <c:pt idx="561">
                  <c:v>493.28619747199633</c:v>
                </c:pt>
                <c:pt idx="562">
                  <c:v>493.25111472446559</c:v>
                </c:pt>
                <c:pt idx="563">
                  <c:v>493.2157675684827</c:v>
                </c:pt>
                <c:pt idx="564">
                  <c:v>493.18015601739825</c:v>
                </c:pt>
                <c:pt idx="565">
                  <c:v>493.14428008463068</c:v>
                </c:pt>
                <c:pt idx="566">
                  <c:v>493.10813978373483</c:v>
                </c:pt>
                <c:pt idx="567">
                  <c:v>493.0717351284012</c:v>
                </c:pt>
                <c:pt idx="568">
                  <c:v>493.03506613238824</c:v>
                </c:pt>
                <c:pt idx="569">
                  <c:v>492.99813280958466</c:v>
                </c:pt>
                <c:pt idx="570">
                  <c:v>492.96093517401266</c:v>
                </c:pt>
                <c:pt idx="571">
                  <c:v>492.92347323977344</c:v>
                </c:pt>
                <c:pt idx="572">
                  <c:v>492.88574702110321</c:v>
                </c:pt>
                <c:pt idx="573">
                  <c:v>492.84775653235346</c:v>
                </c:pt>
                <c:pt idx="574">
                  <c:v>492.80950178795706</c:v>
                </c:pt>
                <c:pt idx="575">
                  <c:v>492.77098280250027</c:v>
                </c:pt>
                <c:pt idx="576">
                  <c:v>492.73219959065881</c:v>
                </c:pt>
                <c:pt idx="577">
                  <c:v>492.69315216721355</c:v>
                </c:pt>
                <c:pt idx="578">
                  <c:v>492.65384054708306</c:v>
                </c:pt>
                <c:pt idx="579">
                  <c:v>492.61426474528162</c:v>
                </c:pt>
                <c:pt idx="580">
                  <c:v>492.5744247769436</c:v>
                </c:pt>
                <c:pt idx="581">
                  <c:v>492.53432065730607</c:v>
                </c:pt>
                <c:pt idx="582">
                  <c:v>492.49395240172993</c:v>
                </c:pt>
                <c:pt idx="583">
                  <c:v>492.45332002569063</c:v>
                </c:pt>
                <c:pt idx="584">
                  <c:v>492.41242354475622</c:v>
                </c:pt>
                <c:pt idx="585">
                  <c:v>492.37126297463124</c:v>
                </c:pt>
                <c:pt idx="586">
                  <c:v>492.32983833112439</c:v>
                </c:pt>
                <c:pt idx="587">
                  <c:v>492.28814963015839</c:v>
                </c:pt>
                <c:pt idx="588">
                  <c:v>492.24619688776403</c:v>
                </c:pt>
                <c:pt idx="589">
                  <c:v>492.2039801200836</c:v>
                </c:pt>
                <c:pt idx="590">
                  <c:v>492.16149934338074</c:v>
                </c:pt>
                <c:pt idx="591">
                  <c:v>492.11875457404165</c:v>
                </c:pt>
                <c:pt idx="592">
                  <c:v>492.07574582853618</c:v>
                </c:pt>
                <c:pt idx="593">
                  <c:v>492.03247312346917</c:v>
                </c:pt>
                <c:pt idx="594">
                  <c:v>491.98893647555059</c:v>
                </c:pt>
                <c:pt idx="595">
                  <c:v>491.94513590161142</c:v>
                </c:pt>
                <c:pt idx="596">
                  <c:v>491.90107141859295</c:v>
                </c:pt>
                <c:pt idx="597">
                  <c:v>491.85674304354632</c:v>
                </c:pt>
                <c:pt idx="598">
                  <c:v>491.81215079362613</c:v>
                </c:pt>
                <c:pt idx="599">
                  <c:v>491.76729468612353</c:v>
                </c:pt>
                <c:pt idx="600">
                  <c:v>491.72217473843085</c:v>
                </c:pt>
                <c:pt idx="601">
                  <c:v>491.67679096804648</c:v>
                </c:pt>
                <c:pt idx="602">
                  <c:v>491.63114339258823</c:v>
                </c:pt>
                <c:pt idx="603">
                  <c:v>491.58523202980484</c:v>
                </c:pt>
                <c:pt idx="604">
                  <c:v>491.5390568975252</c:v>
                </c:pt>
                <c:pt idx="605">
                  <c:v>491.49261801371682</c:v>
                </c:pt>
                <c:pt idx="606">
                  <c:v>491.44591539645046</c:v>
                </c:pt>
                <c:pt idx="607">
                  <c:v>491.39894906391299</c:v>
                </c:pt>
                <c:pt idx="608">
                  <c:v>491.35171903440187</c:v>
                </c:pt>
                <c:pt idx="609">
                  <c:v>491.30422532634009</c:v>
                </c:pt>
                <c:pt idx="610">
                  <c:v>491.2564679582452</c:v>
                </c:pt>
                <c:pt idx="611">
                  <c:v>491.20844694876303</c:v>
                </c:pt>
                <c:pt idx="612">
                  <c:v>491.16016231663679</c:v>
                </c:pt>
                <c:pt idx="613">
                  <c:v>491.11161408074901</c:v>
                </c:pt>
                <c:pt idx="614">
                  <c:v>491.06280226007448</c:v>
                </c:pt>
                <c:pt idx="615">
                  <c:v>491.01372687371946</c:v>
                </c:pt>
                <c:pt idx="616">
                  <c:v>490.96438794088573</c:v>
                </c:pt>
                <c:pt idx="617">
                  <c:v>490.91478548089663</c:v>
                </c:pt>
                <c:pt idx="618">
                  <c:v>490.86491951318584</c:v>
                </c:pt>
                <c:pt idx="619">
                  <c:v>490.81479005731109</c:v>
                </c:pt>
                <c:pt idx="620">
                  <c:v>490.76439713293871</c:v>
                </c:pt>
                <c:pt idx="621">
                  <c:v>490.71374075984636</c:v>
                </c:pt>
                <c:pt idx="622">
                  <c:v>490.66282095792491</c:v>
                </c:pt>
                <c:pt idx="623">
                  <c:v>490.61163774718801</c:v>
                </c:pt>
                <c:pt idx="624">
                  <c:v>490.56019114775455</c:v>
                </c:pt>
                <c:pt idx="625">
                  <c:v>490.50848117985504</c:v>
                </c:pt>
                <c:pt idx="626">
                  <c:v>490.45650786383999</c:v>
                </c:pt>
                <c:pt idx="627">
                  <c:v>490.40427122018531</c:v>
                </c:pt>
                <c:pt idx="628">
                  <c:v>490.35177126945814</c:v>
                </c:pt>
                <c:pt idx="629">
                  <c:v>490.29900803234909</c:v>
                </c:pt>
                <c:pt idx="630">
                  <c:v>490.24598152966922</c:v>
                </c:pt>
                <c:pt idx="631">
                  <c:v>490.19269178234595</c:v>
                </c:pt>
                <c:pt idx="632">
                  <c:v>490.13913881140274</c:v>
                </c:pt>
                <c:pt idx="633">
                  <c:v>490.08532263799742</c:v>
                </c:pt>
                <c:pt idx="634">
                  <c:v>490.03124328339834</c:v>
                </c:pt>
                <c:pt idx="635">
                  <c:v>489.9769007689772</c:v>
                </c:pt>
                <c:pt idx="636">
                  <c:v>489.92229511622639</c:v>
                </c:pt>
                <c:pt idx="637">
                  <c:v>489.86742634675539</c:v>
                </c:pt>
                <c:pt idx="638">
                  <c:v>489.81229448228896</c:v>
                </c:pt>
                <c:pt idx="639">
                  <c:v>489.756899544671</c:v>
                </c:pt>
                <c:pt idx="640">
                  <c:v>489.70124155584176</c:v>
                </c:pt>
                <c:pt idx="641">
                  <c:v>489.64532053786729</c:v>
                </c:pt>
                <c:pt idx="642">
                  <c:v>489.58913651293159</c:v>
                </c:pt>
                <c:pt idx="643">
                  <c:v>489.53268950333074</c:v>
                </c:pt>
                <c:pt idx="644">
                  <c:v>489.47597953148693</c:v>
                </c:pt>
                <c:pt idx="645">
                  <c:v>489.41900661991269</c:v>
                </c:pt>
                <c:pt idx="646">
                  <c:v>489.36177079124326</c:v>
                </c:pt>
                <c:pt idx="647">
                  <c:v>489.30427206824885</c:v>
                </c:pt>
                <c:pt idx="648">
                  <c:v>489.24651047379052</c:v>
                </c:pt>
                <c:pt idx="649">
                  <c:v>489.18848603085343</c:v>
                </c:pt>
                <c:pt idx="650">
                  <c:v>489.13019876254538</c:v>
                </c:pt>
                <c:pt idx="651">
                  <c:v>489.07164869207384</c:v>
                </c:pt>
                <c:pt idx="652">
                  <c:v>489.0128358427753</c:v>
                </c:pt>
                <c:pt idx="653">
                  <c:v>488.95376023808967</c:v>
                </c:pt>
                <c:pt idx="654">
                  <c:v>488.89442190158064</c:v>
                </c:pt>
                <c:pt idx="655">
                  <c:v>488.83482085692981</c:v>
                </c:pt>
                <c:pt idx="656">
                  <c:v>488.77495712791966</c:v>
                </c:pt>
                <c:pt idx="657">
                  <c:v>488.71483073845729</c:v>
                </c:pt>
                <c:pt idx="658">
                  <c:v>488.65444171257275</c:v>
                </c:pt>
                <c:pt idx="659">
                  <c:v>488.59379007439298</c:v>
                </c:pt>
                <c:pt idx="660">
                  <c:v>488.53287584818315</c:v>
                </c:pt>
                <c:pt idx="661">
                  <c:v>488.47169905829242</c:v>
                </c:pt>
                <c:pt idx="662">
                  <c:v>488.41025972922569</c:v>
                </c:pt>
                <c:pt idx="663">
                  <c:v>488.34855788557059</c:v>
                </c:pt>
                <c:pt idx="664">
                  <c:v>488.28659355204462</c:v>
                </c:pt>
                <c:pt idx="665">
                  <c:v>488.22436675348092</c:v>
                </c:pt>
                <c:pt idx="666">
                  <c:v>488.16187751482266</c:v>
                </c:pt>
                <c:pt idx="667">
                  <c:v>488.09912586112915</c:v>
                </c:pt>
                <c:pt idx="668">
                  <c:v>488.03611181758612</c:v>
                </c:pt>
                <c:pt idx="669">
                  <c:v>487.97283540947177</c:v>
                </c:pt>
                <c:pt idx="670">
                  <c:v>487.90929666221695</c:v>
                </c:pt>
                <c:pt idx="671">
                  <c:v>487.8454956013299</c:v>
                </c:pt>
                <c:pt idx="672">
                  <c:v>487.78143225245333</c:v>
                </c:pt>
                <c:pt idx="673">
                  <c:v>487.71710664135662</c:v>
                </c:pt>
                <c:pt idx="674">
                  <c:v>487.65251879389814</c:v>
                </c:pt>
                <c:pt idx="675">
                  <c:v>487.58766873607379</c:v>
                </c:pt>
                <c:pt idx="676">
                  <c:v>487.52255649398705</c:v>
                </c:pt>
                <c:pt idx="677">
                  <c:v>487.45718209386547</c:v>
                </c:pt>
                <c:pt idx="678">
                  <c:v>487.3915455620301</c:v>
                </c:pt>
                <c:pt idx="679">
                  <c:v>487.32564692495396</c:v>
                </c:pt>
                <c:pt idx="680">
                  <c:v>487.25948620920133</c:v>
                </c:pt>
                <c:pt idx="681">
                  <c:v>487.19306344145343</c:v>
                </c:pt>
                <c:pt idx="682">
                  <c:v>487.12637864850916</c:v>
                </c:pt>
                <c:pt idx="683">
                  <c:v>487.05943185730564</c:v>
                </c:pt>
                <c:pt idx="684">
                  <c:v>486.99222309485862</c:v>
                </c:pt>
                <c:pt idx="685">
                  <c:v>486.92475238833117</c:v>
                </c:pt>
                <c:pt idx="686">
                  <c:v>486.85701976498768</c:v>
                </c:pt>
                <c:pt idx="687">
                  <c:v>486.78902525221201</c:v>
                </c:pt>
                <c:pt idx="688">
                  <c:v>486.7207688775091</c:v>
                </c:pt>
                <c:pt idx="689">
                  <c:v>486.65225066850013</c:v>
                </c:pt>
                <c:pt idx="690">
                  <c:v>486.5834706529123</c:v>
                </c:pt>
                <c:pt idx="691">
                  <c:v>486.51442885860172</c:v>
                </c:pt>
                <c:pt idx="692">
                  <c:v>486.44512531353945</c:v>
                </c:pt>
                <c:pt idx="693">
                  <c:v>486.37556004580921</c:v>
                </c:pt>
                <c:pt idx="694">
                  <c:v>486.30573308360914</c:v>
                </c:pt>
                <c:pt idx="695">
                  <c:v>486.23564445526671</c:v>
                </c:pt>
                <c:pt idx="696">
                  <c:v>486.16529418921095</c:v>
                </c:pt>
                <c:pt idx="697">
                  <c:v>486.09468231399507</c:v>
                </c:pt>
                <c:pt idx="698">
                  <c:v>486.0238088582966</c:v>
                </c:pt>
                <c:pt idx="699">
                  <c:v>485.9526738508996</c:v>
                </c:pt>
                <c:pt idx="700">
                  <c:v>485.88127732071007</c:v>
                </c:pt>
                <c:pt idx="701">
                  <c:v>485.80961929674561</c:v>
                </c:pt>
                <c:pt idx="702">
                  <c:v>485.7376998081462</c:v>
                </c:pt>
                <c:pt idx="703">
                  <c:v>485.66551888417672</c:v>
                </c:pt>
                <c:pt idx="704">
                  <c:v>485.59307655420247</c:v>
                </c:pt>
                <c:pt idx="705">
                  <c:v>485.52037284771592</c:v>
                </c:pt>
                <c:pt idx="706">
                  <c:v>485.44740779433369</c:v>
                </c:pt>
                <c:pt idx="707">
                  <c:v>485.37418142377021</c:v>
                </c:pt>
                <c:pt idx="708">
                  <c:v>485.30069376588722</c:v>
                </c:pt>
                <c:pt idx="709">
                  <c:v>485.22694485061902</c:v>
                </c:pt>
                <c:pt idx="710">
                  <c:v>485.15293470807029</c:v>
                </c:pt>
                <c:pt idx="711">
                  <c:v>485.07866336842346</c:v>
                </c:pt>
                <c:pt idx="712">
                  <c:v>485.00413086200433</c:v>
                </c:pt>
                <c:pt idx="713">
                  <c:v>484.92933721924317</c:v>
                </c:pt>
                <c:pt idx="714">
                  <c:v>484.85428247068927</c:v>
                </c:pt>
                <c:pt idx="715">
                  <c:v>484.77896664700575</c:v>
                </c:pt>
                <c:pt idx="716">
                  <c:v>484.70338977898552</c:v>
                </c:pt>
                <c:pt idx="717">
                  <c:v>484.62755189752187</c:v>
                </c:pt>
                <c:pt idx="718">
                  <c:v>484.5514530336568</c:v>
                </c:pt>
                <c:pt idx="719">
                  <c:v>484.47509321851635</c:v>
                </c:pt>
                <c:pt idx="720">
                  <c:v>484.39847248335917</c:v>
                </c:pt>
                <c:pt idx="721">
                  <c:v>484.3215908595738</c:v>
                </c:pt>
                <c:pt idx="722">
                  <c:v>484.2444483786424</c:v>
                </c:pt>
                <c:pt idx="723">
                  <c:v>484.16704507218662</c:v>
                </c:pt>
                <c:pt idx="724">
                  <c:v>484.08938097193129</c:v>
                </c:pt>
                <c:pt idx="725">
                  <c:v>484.01145610973583</c:v>
                </c:pt>
                <c:pt idx="726">
                  <c:v>483.93327051756501</c:v>
                </c:pt>
                <c:pt idx="727">
                  <c:v>483.8548242275146</c:v>
                </c:pt>
                <c:pt idx="728">
                  <c:v>483.77611727177566</c:v>
                </c:pt>
                <c:pt idx="729">
                  <c:v>483.69714968268744</c:v>
                </c:pt>
                <c:pt idx="730">
                  <c:v>483.61792149268638</c:v>
                </c:pt>
                <c:pt idx="731">
                  <c:v>483.53843273433915</c:v>
                </c:pt>
                <c:pt idx="732">
                  <c:v>483.45868344031902</c:v>
                </c:pt>
                <c:pt idx="733">
                  <c:v>483.37867364343316</c:v>
                </c:pt>
                <c:pt idx="734">
                  <c:v>483.29840337659283</c:v>
                </c:pt>
                <c:pt idx="735">
                  <c:v>483.21787267285083</c:v>
                </c:pt>
                <c:pt idx="736">
                  <c:v>483.13708156534784</c:v>
                </c:pt>
                <c:pt idx="737">
                  <c:v>483.05603008736318</c:v>
                </c:pt>
                <c:pt idx="738">
                  <c:v>482.9747182723043</c:v>
                </c:pt>
                <c:pt idx="739">
                  <c:v>482.89314615367681</c:v>
                </c:pt>
                <c:pt idx="740">
                  <c:v>482.8113137651174</c:v>
                </c:pt>
                <c:pt idx="741">
                  <c:v>482.72922114036766</c:v>
                </c:pt>
                <c:pt idx="742">
                  <c:v>482.64686831332034</c:v>
                </c:pt>
                <c:pt idx="743">
                  <c:v>482.56425531795003</c:v>
                </c:pt>
                <c:pt idx="744">
                  <c:v>482.48138218837067</c:v>
                </c:pt>
                <c:pt idx="745">
                  <c:v>482.39824895882691</c:v>
                </c:pt>
                <c:pt idx="746">
                  <c:v>482.31485566365637</c:v>
                </c:pt>
                <c:pt idx="747">
                  <c:v>482.23120233732749</c:v>
                </c:pt>
                <c:pt idx="748">
                  <c:v>482.14728901443448</c:v>
                </c:pt>
                <c:pt idx="749">
                  <c:v>482.063115729694</c:v>
                </c:pt>
                <c:pt idx="750">
                  <c:v>481.97868251791721</c:v>
                </c:pt>
                <c:pt idx="751">
                  <c:v>481.8939894140708</c:v>
                </c:pt>
                <c:pt idx="752">
                  <c:v>481.80903645321501</c:v>
                </c:pt>
                <c:pt idx="753">
                  <c:v>481.72382367055405</c:v>
                </c:pt>
                <c:pt idx="754">
                  <c:v>481.63835110137398</c:v>
                </c:pt>
                <c:pt idx="755">
                  <c:v>481.5526187811214</c:v>
                </c:pt>
                <c:pt idx="756">
                  <c:v>481.46662674533769</c:v>
                </c:pt>
                <c:pt idx="757">
                  <c:v>481.38037502969644</c:v>
                </c:pt>
                <c:pt idx="758">
                  <c:v>481.2938636699804</c:v>
                </c:pt>
                <c:pt idx="759">
                  <c:v>481.20709270211864</c:v>
                </c:pt>
                <c:pt idx="760">
                  <c:v>481.1200621621204</c:v>
                </c:pt>
                <c:pt idx="761">
                  <c:v>481.03277208615077</c:v>
                </c:pt>
                <c:pt idx="762">
                  <c:v>480.94522251047579</c:v>
                </c:pt>
                <c:pt idx="763">
                  <c:v>480.85741347148814</c:v>
                </c:pt>
                <c:pt idx="764">
                  <c:v>480.76934500570775</c:v>
                </c:pt>
                <c:pt idx="765">
                  <c:v>480.68101714976535</c:v>
                </c:pt>
                <c:pt idx="766">
                  <c:v>480.5924299404067</c:v>
                </c:pt>
                <c:pt idx="767">
                  <c:v>480.50358341451755</c:v>
                </c:pt>
                <c:pt idx="768">
                  <c:v>480.41447760908812</c:v>
                </c:pt>
                <c:pt idx="769">
                  <c:v>480.32511256124747</c:v>
                </c:pt>
                <c:pt idx="770">
                  <c:v>480.23548830822006</c:v>
                </c:pt>
                <c:pt idx="771">
                  <c:v>480.14560488737089</c:v>
                </c:pt>
                <c:pt idx="772">
                  <c:v>480.05546233617906</c:v>
                </c:pt>
                <c:pt idx="773">
                  <c:v>479.96506069225285</c:v>
                </c:pt>
                <c:pt idx="774">
                  <c:v>479.87439999330331</c:v>
                </c:pt>
                <c:pt idx="775">
                  <c:v>479.7834802771892</c:v>
                </c:pt>
                <c:pt idx="776">
                  <c:v>479.69230158186662</c:v>
                </c:pt>
                <c:pt idx="777">
                  <c:v>479.60086394543032</c:v>
                </c:pt>
                <c:pt idx="778">
                  <c:v>479.50916740607903</c:v>
                </c:pt>
                <c:pt idx="779">
                  <c:v>479.41721200215267</c:v>
                </c:pt>
                <c:pt idx="780">
                  <c:v>479.32499777209489</c:v>
                </c:pt>
                <c:pt idx="781">
                  <c:v>479.23252475448703</c:v>
                </c:pt>
                <c:pt idx="782">
                  <c:v>479.13979298801962</c:v>
                </c:pt>
                <c:pt idx="783">
                  <c:v>479.04680251152178</c:v>
                </c:pt>
                <c:pt idx="784">
                  <c:v>478.95355336391725</c:v>
                </c:pt>
                <c:pt idx="785">
                  <c:v>478.86004558427067</c:v>
                </c:pt>
                <c:pt idx="786">
                  <c:v>478.7662792117743</c:v>
                </c:pt>
                <c:pt idx="787">
                  <c:v>478.67225428572226</c:v>
                </c:pt>
                <c:pt idx="788">
                  <c:v>478.57797084555199</c:v>
                </c:pt>
                <c:pt idx="789">
                  <c:v>478.4834289308053</c:v>
                </c:pt>
                <c:pt idx="790">
                  <c:v>478.38862858116363</c:v>
                </c:pt>
                <c:pt idx="791">
                  <c:v>478.29356983641526</c:v>
                </c:pt>
                <c:pt idx="792">
                  <c:v>478.1982527364728</c:v>
                </c:pt>
                <c:pt idx="793">
                  <c:v>478.1026773213884</c:v>
                </c:pt>
                <c:pt idx="794">
                  <c:v>478.00684363131444</c:v>
                </c:pt>
                <c:pt idx="795">
                  <c:v>477.91075170654005</c:v>
                </c:pt>
                <c:pt idx="796">
                  <c:v>477.81440158746364</c:v>
                </c:pt>
                <c:pt idx="797">
                  <c:v>477.71779331462614</c:v>
                </c:pt>
                <c:pt idx="798">
                  <c:v>477.62092692867748</c:v>
                </c:pt>
                <c:pt idx="799">
                  <c:v>477.52380247039804</c:v>
                </c:pt>
                <c:pt idx="800">
                  <c:v>477.42641998067762</c:v>
                </c:pt>
                <c:pt idx="801">
                  <c:v>477.32877950054092</c:v>
                </c:pt>
                <c:pt idx="802">
                  <c:v>477.23088107113762</c:v>
                </c:pt>
                <c:pt idx="803">
                  <c:v>477.13272473373797</c:v>
                </c:pt>
                <c:pt idx="804">
                  <c:v>477.03431052972343</c:v>
                </c:pt>
                <c:pt idx="805">
                  <c:v>476.93563850061452</c:v>
                </c:pt>
                <c:pt idx="806">
                  <c:v>476.8367086880429</c:v>
                </c:pt>
                <c:pt idx="807">
                  <c:v>476.7375211337864</c:v>
                </c:pt>
                <c:pt idx="808">
                  <c:v>476.63807587971564</c:v>
                </c:pt>
                <c:pt idx="809">
                  <c:v>476.53837296783797</c:v>
                </c:pt>
                <c:pt idx="810">
                  <c:v>476.4384124403004</c:v>
                </c:pt>
                <c:pt idx="811">
                  <c:v>476.33819433934963</c:v>
                </c:pt>
                <c:pt idx="812">
                  <c:v>476.23771870736863</c:v>
                </c:pt>
                <c:pt idx="813">
                  <c:v>476.1369855868511</c:v>
                </c:pt>
                <c:pt idx="814">
                  <c:v>476.03599502043846</c:v>
                </c:pt>
                <c:pt idx="815">
                  <c:v>475.93474705087726</c:v>
                </c:pt>
                <c:pt idx="816">
                  <c:v>475.83324172104534</c:v>
                </c:pt>
                <c:pt idx="817">
                  <c:v>475.73147907393985</c:v>
                </c:pt>
                <c:pt idx="818">
                  <c:v>475.62945915269052</c:v>
                </c:pt>
                <c:pt idx="819">
                  <c:v>475.52718200053175</c:v>
                </c:pt>
                <c:pt idx="820">
                  <c:v>475.42464766085754</c:v>
                </c:pt>
                <c:pt idx="821">
                  <c:v>475.32185617715152</c:v>
                </c:pt>
                <c:pt idx="822">
                  <c:v>475.21880759303804</c:v>
                </c:pt>
                <c:pt idx="823">
                  <c:v>475.11550195226761</c:v>
                </c:pt>
                <c:pt idx="824">
                  <c:v>475.0119392987051</c:v>
                </c:pt>
                <c:pt idx="825">
                  <c:v>474.90811967635204</c:v>
                </c:pt>
                <c:pt idx="826">
                  <c:v>474.80404312932779</c:v>
                </c:pt>
                <c:pt idx="827">
                  <c:v>474.69970970187273</c:v>
                </c:pt>
                <c:pt idx="828">
                  <c:v>474.59511943836543</c:v>
                </c:pt>
                <c:pt idx="829">
                  <c:v>474.4902723832999</c:v>
                </c:pt>
                <c:pt idx="830">
                  <c:v>474.38516858130185</c:v>
                </c:pt>
                <c:pt idx="831">
                  <c:v>474.27980807710776</c:v>
                </c:pt>
                <c:pt idx="832">
                  <c:v>474.17419091559191</c:v>
                </c:pt>
                <c:pt idx="833">
                  <c:v>474.06831714175377</c:v>
                </c:pt>
                <c:pt idx="834">
                  <c:v>473.96218680071314</c:v>
                </c:pt>
                <c:pt idx="835">
                  <c:v>440.51938270903548</c:v>
                </c:pt>
                <c:pt idx="836">
                  <c:v>409.26572748208264</c:v>
                </c:pt>
                <c:pt idx="837">
                  <c:v>380.05792055394534</c:v>
                </c:pt>
                <c:pt idx="838">
                  <c:v>352.7620417405243</c:v>
                </c:pt>
                <c:pt idx="839">
                  <c:v>327.25293720453089</c:v>
                </c:pt>
                <c:pt idx="840">
                  <c:v>303.41364561490508</c:v>
                </c:pt>
                <c:pt idx="841">
                  <c:v>281.13486186954395</c:v>
                </c:pt>
                <c:pt idx="842">
                  <c:v>260.31443592246734</c:v>
                </c:pt>
                <c:pt idx="843">
                  <c:v>240.85690441750106</c:v>
                </c:pt>
                <c:pt idx="844">
                  <c:v>222.67305298097847</c:v>
                </c:pt>
                <c:pt idx="845">
                  <c:v>205.9217898875776</c:v>
                </c:pt>
                <c:pt idx="846">
                  <c:v>190.70884436889946</c:v>
                </c:pt>
                <c:pt idx="847">
                  <c:v>176.57723414698111</c:v>
                </c:pt>
                <c:pt idx="848">
                  <c:v>163.45157172826256</c:v>
                </c:pt>
                <c:pt idx="849">
                  <c:v>151.26165221873066</c:v>
                </c:pt>
                <c:pt idx="850">
                  <c:v>139.94210014526584</c:v>
                </c:pt>
                <c:pt idx="851">
                  <c:v>129.43204014895247</c:v>
                </c:pt>
                <c:pt idx="852">
                  <c:v>119.67478994208486</c:v>
                </c:pt>
                <c:pt idx="853">
                  <c:v>110.61757402792735</c:v>
                </c:pt>
                <c:pt idx="854">
                  <c:v>102.21125678236365</c:v>
                </c:pt>
                <c:pt idx="855">
                  <c:v>94.410093589869959</c:v>
                </c:pt>
                <c:pt idx="856">
                  <c:v>87.171498813187952</c:v>
                </c:pt>
                <c:pt idx="857">
                  <c:v>80.455829457058712</c:v>
                </c:pt>
                <c:pt idx="858">
                  <c:v>74.226183461756065</c:v>
                </c:pt>
                <c:pt idx="859">
                  <c:v>68.448211632258364</c:v>
                </c:pt>
                <c:pt idx="860">
                  <c:v>63.089942274002752</c:v>
                </c:pt>
                <c:pt idx="861">
                  <c:v>58.121617666523605</c:v>
                </c:pt>
                <c:pt idx="862">
                  <c:v>53.515541562092551</c:v>
                </c:pt>
                <c:pt idx="863">
                  <c:v>49.245936947897924</c:v>
                </c:pt>
                <c:pt idx="864">
                  <c:v>45.288813357425525</c:v>
                </c:pt>
                <c:pt idx="865">
                  <c:v>41.621843059532182</c:v>
                </c:pt>
                <c:pt idx="866">
                  <c:v>38.224245492159461</c:v>
                </c:pt>
                <c:pt idx="867">
                  <c:v>35.076679341480798</c:v>
                </c:pt>
                <c:pt idx="868">
                  <c:v>32.16114169609731</c:v>
                </c:pt>
                <c:pt idx="869">
                  <c:v>29.460873728995381</c:v>
                </c:pt>
                <c:pt idx="870">
                  <c:v>26.960272376258096</c:v>
                </c:pt>
                <c:pt idx="871">
                  <c:v>24.644807489277724</c:v>
                </c:pt>
                <c:pt idx="872">
                  <c:v>22.500943933830996</c:v>
                </c:pt>
                <c:pt idx="873">
                  <c:v>20.516068090794459</c:v>
                </c:pt>
                <c:pt idx="874">
                  <c:v>18.678418173154686</c:v>
                </c:pt>
                <c:pt idx="875">
                  <c:v>16.97701770224791</c:v>
                </c:pt>
                <c:pt idx="876">
                  <c:v>15.401611366563872</c:v>
                </c:pt>
                <c:pt idx="877">
                  <c:v>13.942602292035502</c:v>
                </c:pt>
                <c:pt idx="878">
                  <c:v>12.590989437737681</c:v>
                </c:pt>
                <c:pt idx="879">
                  <c:v>11.338303315197289</c:v>
                </c:pt>
                <c:pt idx="880">
                  <c:v>10.176537367819096</c:v>
                </c:pt>
                <c:pt idx="881">
                  <c:v>9.0980708653601408</c:v>
                </c:pt>
                <c:pt idx="88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0C6-427E-B990-F7EA28D3E8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671645600"/>
        <c:axId val="-671641792"/>
      </c:scatterChart>
      <c:valAx>
        <c:axId val="-671645600"/>
        <c:scaling>
          <c:orientation val="minMax"/>
          <c:min val="0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(sec.)</a:t>
                </a:r>
              </a:p>
            </c:rich>
          </c:tx>
          <c:layout>
            <c:manualLayout>
              <c:xMode val="edge"/>
              <c:yMode val="edge"/>
              <c:x val="0.45605763056340048"/>
              <c:y val="0.890953407506196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671641792"/>
        <c:crosses val="autoZero"/>
        <c:crossBetween val="midCat"/>
      </c:valAx>
      <c:valAx>
        <c:axId val="-671641792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333399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Thrust  (N.)</a:t>
                </a:r>
              </a:p>
            </c:rich>
          </c:tx>
          <c:layout>
            <c:manualLayout>
              <c:xMode val="edge"/>
              <c:yMode val="edge"/>
              <c:x val="4.275534441805226E-2"/>
              <c:y val="0.4176343241317572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333399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671645600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 horizontalDpi="0" verticalDpi="0"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400"/>
              <a:t>Thrust vs time</a:t>
            </a:r>
          </a:p>
        </c:rich>
      </c:tx>
      <c:layout>
        <c:manualLayout>
          <c:xMode val="edge"/>
          <c:yMode val="edge"/>
          <c:x val="0.36499106564297917"/>
          <c:y val="0.1476253402352484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539481508570781"/>
          <c:y val="0.26411316322884171"/>
          <c:w val="0.71991920035091528"/>
          <c:h val="0.5443553745937959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Performance!$L$28:$L$910</c:f>
              <c:numCache>
                <c:formatCode>0.0000</c:formatCode>
                <c:ptCount val="883"/>
                <c:pt idx="0">
                  <c:v>0</c:v>
                </c:pt>
                <c:pt idx="1">
                  <c:v>1.6710334693929663E-3</c:v>
                </c:pt>
                <c:pt idx="2">
                  <c:v>2.4843220196037958E-3</c:v>
                </c:pt>
                <c:pt idx="3">
                  <c:v>3.1810959485757606E-3</c:v>
                </c:pt>
                <c:pt idx="4">
                  <c:v>3.8206732307621274E-3</c:v>
                </c:pt>
                <c:pt idx="5">
                  <c:v>4.425010811441232E-3</c:v>
                </c:pt>
                <c:pt idx="6">
                  <c:v>5.0051821890309094E-3</c:v>
                </c:pt>
                <c:pt idx="7">
                  <c:v>5.5677072839621635E-3</c:v>
                </c:pt>
                <c:pt idx="8">
                  <c:v>6.1168052341769906E-3</c:v>
                </c:pt>
                <c:pt idx="9">
                  <c:v>6.655386144892853E-3</c:v>
                </c:pt>
                <c:pt idx="10">
                  <c:v>7.1855514631596886E-3</c:v>
                </c:pt>
                <c:pt idx="11">
                  <c:v>7.7088718685779109E-3</c:v>
                </c:pt>
                <c:pt idx="12">
                  <c:v>8.2265530704858526E-3</c:v>
                </c:pt>
                <c:pt idx="13">
                  <c:v>8.7395403982088674E-3</c:v>
                </c:pt>
                <c:pt idx="14">
                  <c:v>9.2485877962660071E-3</c:v>
                </c:pt>
                <c:pt idx="15">
                  <c:v>9.7543050395444888E-3</c:v>
                </c:pt>
                <c:pt idx="16">
                  <c:v>1.0257191050367084E-2</c:v>
                </c:pt>
                <c:pt idx="17">
                  <c:v>1.0757658028359783E-2</c:v>
                </c:pt>
                <c:pt idx="18">
                  <c:v>1.1256049321341333E-2</c:v>
                </c:pt>
                <c:pt idx="19">
                  <c:v>1.1752652919476391E-2</c:v>
                </c:pt>
                <c:pt idx="20">
                  <c:v>1.2247711818283298E-2</c:v>
                </c:pt>
                <c:pt idx="21">
                  <c:v>1.2741432096047563E-2</c:v>
                </c:pt>
                <c:pt idx="22">
                  <c:v>1.3233989292713522E-2</c:v>
                </c:pt>
                <c:pt idx="23">
                  <c:v>1.3725533506141557E-2</c:v>
                </c:pt>
                <c:pt idx="24">
                  <c:v>1.421619350572296E-2</c:v>
                </c:pt>
                <c:pt idx="25">
                  <c:v>1.4706080083315238E-2</c:v>
                </c:pt>
                <c:pt idx="26">
                  <c:v>1.5195288805200977E-2</c:v>
                </c:pt>
                <c:pt idx="27">
                  <c:v>1.5683902288574979E-2</c:v>
                </c:pt>
                <c:pt idx="28">
                  <c:v>1.6171992096911249E-2</c:v>
                </c:pt>
                <c:pt idx="29">
                  <c:v>1.6659620327126621E-2</c:v>
                </c:pt>
                <c:pt idx="30">
                  <c:v>1.7146840945497063E-2</c:v>
                </c:pt>
                <c:pt idx="31">
                  <c:v>1.7633700917256964E-2</c:v>
                </c:pt>
                <c:pt idx="32">
                  <c:v>1.8120241165650731E-2</c:v>
                </c:pt>
                <c:pt idx="33">
                  <c:v>1.8606497389155249E-2</c:v>
                </c:pt>
                <c:pt idx="34">
                  <c:v>1.9092500760112149E-2</c:v>
                </c:pt>
                <c:pt idx="35">
                  <c:v>1.9578278523711933E-2</c:v>
                </c:pt>
                <c:pt idx="36">
                  <c:v>2.0063854512873083E-2</c:v>
                </c:pt>
                <c:pt idx="37">
                  <c:v>2.0549249591849339E-2</c:v>
                </c:pt>
                <c:pt idx="38">
                  <c:v>2.1034482039221206E-2</c:v>
                </c:pt>
                <c:pt idx="39">
                  <c:v>2.1519567879166146E-2</c:v>
                </c:pt>
                <c:pt idx="40">
                  <c:v>2.2004521168467038E-2</c:v>
                </c:pt>
                <c:pt idx="41">
                  <c:v>2.2489354245542457E-2</c:v>
                </c:pt>
                <c:pt idx="42">
                  <c:v>2.2974077946812891E-2</c:v>
                </c:pt>
                <c:pt idx="43">
                  <c:v>2.3458701794913113E-2</c:v>
                </c:pt>
                <c:pt idx="44">
                  <c:v>2.3943234162591691E-2</c:v>
                </c:pt>
                <c:pt idx="45">
                  <c:v>2.4427682415578179E-2</c:v>
                </c:pt>
                <c:pt idx="46">
                  <c:v>2.4912053037227388E-2</c:v>
                </c:pt>
                <c:pt idx="47">
                  <c:v>2.5396351737352888E-2</c:v>
                </c:pt>
                <c:pt idx="48">
                  <c:v>2.5880583547325059E-2</c:v>
                </c:pt>
                <c:pt idx="49">
                  <c:v>2.6364752903222943E-2</c:v>
                </c:pt>
                <c:pt idx="50">
                  <c:v>2.6848863718585327E-2</c:v>
                </c:pt>
                <c:pt idx="51">
                  <c:v>2.7332919448098049E-2</c:v>
                </c:pt>
                <c:pt idx="52">
                  <c:v>2.7816923143375808E-2</c:v>
                </c:pt>
                <c:pt idx="53">
                  <c:v>2.8300877501843482E-2</c:v>
                </c:pt>
                <c:pt idx="54">
                  <c:v>2.8784784909589817E-2</c:v>
                </c:pt>
                <c:pt idx="55">
                  <c:v>2.9268647478952532E-2</c:v>
                </c:pt>
                <c:pt idx="56">
                  <c:v>2.9752467081495607E-2</c:v>
                </c:pt>
                <c:pt idx="57">
                  <c:v>3.0236245376954254E-2</c:v>
                </c:pt>
                <c:pt idx="58">
                  <c:v>3.0719983838649635E-2</c:v>
                </c:pt>
                <c:pt idx="59">
                  <c:v>3.1203683775811137E-2</c:v>
                </c:pt>
                <c:pt idx="60">
                  <c:v>3.1687346353188775E-2</c:v>
                </c:pt>
                <c:pt idx="61">
                  <c:v>3.2170972608289813E-2</c:v>
                </c:pt>
                <c:pt idx="62">
                  <c:v>3.2654563466531762E-2</c:v>
                </c:pt>
                <c:pt idx="63">
                  <c:v>3.3138119754567319E-2</c:v>
                </c:pt>
                <c:pt idx="64">
                  <c:v>3.3621642212004949E-2</c:v>
                </c:pt>
                <c:pt idx="65">
                  <c:v>3.4105131501720828E-2</c:v>
                </c:pt>
                <c:pt idx="66">
                  <c:v>3.458858821893384E-2</c:v>
                </c:pt>
                <c:pt idx="67">
                  <c:v>3.5072012899193844E-2</c:v>
                </c:pt>
                <c:pt idx="68">
                  <c:v>3.5555406025415057E-2</c:v>
                </c:pt>
                <c:pt idx="69">
                  <c:v>3.6038768034070114E-2</c:v>
                </c:pt>
                <c:pt idx="70">
                  <c:v>3.6522099320646192E-2</c:v>
                </c:pt>
                <c:pt idx="71">
                  <c:v>3.7005400244452195E-2</c:v>
                </c:pt>
                <c:pt idx="72">
                  <c:v>3.7488671132855089E-2</c:v>
                </c:pt>
                <c:pt idx="73">
                  <c:v>3.797191228501396E-2</c:v>
                </c:pt>
                <c:pt idx="74">
                  <c:v>3.8455123975172104E-2</c:v>
                </c:pt>
                <c:pt idx="75">
                  <c:v>3.8938306455559984E-2</c:v>
                </c:pt>
                <c:pt idx="76">
                  <c:v>3.9421459958955615E-2</c:v>
                </c:pt>
                <c:pt idx="77">
                  <c:v>3.9904584700943289E-2</c:v>
                </c:pt>
                <c:pt idx="78">
                  <c:v>4.0387680881906515E-2</c:v>
                </c:pt>
                <c:pt idx="79">
                  <c:v>4.087074868878688E-2</c:v>
                </c:pt>
                <c:pt idx="80">
                  <c:v>4.1353788296636537E-2</c:v>
                </c:pt>
                <c:pt idx="81">
                  <c:v>4.1836799869988922E-2</c:v>
                </c:pt>
                <c:pt idx="82">
                  <c:v>4.2319783564069083E-2</c:v>
                </c:pt>
                <c:pt idx="83">
                  <c:v>4.2802739525862714E-2</c:v>
                </c:pt>
                <c:pt idx="84">
                  <c:v>4.3285667895060491E-2</c:v>
                </c:pt>
                <c:pt idx="85">
                  <c:v>4.3768568804892459E-2</c:v>
                </c:pt>
                <c:pt idx="86">
                  <c:v>4.4251442382865394E-2</c:v>
                </c:pt>
                <c:pt idx="87">
                  <c:v>4.4734288751414546E-2</c:v>
                </c:pt>
                <c:pt idx="88">
                  <c:v>4.5217108028479815E-2</c:v>
                </c:pt>
                <c:pt idx="89">
                  <c:v>4.5699900328015235E-2</c:v>
                </c:pt>
                <c:pt idx="90">
                  <c:v>4.6182665760439529E-2</c:v>
                </c:pt>
                <c:pt idx="91">
                  <c:v>4.6665404433034678E-2</c:v>
                </c:pt>
                <c:pt idx="92">
                  <c:v>4.7148116450298531E-2</c:v>
                </c:pt>
                <c:pt idx="93">
                  <c:v>4.763080191425683E-2</c:v>
                </c:pt>
                <c:pt idx="94">
                  <c:v>4.8113460924739358E-2</c:v>
                </c:pt>
                <c:pt idx="95">
                  <c:v>4.8596093579624411E-2</c:v>
                </c:pt>
                <c:pt idx="96">
                  <c:v>4.9078699975055227E-2</c:v>
                </c:pt>
                <c:pt idx="97">
                  <c:v>4.9561280205631678E-2</c:v>
                </c:pt>
                <c:pt idx="98">
                  <c:v>5.0043834364580021E-2</c:v>
                </c:pt>
                <c:pt idx="99">
                  <c:v>5.0526362543903303E-2</c:v>
                </c:pt>
                <c:pt idx="100">
                  <c:v>5.1008864834514618E-2</c:v>
                </c:pt>
                <c:pt idx="101">
                  <c:v>5.1491341326355203E-2</c:v>
                </c:pt>
                <c:pt idx="102">
                  <c:v>5.1973792108499117E-2</c:v>
                </c:pt>
                <c:pt idx="103">
                  <c:v>5.2456217269246076E-2</c:v>
                </c:pt>
                <c:pt idx="104">
                  <c:v>5.2938616896203723E-2</c:v>
                </c:pt>
                <c:pt idx="105">
                  <c:v>5.3420991076360634E-2</c:v>
                </c:pt>
                <c:pt idx="106">
                  <c:v>5.3903339896151072E-2</c:v>
                </c:pt>
                <c:pt idx="107">
                  <c:v>5.4385663441512438E-2</c:v>
                </c:pt>
                <c:pt idx="108">
                  <c:v>5.4867961797936265E-2</c:v>
                </c:pt>
                <c:pt idx="109">
                  <c:v>5.5350235050513466E-2</c:v>
                </c:pt>
                <c:pt idx="110">
                  <c:v>5.5832483283974534E-2</c:v>
                </c:pt>
                <c:pt idx="111">
                  <c:v>5.6314706582725221E-2</c:v>
                </c:pt>
                <c:pt idx="112">
                  <c:v>5.6796905030878232E-2</c:v>
                </c:pt>
                <c:pt idx="113">
                  <c:v>5.7279078712281391E-2</c:v>
                </c:pt>
                <c:pt idx="114">
                  <c:v>5.7761227710542672E-2</c:v>
                </c:pt>
                <c:pt idx="115">
                  <c:v>5.8243352109052432E-2</c:v>
                </c:pt>
                <c:pt idx="116">
                  <c:v>5.8725451991003208E-2</c:v>
                </c:pt>
                <c:pt idx="117">
                  <c:v>5.9207527439407298E-2</c:v>
                </c:pt>
                <c:pt idx="118">
                  <c:v>5.9689578537112403E-2</c:v>
                </c:pt>
                <c:pt idx="119">
                  <c:v>6.017160536681556E-2</c:v>
                </c:pt>
                <c:pt idx="120">
                  <c:v>6.0653608011075541E-2</c:v>
                </c:pt>
                <c:pt idx="121">
                  <c:v>6.1135586552323873E-2</c:v>
                </c:pt>
                <c:pt idx="122">
                  <c:v>6.161754107287469E-2</c:v>
                </c:pt>
                <c:pt idx="123">
                  <c:v>6.2099471654933472E-2</c:v>
                </c:pt>
                <c:pt idx="124">
                  <c:v>6.2581378380604874E-2</c:v>
                </c:pt>
                <c:pt idx="125">
                  <c:v>6.3063261331899656E-2</c:v>
                </c:pt>
                <c:pt idx="126">
                  <c:v>6.3545120590740939E-2</c:v>
                </c:pt>
                <c:pt idx="127">
                  <c:v>6.4026956238969701E-2</c:v>
                </c:pt>
                <c:pt idx="128">
                  <c:v>6.4508768358349761E-2</c:v>
                </c:pt>
                <c:pt idx="129">
                  <c:v>6.4990557030572174E-2</c:v>
                </c:pt>
                <c:pt idx="130">
                  <c:v>6.5472322337259206E-2</c:v>
                </c:pt>
                <c:pt idx="131">
                  <c:v>6.5954064359967882E-2</c:v>
                </c:pt>
                <c:pt idx="132">
                  <c:v>6.6435783180193109E-2</c:v>
                </c:pt>
                <c:pt idx="133">
                  <c:v>6.6917478879370537E-2</c:v>
                </c:pt>
                <c:pt idx="134">
                  <c:v>6.7399151538879112E-2</c:v>
                </c:pt>
                <c:pt idx="135">
                  <c:v>6.7880801240043309E-2</c:v>
                </c:pt>
                <c:pt idx="136">
                  <c:v>6.8362428064135242E-2</c:v>
                </c:pt>
                <c:pt idx="137">
                  <c:v>6.8844032092376467E-2</c:v>
                </c:pt>
                <c:pt idx="138">
                  <c:v>6.932561340593961E-2</c:v>
                </c:pt>
                <c:pt idx="139">
                  <c:v>6.9807172085949942E-2</c:v>
                </c:pt>
                <c:pt idx="140">
                  <c:v>7.028870821348665E-2</c:v>
                </c:pt>
                <c:pt idx="141">
                  <c:v>7.077022186958408E-2</c:v>
                </c:pt>
                <c:pt idx="142">
                  <c:v>7.1251713135232819E-2</c:v>
                </c:pt>
                <c:pt idx="143">
                  <c:v>7.1733182091380701E-2</c:v>
                </c:pt>
                <c:pt idx="144">
                  <c:v>7.2214628818933729E-2</c:v>
                </c:pt>
                <c:pt idx="145">
                  <c:v>7.2696053398756871E-2</c:v>
                </c:pt>
                <c:pt idx="146">
                  <c:v>7.3177455911674807E-2</c:v>
                </c:pt>
                <c:pt idx="147">
                  <c:v>7.3658836438472639E-2</c:v>
                </c:pt>
                <c:pt idx="148">
                  <c:v>7.4140195059896455E-2</c:v>
                </c:pt>
                <c:pt idx="149">
                  <c:v>7.4621531856653989E-2</c:v>
                </c:pt>
                <c:pt idx="150">
                  <c:v>7.5102846909415058E-2</c:v>
                </c:pt>
                <c:pt idx="151">
                  <c:v>7.5584140298812094E-2</c:v>
                </c:pt>
                <c:pt idx="152">
                  <c:v>7.60654121054406E-2</c:v>
                </c:pt>
                <c:pt idx="153">
                  <c:v>7.6546662409859523E-2</c:v>
                </c:pt>
                <c:pt idx="154">
                  <c:v>7.7027891292591674E-2</c:v>
                </c:pt>
                <c:pt idx="155">
                  <c:v>7.7509098834124088E-2</c:v>
                </c:pt>
                <c:pt idx="156">
                  <c:v>7.7990285114908312E-2</c:v>
                </c:pt>
                <c:pt idx="157">
                  <c:v>7.8471450215360769E-2</c:v>
                </c:pt>
                <c:pt idx="158">
                  <c:v>7.8952594215863051E-2</c:v>
                </c:pt>
                <c:pt idx="159">
                  <c:v>7.9433717196762149E-2</c:v>
                </c:pt>
                <c:pt idx="160">
                  <c:v>7.9914819238370766E-2</c:v>
                </c:pt>
                <c:pt idx="161">
                  <c:v>8.0395900420967545E-2</c:v>
                </c:pt>
                <c:pt idx="162">
                  <c:v>8.0876960824797312E-2</c:v>
                </c:pt>
                <c:pt idx="163">
                  <c:v>8.1358000530071292E-2</c:v>
                </c:pt>
                <c:pt idx="164">
                  <c:v>8.1839019616967351E-2</c:v>
                </c:pt>
                <c:pt idx="165">
                  <c:v>8.2320018165630171E-2</c:v>
                </c:pt>
                <c:pt idx="166">
                  <c:v>8.2800996256171475E-2</c:v>
                </c:pt>
                <c:pt idx="167">
                  <c:v>8.3281953968670219E-2</c:v>
                </c:pt>
                <c:pt idx="168">
                  <c:v>8.3762891383172763E-2</c:v>
                </c:pt>
                <c:pt idx="169">
                  <c:v>8.4243808579693089E-2</c:v>
                </c:pt>
                <c:pt idx="170">
                  <c:v>8.4724705638212924E-2</c:v>
                </c:pt>
                <c:pt idx="171">
                  <c:v>8.5205582638681943E-2</c:v>
                </c:pt>
                <c:pt idx="172">
                  <c:v>8.5686439661017966E-2</c:v>
                </c:pt>
                <c:pt idx="173">
                  <c:v>8.6167276785107064E-2</c:v>
                </c:pt>
                <c:pt idx="174">
                  <c:v>8.6648094090803776E-2</c:v>
                </c:pt>
                <c:pt idx="175">
                  <c:v>8.7128891657931209E-2</c:v>
                </c:pt>
                <c:pt idx="176">
                  <c:v>8.7609669566281259E-2</c:v>
                </c:pt>
                <c:pt idx="177">
                  <c:v>8.809042789561472E-2</c:v>
                </c:pt>
                <c:pt idx="178">
                  <c:v>8.857116672566144E-2</c:v>
                </c:pt>
                <c:pt idx="179">
                  <c:v>8.9051886136120501E-2</c:v>
                </c:pt>
                <c:pt idx="180">
                  <c:v>8.9532586206660325E-2</c:v>
                </c:pt>
                <c:pt idx="181">
                  <c:v>9.0013267016918849E-2</c:v>
                </c:pt>
                <c:pt idx="182">
                  <c:v>9.0493928646503657E-2</c:v>
                </c:pt>
                <c:pt idx="183">
                  <c:v>9.0974571174992136E-2</c:v>
                </c:pt>
                <c:pt idx="184">
                  <c:v>9.1455194681931598E-2</c:v>
                </c:pt>
                <c:pt idx="185">
                  <c:v>9.1935799246839436E-2</c:v>
                </c:pt>
                <c:pt idx="186">
                  <c:v>9.2416384949203276E-2</c:v>
                </c:pt>
                <c:pt idx="187">
                  <c:v>9.2896951868481098E-2</c:v>
                </c:pt>
                <c:pt idx="188">
                  <c:v>9.3377500084101367E-2</c:v>
                </c:pt>
                <c:pt idx="189">
                  <c:v>9.3858029675463195E-2</c:v>
                </c:pt>
                <c:pt idx="190">
                  <c:v>9.4338540721936467E-2</c:v>
                </c:pt>
                <c:pt idx="191">
                  <c:v>9.4819033302861969E-2</c:v>
                </c:pt>
                <c:pt idx="192">
                  <c:v>9.5299507497551547E-2</c:v>
                </c:pt>
                <c:pt idx="193">
                  <c:v>9.5779963385288214E-2</c:v>
                </c:pt>
                <c:pt idx="194">
                  <c:v>9.6260401045326308E-2</c:v>
                </c:pt>
                <c:pt idx="195">
                  <c:v>9.6740820556891607E-2</c:v>
                </c:pt>
                <c:pt idx="196">
                  <c:v>9.7221221999181484E-2</c:v>
                </c:pt>
                <c:pt idx="197">
                  <c:v>9.7701605451365039E-2</c:v>
                </c:pt>
                <c:pt idx="198">
                  <c:v>9.8181970992583203E-2</c:v>
                </c:pt>
                <c:pt idx="199">
                  <c:v>9.8662318701948928E-2</c:v>
                </c:pt>
                <c:pt idx="200">
                  <c:v>9.9142648658547244E-2</c:v>
                </c:pt>
                <c:pt idx="201">
                  <c:v>9.9622960941435468E-2</c:v>
                </c:pt>
                <c:pt idx="202">
                  <c:v>0.10010325562964328</c:v>
                </c:pt>
                <c:pt idx="203">
                  <c:v>0.10058353280217289</c:v>
                </c:pt>
                <c:pt idx="204">
                  <c:v>0.10106379253799913</c:v>
                </c:pt>
                <c:pt idx="205">
                  <c:v>0.10154403491606967</c:v>
                </c:pt>
                <c:pt idx="206">
                  <c:v>0.10202426001530503</c:v>
                </c:pt>
                <c:pt idx="207">
                  <c:v>0.10250446791459879</c:v>
                </c:pt>
                <c:pt idx="208">
                  <c:v>0.10298465869281773</c:v>
                </c:pt>
                <c:pt idx="209">
                  <c:v>0.1034648324288019</c:v>
                </c:pt>
                <c:pt idx="210">
                  <c:v>0.10394498920136482</c:v>
                </c:pt>
                <c:pt idx="211">
                  <c:v>0.10442512908929354</c:v>
                </c:pt>
                <c:pt idx="212">
                  <c:v>0.10490525217134881</c:v>
                </c:pt>
                <c:pt idx="213">
                  <c:v>0.10538535852626525</c:v>
                </c:pt>
                <c:pt idx="214">
                  <c:v>0.1058654482327514</c:v>
                </c:pt>
                <c:pt idx="215">
                  <c:v>0.1063455213694899</c:v>
                </c:pt>
                <c:pt idx="216">
                  <c:v>0.10682557801513758</c:v>
                </c:pt>
                <c:pt idx="217">
                  <c:v>0.10730561824832563</c:v>
                </c:pt>
                <c:pt idx="218">
                  <c:v>0.10778564214765975</c:v>
                </c:pt>
                <c:pt idx="219">
                  <c:v>0.10826564979172019</c:v>
                </c:pt>
                <c:pt idx="220">
                  <c:v>0.10874564125906198</c:v>
                </c:pt>
                <c:pt idx="221">
                  <c:v>0.10922561662821498</c:v>
                </c:pt>
                <c:pt idx="222">
                  <c:v>0.10970557597768404</c:v>
                </c:pt>
                <c:pt idx="223">
                  <c:v>0.11018551938594917</c:v>
                </c:pt>
                <c:pt idx="224">
                  <c:v>0.1106654469314656</c:v>
                </c:pt>
                <c:pt idx="225">
                  <c:v>0.11114535869266393</c:v>
                </c:pt>
                <c:pt idx="226">
                  <c:v>0.11162525474795028</c:v>
                </c:pt>
                <c:pt idx="227">
                  <c:v>0.1121051351757064</c:v>
                </c:pt>
                <c:pt idx="228">
                  <c:v>0.11258500005428981</c:v>
                </c:pt>
                <c:pt idx="229">
                  <c:v>0.11306484946203392</c:v>
                </c:pt>
                <c:pt idx="230">
                  <c:v>0.11354468347724815</c:v>
                </c:pt>
                <c:pt idx="231">
                  <c:v>0.11402450217821807</c:v>
                </c:pt>
                <c:pt idx="232">
                  <c:v>0.11450430564320552</c:v>
                </c:pt>
                <c:pt idx="233">
                  <c:v>0.11498409395044876</c:v>
                </c:pt>
                <c:pt idx="234">
                  <c:v>0.11546386717816257</c:v>
                </c:pt>
                <c:pt idx="235">
                  <c:v>0.11594362540453836</c:v>
                </c:pt>
                <c:pt idx="236">
                  <c:v>0.11642336870774438</c:v>
                </c:pt>
                <c:pt idx="237">
                  <c:v>0.11690309716592574</c:v>
                </c:pt>
                <c:pt idx="238">
                  <c:v>0.11738281085720463</c:v>
                </c:pt>
                <c:pt idx="239">
                  <c:v>0.11786250985968037</c:v>
                </c:pt>
                <c:pt idx="240">
                  <c:v>0.1183421942514296</c:v>
                </c:pt>
                <c:pt idx="241">
                  <c:v>0.11882186411050635</c:v>
                </c:pt>
                <c:pt idx="242">
                  <c:v>0.11930151951494224</c:v>
                </c:pt>
                <c:pt idx="243">
                  <c:v>0.11978116054274651</c:v>
                </c:pt>
                <c:pt idx="244">
                  <c:v>0.12026078727190626</c:v>
                </c:pt>
                <c:pt idx="245">
                  <c:v>0.12074039978038646</c:v>
                </c:pt>
                <c:pt idx="246">
                  <c:v>0.12121999814613017</c:v>
                </c:pt>
                <c:pt idx="247">
                  <c:v>0.1216995824470586</c:v>
                </c:pt>
                <c:pt idx="248">
                  <c:v>0.12217915276107129</c:v>
                </c:pt>
                <c:pt idx="249">
                  <c:v>0.1226587091660462</c:v>
                </c:pt>
                <c:pt idx="250">
                  <c:v>0.12313825173983983</c:v>
                </c:pt>
                <c:pt idx="251">
                  <c:v>0.1236177805602874</c:v>
                </c:pt>
                <c:pt idx="252">
                  <c:v>0.12409729570520289</c:v>
                </c:pt>
                <c:pt idx="253">
                  <c:v>0.12457679725237927</c:v>
                </c:pt>
                <c:pt idx="254">
                  <c:v>0.12505628527958854</c:v>
                </c:pt>
                <c:pt idx="255">
                  <c:v>0.12553575986458188</c:v>
                </c:pt>
                <c:pt idx="256">
                  <c:v>0.12601522108508975</c:v>
                </c:pt>
                <c:pt idx="257">
                  <c:v>0.12649466901882214</c:v>
                </c:pt>
                <c:pt idx="258">
                  <c:v>0.12697410374346851</c:v>
                </c:pt>
                <c:pt idx="259">
                  <c:v>0.12745352533669804</c:v>
                </c:pt>
                <c:pt idx="260">
                  <c:v>0.12793293387615973</c:v>
                </c:pt>
                <c:pt idx="261">
                  <c:v>0.1284123294394825</c:v>
                </c:pt>
                <c:pt idx="262">
                  <c:v>0.12889171210427533</c:v>
                </c:pt>
                <c:pt idx="263">
                  <c:v>0.12937108194812741</c:v>
                </c:pt>
                <c:pt idx="264">
                  <c:v>0.12985043904860821</c:v>
                </c:pt>
                <c:pt idx="265">
                  <c:v>0.13032978348326768</c:v>
                </c:pt>
                <c:pt idx="266">
                  <c:v>0.13080911532963627</c:v>
                </c:pt>
                <c:pt idx="267">
                  <c:v>0.13128843466522513</c:v>
                </c:pt>
                <c:pt idx="268">
                  <c:v>0.13176774156752627</c:v>
                </c:pt>
                <c:pt idx="269">
                  <c:v>0.13224703611401256</c:v>
                </c:pt>
                <c:pt idx="270">
                  <c:v>0.13272631838213797</c:v>
                </c:pt>
                <c:pt idx="271">
                  <c:v>0.13320558844933766</c:v>
                </c:pt>
                <c:pt idx="272">
                  <c:v>0.13368484639302808</c:v>
                </c:pt>
                <c:pt idx="273">
                  <c:v>0.13416409229060708</c:v>
                </c:pt>
                <c:pt idx="274">
                  <c:v>0.1346433262194541</c:v>
                </c:pt>
                <c:pt idx="275">
                  <c:v>0.13512254825693024</c:v>
                </c:pt>
                <c:pt idx="276">
                  <c:v>0.13560175848037842</c:v>
                </c:pt>
                <c:pt idx="277">
                  <c:v>0.13608095696712347</c:v>
                </c:pt>
                <c:pt idx="278">
                  <c:v>0.13656014379447226</c:v>
                </c:pt>
                <c:pt idx="279">
                  <c:v>0.13703931903971386</c:v>
                </c:pt>
                <c:pt idx="280">
                  <c:v>0.13751848278011961</c:v>
                </c:pt>
                <c:pt idx="281">
                  <c:v>0.13799763509294324</c:v>
                </c:pt>
                <c:pt idx="282">
                  <c:v>0.13847677605542111</c:v>
                </c:pt>
                <c:pt idx="283">
                  <c:v>0.13895590574477215</c:v>
                </c:pt>
                <c:pt idx="284">
                  <c:v>0.13943502423819812</c:v>
                </c:pt>
                <c:pt idx="285">
                  <c:v>0.13991413161288371</c:v>
                </c:pt>
                <c:pt idx="286">
                  <c:v>0.1403932279459966</c:v>
                </c:pt>
                <c:pt idx="287">
                  <c:v>0.14087231331468766</c:v>
                </c:pt>
                <c:pt idx="288">
                  <c:v>0.14135138779609102</c:v>
                </c:pt>
                <c:pt idx="289">
                  <c:v>0.14183045146732423</c:v>
                </c:pt>
                <c:pt idx="290">
                  <c:v>0.14230950440548834</c:v>
                </c:pt>
                <c:pt idx="291">
                  <c:v>0.14278854668766808</c:v>
                </c:pt>
                <c:pt idx="292">
                  <c:v>0.1432675783909319</c:v>
                </c:pt>
                <c:pt idx="293">
                  <c:v>0.14374659959233221</c:v>
                </c:pt>
                <c:pt idx="294">
                  <c:v>0.14422561036890538</c:v>
                </c:pt>
                <c:pt idx="295">
                  <c:v>0.14470461079767194</c:v>
                </c:pt>
                <c:pt idx="296">
                  <c:v>0.14518360095563668</c:v>
                </c:pt>
                <c:pt idx="297">
                  <c:v>0.14566258091978876</c:v>
                </c:pt>
                <c:pt idx="298">
                  <c:v>0.14614155076710186</c:v>
                </c:pt>
                <c:pt idx="299">
                  <c:v>0.14662051057453429</c:v>
                </c:pt>
                <c:pt idx="300">
                  <c:v>0.14709946041902908</c:v>
                </c:pt>
                <c:pt idx="301">
                  <c:v>0.14757840037751416</c:v>
                </c:pt>
                <c:pt idx="302">
                  <c:v>0.14805733052690243</c:v>
                </c:pt>
                <c:pt idx="303">
                  <c:v>0.1485362509440919</c:v>
                </c:pt>
                <c:pt idx="304">
                  <c:v>0.14901516170596582</c:v>
                </c:pt>
                <c:pt idx="305">
                  <c:v>0.14949406288939285</c:v>
                </c:pt>
                <c:pt idx="306">
                  <c:v>0.14997295457122703</c:v>
                </c:pt>
                <c:pt idx="307">
                  <c:v>0.15045183682830809</c:v>
                </c:pt>
                <c:pt idx="308">
                  <c:v>0.15093070973746142</c:v>
                </c:pt>
                <c:pt idx="309">
                  <c:v>0.15140957337549829</c:v>
                </c:pt>
                <c:pt idx="310">
                  <c:v>0.15188842781921594</c:v>
                </c:pt>
                <c:pt idx="311">
                  <c:v>0.15236727314539766</c:v>
                </c:pt>
                <c:pt idx="312">
                  <c:v>0.15284610943081298</c:v>
                </c:pt>
                <c:pt idx="313">
                  <c:v>0.15332493675221773</c:v>
                </c:pt>
                <c:pt idx="314">
                  <c:v>0.1538037551863542</c:v>
                </c:pt>
                <c:pt idx="315">
                  <c:v>0.15428256480995126</c:v>
                </c:pt>
                <c:pt idx="316">
                  <c:v>0.15476136569972448</c:v>
                </c:pt>
                <c:pt idx="317">
                  <c:v>0.15524015793237622</c:v>
                </c:pt>
                <c:pt idx="318">
                  <c:v>0.15571894158459579</c:v>
                </c:pt>
                <c:pt idx="319">
                  <c:v>0.15619771673305954</c:v>
                </c:pt>
                <c:pt idx="320">
                  <c:v>0.156676483454431</c:v>
                </c:pt>
                <c:pt idx="321">
                  <c:v>0.157155241825361</c:v>
                </c:pt>
                <c:pt idx="322">
                  <c:v>0.15763399192248781</c:v>
                </c:pt>
                <c:pt idx="323">
                  <c:v>0.15811273382243718</c:v>
                </c:pt>
                <c:pt idx="324">
                  <c:v>0.15859146760182258</c:v>
                </c:pt>
                <c:pt idx="325">
                  <c:v>0.1590701933372452</c:v>
                </c:pt>
                <c:pt idx="326">
                  <c:v>0.15954891110529421</c:v>
                </c:pt>
                <c:pt idx="327">
                  <c:v>0.16002762098254672</c:v>
                </c:pt>
                <c:pt idx="328">
                  <c:v>0.160506323045568</c:v>
                </c:pt>
                <c:pt idx="329">
                  <c:v>0.16098501737091162</c:v>
                </c:pt>
                <c:pt idx="330">
                  <c:v>0.16146370403511948</c:v>
                </c:pt>
                <c:pt idx="331">
                  <c:v>0.161942383114722</c:v>
                </c:pt>
                <c:pt idx="332">
                  <c:v>0.16242105468623821</c:v>
                </c:pt>
                <c:pt idx="333">
                  <c:v>0.16289971882617593</c:v>
                </c:pt>
                <c:pt idx="334">
                  <c:v>0.1633783756110318</c:v>
                </c:pt>
                <c:pt idx="335">
                  <c:v>0.16385702511729142</c:v>
                </c:pt>
                <c:pt idx="336">
                  <c:v>0.16433566742142955</c:v>
                </c:pt>
                <c:pt idx="337">
                  <c:v>0.16481430259991012</c:v>
                </c:pt>
                <c:pt idx="338">
                  <c:v>0.16529293072918641</c:v>
                </c:pt>
                <c:pt idx="339">
                  <c:v>0.16577155188570122</c:v>
                </c:pt>
                <c:pt idx="340">
                  <c:v>0.16625016614588686</c:v>
                </c:pt>
                <c:pt idx="341">
                  <c:v>0.16672877358616536</c:v>
                </c:pt>
                <c:pt idx="342">
                  <c:v>0.16720737428294857</c:v>
                </c:pt>
                <c:pt idx="343">
                  <c:v>0.16768596831263829</c:v>
                </c:pt>
                <c:pt idx="344">
                  <c:v>0.16816455575162639</c:v>
                </c:pt>
                <c:pt idx="345">
                  <c:v>0.16864313667629491</c:v>
                </c:pt>
                <c:pt idx="346">
                  <c:v>0.16912171116301616</c:v>
                </c:pt>
                <c:pt idx="347">
                  <c:v>0.16960027928815291</c:v>
                </c:pt>
                <c:pt idx="348">
                  <c:v>0.17007884112805846</c:v>
                </c:pt>
                <c:pt idx="349">
                  <c:v>0.17055739675907675</c:v>
                </c:pt>
                <c:pt idx="350">
                  <c:v>0.17103594625754251</c:v>
                </c:pt>
                <c:pt idx="351">
                  <c:v>0.17151448969978136</c:v>
                </c:pt>
                <c:pt idx="352">
                  <c:v>0.17199302716210996</c:v>
                </c:pt>
                <c:pt idx="353">
                  <c:v>0.17247155872083608</c:v>
                </c:pt>
                <c:pt idx="354">
                  <c:v>0.17295008445225873</c:v>
                </c:pt>
                <c:pt idx="355">
                  <c:v>0.17342860443266833</c:v>
                </c:pt>
                <c:pt idx="356">
                  <c:v>0.1739071187383468</c:v>
                </c:pt>
                <c:pt idx="357">
                  <c:v>0.1743856274455676</c:v>
                </c:pt>
                <c:pt idx="358">
                  <c:v>0.174864130630596</c:v>
                </c:pt>
                <c:pt idx="359">
                  <c:v>0.17534262836968909</c:v>
                </c:pt>
                <c:pt idx="360">
                  <c:v>0.17582112073909592</c:v>
                </c:pt>
                <c:pt idx="361">
                  <c:v>0.17629960781505766</c:v>
                </c:pt>
                <c:pt idx="362">
                  <c:v>0.17677808967380765</c:v>
                </c:pt>
                <c:pt idx="363">
                  <c:v>0.17725656639157159</c:v>
                </c:pt>
                <c:pt idx="364">
                  <c:v>0.17773503804456758</c:v>
                </c:pt>
                <c:pt idx="365">
                  <c:v>0.17821350470900635</c:v>
                </c:pt>
                <c:pt idx="366">
                  <c:v>0.17869196646109123</c:v>
                </c:pt>
                <c:pt idx="367">
                  <c:v>0.17917042337701844</c:v>
                </c:pt>
                <c:pt idx="368">
                  <c:v>0.17964887553297704</c:v>
                </c:pt>
                <c:pt idx="369">
                  <c:v>0.18012732300514919</c:v>
                </c:pt>
                <c:pt idx="370">
                  <c:v>0.18060576586971019</c:v>
                </c:pt>
                <c:pt idx="371">
                  <c:v>0.18108420420282861</c:v>
                </c:pt>
                <c:pt idx="372">
                  <c:v>0.18156263808066642</c:v>
                </c:pt>
                <c:pt idx="373">
                  <c:v>0.1820410675793791</c:v>
                </c:pt>
                <c:pt idx="374">
                  <c:v>0.18251949277511578</c:v>
                </c:pt>
                <c:pt idx="375">
                  <c:v>0.1829979137440193</c:v>
                </c:pt>
                <c:pt idx="376">
                  <c:v>0.18347633056222643</c:v>
                </c:pt>
                <c:pt idx="377">
                  <c:v>0.18395474330586789</c:v>
                </c:pt>
                <c:pt idx="378">
                  <c:v>0.1844331520510685</c:v>
                </c:pt>
                <c:pt idx="379">
                  <c:v>0.18491155687394734</c:v>
                </c:pt>
                <c:pt idx="380">
                  <c:v>0.18538995785061779</c:v>
                </c:pt>
                <c:pt idx="381">
                  <c:v>0.18586835505718774</c:v>
                </c:pt>
                <c:pt idx="382">
                  <c:v>0.18634674856975963</c:v>
                </c:pt>
                <c:pt idx="383">
                  <c:v>0.18682513846443063</c:v>
                </c:pt>
                <c:pt idx="384">
                  <c:v>0.18730352481729268</c:v>
                </c:pt>
                <c:pt idx="385">
                  <c:v>0.1877819077044327</c:v>
                </c:pt>
                <c:pt idx="386">
                  <c:v>0.18826028720193264</c:v>
                </c:pt>
                <c:pt idx="387">
                  <c:v>0.18873866338586964</c:v>
                </c:pt>
                <c:pt idx="388">
                  <c:v>0.18921703633231612</c:v>
                </c:pt>
                <c:pt idx="389">
                  <c:v>0.18969540611733993</c:v>
                </c:pt>
                <c:pt idx="390">
                  <c:v>0.1901737728170044</c:v>
                </c:pt>
                <c:pt idx="391">
                  <c:v>0.19065213650736856</c:v>
                </c:pt>
                <c:pt idx="392">
                  <c:v>0.19113049726448716</c:v>
                </c:pt>
                <c:pt idx="393">
                  <c:v>0.1916088551644109</c:v>
                </c:pt>
                <c:pt idx="394">
                  <c:v>0.1920872102831864</c:v>
                </c:pt>
                <c:pt idx="395">
                  <c:v>0.19256556269685643</c:v>
                </c:pt>
                <c:pt idx="396">
                  <c:v>0.19304391248146002</c:v>
                </c:pt>
                <c:pt idx="397">
                  <c:v>0.19352225971303255</c:v>
                </c:pt>
                <c:pt idx="398">
                  <c:v>0.19400060446760586</c:v>
                </c:pt>
                <c:pt idx="399">
                  <c:v>0.19447894682120836</c:v>
                </c:pt>
                <c:pt idx="400">
                  <c:v>0.19495728684986521</c:v>
                </c:pt>
                <c:pt idx="401">
                  <c:v>0.1954356246295984</c:v>
                </c:pt>
                <c:pt idx="402">
                  <c:v>0.19591396023642685</c:v>
                </c:pt>
                <c:pt idx="403">
                  <c:v>0.19639229374636652</c:v>
                </c:pt>
                <c:pt idx="404">
                  <c:v>0.19687062523543059</c:v>
                </c:pt>
                <c:pt idx="405">
                  <c:v>0.19734895477962952</c:v>
                </c:pt>
                <c:pt idx="406">
                  <c:v>0.19782728245497119</c:v>
                </c:pt>
                <c:pt idx="407">
                  <c:v>0.19830560833746103</c:v>
                </c:pt>
                <c:pt idx="408">
                  <c:v>0.19878393250310211</c:v>
                </c:pt>
                <c:pt idx="409">
                  <c:v>0.1992622550278953</c:v>
                </c:pt>
                <c:pt idx="410">
                  <c:v>0.19974057598783931</c:v>
                </c:pt>
                <c:pt idx="411">
                  <c:v>0.20021889545893093</c:v>
                </c:pt>
                <c:pt idx="412">
                  <c:v>0.20069721351716502</c:v>
                </c:pt>
                <c:pt idx="413">
                  <c:v>0.20117553023853468</c:v>
                </c:pt>
                <c:pt idx="414">
                  <c:v>0.20165384569903141</c:v>
                </c:pt>
                <c:pt idx="415">
                  <c:v>0.20213215997464518</c:v>
                </c:pt>
                <c:pt idx="416">
                  <c:v>0.20261047314136452</c:v>
                </c:pt>
                <c:pt idx="417">
                  <c:v>0.20308878527517674</c:v>
                </c:pt>
                <c:pt idx="418">
                  <c:v>0.20356709645206794</c:v>
                </c:pt>
                <c:pt idx="419">
                  <c:v>0.20404540674802321</c:v>
                </c:pt>
                <c:pt idx="420">
                  <c:v>0.20452371623902668</c:v>
                </c:pt>
                <c:pt idx="421">
                  <c:v>0.20500202500106166</c:v>
                </c:pt>
                <c:pt idx="422">
                  <c:v>0.20548033311011077</c:v>
                </c:pt>
                <c:pt idx="423">
                  <c:v>0.2059586406421561</c:v>
                </c:pt>
                <c:pt idx="424">
                  <c:v>0.20643694767317924</c:v>
                </c:pt>
                <c:pt idx="425">
                  <c:v>0.20691525427916144</c:v>
                </c:pt>
                <c:pt idx="426">
                  <c:v>0.20739356053608374</c:v>
                </c:pt>
                <c:pt idx="427">
                  <c:v>0.20787186651992706</c:v>
                </c:pt>
                <c:pt idx="428">
                  <c:v>0.20835017230667235</c:v>
                </c:pt>
                <c:pt idx="429">
                  <c:v>0.20882847797230072</c:v>
                </c:pt>
                <c:pt idx="430">
                  <c:v>0.20930678359279348</c:v>
                </c:pt>
                <c:pt idx="431">
                  <c:v>0.20978508924413231</c:v>
                </c:pt>
                <c:pt idx="432">
                  <c:v>0.2102633950022994</c:v>
                </c:pt>
                <c:pt idx="433">
                  <c:v>0.21074170094327757</c:v>
                </c:pt>
                <c:pt idx="434">
                  <c:v>0.21122000714305031</c:v>
                </c:pt>
                <c:pt idx="435">
                  <c:v>0.21169831367760197</c:v>
                </c:pt>
                <c:pt idx="436">
                  <c:v>0.21217662062291787</c:v>
                </c:pt>
                <c:pt idx="437">
                  <c:v>0.21265492805498434</c:v>
                </c:pt>
                <c:pt idx="438">
                  <c:v>0.21313323604978901</c:v>
                </c:pt>
                <c:pt idx="439">
                  <c:v>0.21361154468332075</c:v>
                </c:pt>
                <c:pt idx="440">
                  <c:v>0.21408985403156988</c:v>
                </c:pt>
                <c:pt idx="441">
                  <c:v>0.21456816417052829</c:v>
                </c:pt>
                <c:pt idx="442">
                  <c:v>0.21504647517618949</c:v>
                </c:pt>
                <c:pt idx="443">
                  <c:v>0.21552478712454878</c:v>
                </c:pt>
                <c:pt idx="444">
                  <c:v>0.21600310009160339</c:v>
                </c:pt>
                <c:pt idx="445">
                  <c:v>0.21648141415335259</c:v>
                </c:pt>
                <c:pt idx="446">
                  <c:v>0.21695972938579772</c:v>
                </c:pt>
                <c:pt idx="447">
                  <c:v>0.21743804586494242</c:v>
                </c:pt>
                <c:pt idx="448">
                  <c:v>0.21791636366679268</c:v>
                </c:pt>
                <c:pt idx="449">
                  <c:v>0.21839468286735703</c:v>
                </c:pt>
                <c:pt idx="450">
                  <c:v>0.21887300354264655</c:v>
                </c:pt>
                <c:pt idx="451">
                  <c:v>0.21935132576867508</c:v>
                </c:pt>
                <c:pt idx="452">
                  <c:v>0.21982964962145932</c:v>
                </c:pt>
                <c:pt idx="453">
                  <c:v>0.22030797517701892</c:v>
                </c:pt>
                <c:pt idx="454">
                  <c:v>0.2207863025113766</c:v>
                </c:pt>
                <c:pt idx="455">
                  <c:v>0.22126463170055827</c:v>
                </c:pt>
                <c:pt idx="456">
                  <c:v>0.22174296282059319</c:v>
                </c:pt>
                <c:pt idx="457">
                  <c:v>0.22222129594751408</c:v>
                </c:pt>
                <c:pt idx="458">
                  <c:v>0.22269963115735716</c:v>
                </c:pt>
                <c:pt idx="459">
                  <c:v>0.22317796852616234</c:v>
                </c:pt>
                <c:pt idx="460">
                  <c:v>0.22365630812997334</c:v>
                </c:pt>
                <c:pt idx="461">
                  <c:v>0.22413465004483776</c:v>
                </c:pt>
                <c:pt idx="462">
                  <c:v>0.22461299434680726</c:v>
                </c:pt>
                <c:pt idx="463">
                  <c:v>0.22509134111193763</c:v>
                </c:pt>
                <c:pt idx="464">
                  <c:v>0.22556969041628894</c:v>
                </c:pt>
                <c:pt idx="465">
                  <c:v>0.22604804233592563</c:v>
                </c:pt>
                <c:pt idx="466">
                  <c:v>0.22652639694691662</c:v>
                </c:pt>
                <c:pt idx="467">
                  <c:v>0.22700475432533551</c:v>
                </c:pt>
                <c:pt idx="468">
                  <c:v>0.22748311454726058</c:v>
                </c:pt>
                <c:pt idx="469">
                  <c:v>0.22796147768877498</c:v>
                </c:pt>
                <c:pt idx="470">
                  <c:v>0.22843984382596685</c:v>
                </c:pt>
                <c:pt idx="471">
                  <c:v>0.22891821303492943</c:v>
                </c:pt>
                <c:pt idx="472">
                  <c:v>0.22939658539176114</c:v>
                </c:pt>
                <c:pt idx="473">
                  <c:v>0.22987496097256577</c:v>
                </c:pt>
                <c:pt idx="474">
                  <c:v>0.23035333985345252</c:v>
                </c:pt>
                <c:pt idx="475">
                  <c:v>0.23083172211053621</c:v>
                </c:pt>
                <c:pt idx="476">
                  <c:v>0.23131010781993727</c:v>
                </c:pt>
                <c:pt idx="477">
                  <c:v>0.23178849705778201</c:v>
                </c:pt>
                <c:pt idx="478">
                  <c:v>0.23226688990020264</c:v>
                </c:pt>
                <c:pt idx="479">
                  <c:v>0.23274528642333736</c:v>
                </c:pt>
                <c:pt idx="480">
                  <c:v>0.23322368670333063</c:v>
                </c:pt>
                <c:pt idx="481">
                  <c:v>0.23370209081633309</c:v>
                </c:pt>
                <c:pt idx="482">
                  <c:v>0.23418049883850184</c:v>
                </c:pt>
                <c:pt idx="483">
                  <c:v>0.23465891084600049</c:v>
                </c:pt>
                <c:pt idx="484">
                  <c:v>0.23513732691499925</c:v>
                </c:pt>
                <c:pt idx="485">
                  <c:v>0.23561574712167513</c:v>
                </c:pt>
                <c:pt idx="486">
                  <c:v>0.23609417154221199</c:v>
                </c:pt>
                <c:pt idx="487">
                  <c:v>0.23657260025280069</c:v>
                </c:pt>
                <c:pt idx="488">
                  <c:v>0.2370510333296392</c:v>
                </c:pt>
                <c:pt idx="489">
                  <c:v>0.23752947084893269</c:v>
                </c:pt>
                <c:pt idx="490">
                  <c:v>0.23800791288689374</c:v>
                </c:pt>
                <c:pt idx="491">
                  <c:v>0.23848635951974234</c:v>
                </c:pt>
                <c:pt idx="492">
                  <c:v>0.2389648108237061</c:v>
                </c:pt>
                <c:pt idx="493">
                  <c:v>0.23944326687502032</c:v>
                </c:pt>
                <c:pt idx="494">
                  <c:v>0.23992172774992815</c:v>
                </c:pt>
                <c:pt idx="495">
                  <c:v>0.24040019352468067</c:v>
                </c:pt>
                <c:pt idx="496">
                  <c:v>0.240878664275537</c:v>
                </c:pt>
                <c:pt idx="497">
                  <c:v>0.24135714007876449</c:v>
                </c:pt>
                <c:pt idx="498">
                  <c:v>0.24183562101063874</c:v>
                </c:pt>
                <c:pt idx="499">
                  <c:v>0.24231410714744381</c:v>
                </c:pt>
                <c:pt idx="500">
                  <c:v>0.24279259856547231</c:v>
                </c:pt>
                <c:pt idx="501">
                  <c:v>0.24327109534102545</c:v>
                </c:pt>
                <c:pt idx="502">
                  <c:v>0.24374959755041328</c:v>
                </c:pt>
                <c:pt idx="503">
                  <c:v>0.24422810526995473</c:v>
                </c:pt>
                <c:pt idx="504">
                  <c:v>0.24470661857597772</c:v>
                </c:pt>
                <c:pt idx="505">
                  <c:v>0.24518513754481938</c:v>
                </c:pt>
                <c:pt idx="506">
                  <c:v>0.24566366225282601</c:v>
                </c:pt>
                <c:pt idx="507">
                  <c:v>0.24614219277635335</c:v>
                </c:pt>
                <c:pt idx="508">
                  <c:v>0.24662072919176659</c:v>
                </c:pt>
                <c:pt idx="509">
                  <c:v>0.24709927157544057</c:v>
                </c:pt>
                <c:pt idx="510">
                  <c:v>0.24757782000375986</c:v>
                </c:pt>
                <c:pt idx="511">
                  <c:v>0.24805637455311888</c:v>
                </c:pt>
                <c:pt idx="512">
                  <c:v>0.24853493529992204</c:v>
                </c:pt>
                <c:pt idx="513">
                  <c:v>0.24901350232058381</c:v>
                </c:pt>
                <c:pt idx="514">
                  <c:v>0.2494920756915289</c:v>
                </c:pt>
                <c:pt idx="515">
                  <c:v>0.24997065548919237</c:v>
                </c:pt>
                <c:pt idx="516">
                  <c:v>0.25044924179001971</c:v>
                </c:pt>
                <c:pt idx="517">
                  <c:v>0.25092783467046698</c:v>
                </c:pt>
                <c:pt idx="518">
                  <c:v>0.25140643420700098</c:v>
                </c:pt>
                <c:pt idx="519">
                  <c:v>0.25188504047609928</c:v>
                </c:pt>
                <c:pt idx="520">
                  <c:v>0.25236365355425039</c:v>
                </c:pt>
                <c:pt idx="521">
                  <c:v>0.25284227351795391</c:v>
                </c:pt>
                <c:pt idx="522">
                  <c:v>0.25332090044372058</c:v>
                </c:pt>
                <c:pt idx="523">
                  <c:v>0.25379953440807246</c:v>
                </c:pt>
                <c:pt idx="524">
                  <c:v>0.254278175487543</c:v>
                </c:pt>
                <c:pt idx="525">
                  <c:v>0.2547568237586772</c:v>
                </c:pt>
                <c:pt idx="526">
                  <c:v>0.2552354792980317</c:v>
                </c:pt>
                <c:pt idx="527">
                  <c:v>0.25571414218217497</c:v>
                </c:pt>
                <c:pt idx="528">
                  <c:v>0.25619281248768738</c:v>
                </c:pt>
                <c:pt idx="529">
                  <c:v>0.25667149029116121</c:v>
                </c:pt>
                <c:pt idx="530">
                  <c:v>0.25715017566920101</c:v>
                </c:pt>
                <c:pt idx="531">
                  <c:v>0.2576288686984235</c:v>
                </c:pt>
                <c:pt idx="532">
                  <c:v>0.25810756945545782</c:v>
                </c:pt>
                <c:pt idx="533">
                  <c:v>0.25858627801694567</c:v>
                </c:pt>
                <c:pt idx="534">
                  <c:v>0.25906499445954123</c:v>
                </c:pt>
                <c:pt idx="535">
                  <c:v>0.25954371885991157</c:v>
                </c:pt>
                <c:pt idx="536">
                  <c:v>0.2600224512947365</c:v>
                </c:pt>
                <c:pt idx="537">
                  <c:v>0.26050119184070897</c:v>
                </c:pt>
                <c:pt idx="538">
                  <c:v>0.26097994057453489</c:v>
                </c:pt>
                <c:pt idx="539">
                  <c:v>0.26145869757293344</c:v>
                </c:pt>
                <c:pt idx="540">
                  <c:v>0.2619374629126372</c:v>
                </c:pt>
                <c:pt idx="541">
                  <c:v>0.26241623667039216</c:v>
                </c:pt>
                <c:pt idx="542">
                  <c:v>0.26289501892295791</c:v>
                </c:pt>
                <c:pt idx="543">
                  <c:v>0.26337380974710778</c:v>
                </c:pt>
                <c:pt idx="544">
                  <c:v>0.26385260921962894</c:v>
                </c:pt>
                <c:pt idx="545">
                  <c:v>0.26433141741732252</c:v>
                </c:pt>
                <c:pt idx="546">
                  <c:v>0.26481023441700369</c:v>
                </c:pt>
                <c:pt idx="547">
                  <c:v>0.26528906029550181</c:v>
                </c:pt>
                <c:pt idx="548">
                  <c:v>0.26576789512966065</c:v>
                </c:pt>
                <c:pt idx="549">
                  <c:v>0.26624673899633833</c:v>
                </c:pt>
                <c:pt idx="550">
                  <c:v>0.26672559197240758</c:v>
                </c:pt>
                <c:pt idx="551">
                  <c:v>0.2672044541347558</c:v>
                </c:pt>
                <c:pt idx="552">
                  <c:v>0.26768332556028523</c:v>
                </c:pt>
                <c:pt idx="553">
                  <c:v>0.26816220632591298</c:v>
                </c:pt>
                <c:pt idx="554">
                  <c:v>0.26864109650857126</c:v>
                </c:pt>
                <c:pt idx="555">
                  <c:v>0.26911999618520749</c:v>
                </c:pt>
                <c:pt idx="556">
                  <c:v>0.26959890543278431</c:v>
                </c:pt>
                <c:pt idx="557">
                  <c:v>0.27007782432827981</c:v>
                </c:pt>
                <c:pt idx="558">
                  <c:v>0.27055675294868764</c:v>
                </c:pt>
                <c:pt idx="559">
                  <c:v>0.27103569137101707</c:v>
                </c:pt>
                <c:pt idx="560">
                  <c:v>0.27151463967229322</c:v>
                </c:pt>
                <c:pt idx="561">
                  <c:v>0.27199359792955707</c:v>
                </c:pt>
                <c:pt idx="562">
                  <c:v>0.27247256621986565</c:v>
                </c:pt>
                <c:pt idx="563">
                  <c:v>0.27295154462029214</c:v>
                </c:pt>
                <c:pt idx="564">
                  <c:v>0.27343053320792599</c:v>
                </c:pt>
                <c:pt idx="565">
                  <c:v>0.27390953205987306</c:v>
                </c:pt>
                <c:pt idx="566">
                  <c:v>0.27438854125325579</c:v>
                </c:pt>
                <c:pt idx="567">
                  <c:v>0.27486756086521313</c:v>
                </c:pt>
                <c:pt idx="568">
                  <c:v>0.27534659097290093</c:v>
                </c:pt>
                <c:pt idx="569">
                  <c:v>0.27582563165349189</c:v>
                </c:pt>
                <c:pt idx="570">
                  <c:v>0.27630468298417571</c:v>
                </c:pt>
                <c:pt idx="571">
                  <c:v>0.27678374504215925</c:v>
                </c:pt>
                <c:pt idx="572">
                  <c:v>0.27726281790466661</c:v>
                </c:pt>
                <c:pt idx="573">
                  <c:v>0.27774190164893925</c:v>
                </c:pt>
                <c:pt idx="574">
                  <c:v>0.27822099635223624</c:v>
                </c:pt>
                <c:pt idx="575">
                  <c:v>0.27870010209183416</c:v>
                </c:pt>
                <c:pt idx="576">
                  <c:v>0.27917921894502745</c:v>
                </c:pt>
                <c:pt idx="577">
                  <c:v>0.27965834698912839</c:v>
                </c:pt>
                <c:pt idx="578">
                  <c:v>0.28013748630146723</c:v>
                </c:pt>
                <c:pt idx="579">
                  <c:v>0.28061663695939243</c:v>
                </c:pt>
                <c:pt idx="580">
                  <c:v>0.2810957990402706</c:v>
                </c:pt>
                <c:pt idx="581">
                  <c:v>0.28157497262148679</c:v>
                </c:pt>
                <c:pt idx="582">
                  <c:v>0.28205415778044451</c:v>
                </c:pt>
                <c:pt idx="583">
                  <c:v>0.28253335459456597</c:v>
                </c:pt>
                <c:pt idx="584">
                  <c:v>0.28301256314129208</c:v>
                </c:pt>
                <c:pt idx="585">
                  <c:v>0.28349178349808263</c:v>
                </c:pt>
                <c:pt idx="586">
                  <c:v>0.28397101574241634</c:v>
                </c:pt>
                <c:pt idx="587">
                  <c:v>0.28445025995179118</c:v>
                </c:pt>
                <c:pt idx="588">
                  <c:v>0.28492951620372425</c:v>
                </c:pt>
                <c:pt idx="589">
                  <c:v>0.28540878457575214</c:v>
                </c:pt>
                <c:pt idx="590">
                  <c:v>0.2858880651454308</c:v>
                </c:pt>
                <c:pt idx="591">
                  <c:v>0.28636735799033591</c:v>
                </c:pt>
                <c:pt idx="592">
                  <c:v>0.28684666318806284</c:v>
                </c:pt>
                <c:pt idx="593">
                  <c:v>0.2873259808162269</c:v>
                </c:pt>
                <c:pt idx="594">
                  <c:v>0.28780531095246326</c:v>
                </c:pt>
                <c:pt idx="595">
                  <c:v>0.28828465367442735</c:v>
                </c:pt>
                <c:pt idx="596">
                  <c:v>0.28876400905979477</c:v>
                </c:pt>
                <c:pt idx="597">
                  <c:v>0.28924337718626153</c:v>
                </c:pt>
                <c:pt idx="598">
                  <c:v>0.28972275813154413</c:v>
                </c:pt>
                <c:pt idx="599">
                  <c:v>0.29020215197337967</c:v>
                </c:pt>
                <c:pt idx="600">
                  <c:v>0.29068155878952606</c:v>
                </c:pt>
                <c:pt idx="601">
                  <c:v>0.29116097865776197</c:v>
                </c:pt>
                <c:pt idx="602">
                  <c:v>0.29164041165588722</c:v>
                </c:pt>
                <c:pt idx="603">
                  <c:v>0.29211985786172262</c:v>
                </c:pt>
                <c:pt idx="604">
                  <c:v>0.29259931735311034</c:v>
                </c:pt>
                <c:pt idx="605">
                  <c:v>0.29307879020791383</c:v>
                </c:pt>
                <c:pt idx="606">
                  <c:v>0.29355827650401811</c:v>
                </c:pt>
                <c:pt idx="607">
                  <c:v>0.29403777631932987</c:v>
                </c:pt>
                <c:pt idx="608">
                  <c:v>0.29451728973177743</c:v>
                </c:pt>
                <c:pt idx="609">
                  <c:v>0.29499681681931111</c:v>
                </c:pt>
                <c:pt idx="610">
                  <c:v>0.29547635765990321</c:v>
                </c:pt>
                <c:pt idx="611">
                  <c:v>0.29595591233154817</c:v>
                </c:pt>
                <c:pt idx="612">
                  <c:v>0.29643548091226268</c:v>
                </c:pt>
                <c:pt idx="613">
                  <c:v>0.29691506348008584</c:v>
                </c:pt>
                <c:pt idx="614">
                  <c:v>0.29739466011307919</c:v>
                </c:pt>
                <c:pt idx="615">
                  <c:v>0.29787427088932705</c:v>
                </c:pt>
                <c:pt idx="616">
                  <c:v>0.29835389588693639</c:v>
                </c:pt>
                <c:pt idx="617">
                  <c:v>0.29883353518403721</c:v>
                </c:pt>
                <c:pt idx="618">
                  <c:v>0.29931318885878239</c:v>
                </c:pt>
                <c:pt idx="619">
                  <c:v>0.2997928569893481</c:v>
                </c:pt>
                <c:pt idx="620">
                  <c:v>0.30027253965393369</c:v>
                </c:pt>
                <c:pt idx="621">
                  <c:v>0.30075223693076197</c:v>
                </c:pt>
                <c:pt idx="622">
                  <c:v>0.3012319488980793</c:v>
                </c:pt>
                <c:pt idx="623">
                  <c:v>0.30171167563415563</c:v>
                </c:pt>
                <c:pt idx="624">
                  <c:v>0.30219141721728482</c:v>
                </c:pt>
                <c:pt idx="625">
                  <c:v>0.30267117372578456</c:v>
                </c:pt>
                <c:pt idx="626">
                  <c:v>0.30315094523799668</c:v>
                </c:pt>
                <c:pt idx="627">
                  <c:v>0.30363073183228706</c:v>
                </c:pt>
                <c:pt idx="628">
                  <c:v>0.30411053358704604</c:v>
                </c:pt>
                <c:pt idx="629">
                  <c:v>0.30459035058068828</c:v>
                </c:pt>
                <c:pt idx="630">
                  <c:v>0.30507018289165305</c:v>
                </c:pt>
                <c:pt idx="631">
                  <c:v>0.3055500305984043</c:v>
                </c:pt>
                <c:pt idx="632">
                  <c:v>0.30602989377943079</c:v>
                </c:pt>
                <c:pt idx="633">
                  <c:v>0.30650977251324629</c:v>
                </c:pt>
                <c:pt idx="634">
                  <c:v>0.30698966687838958</c:v>
                </c:pt>
                <c:pt idx="635">
                  <c:v>0.30746957695342469</c:v>
                </c:pt>
                <c:pt idx="636">
                  <c:v>0.307949502816941</c:v>
                </c:pt>
                <c:pt idx="637">
                  <c:v>0.30842944454755333</c:v>
                </c:pt>
                <c:pt idx="638">
                  <c:v>0.30890940222390206</c:v>
                </c:pt>
                <c:pt idx="639">
                  <c:v>0.30938937592465343</c:v>
                </c:pt>
                <c:pt idx="640">
                  <c:v>0.30986936572849938</c:v>
                </c:pt>
                <c:pt idx="641">
                  <c:v>0.310349371714158</c:v>
                </c:pt>
                <c:pt idx="642">
                  <c:v>0.31082939396037335</c:v>
                </c:pt>
                <c:pt idx="643">
                  <c:v>0.31130943254591581</c:v>
                </c:pt>
                <c:pt idx="644">
                  <c:v>0.31178948754958208</c:v>
                </c:pt>
                <c:pt idx="645">
                  <c:v>0.31226955905019549</c:v>
                </c:pt>
                <c:pt idx="646">
                  <c:v>0.31274964712660591</c:v>
                </c:pt>
                <c:pt idx="647">
                  <c:v>0.31322975185768998</c:v>
                </c:pt>
                <c:pt idx="648">
                  <c:v>0.31370987332235128</c:v>
                </c:pt>
                <c:pt idx="649">
                  <c:v>0.31419001159952042</c:v>
                </c:pt>
                <c:pt idx="650">
                  <c:v>0.31467016676815512</c:v>
                </c:pt>
                <c:pt idx="651">
                  <c:v>0.31515033890724048</c:v>
                </c:pt>
                <c:pt idx="652">
                  <c:v>0.31563052809578895</c:v>
                </c:pt>
                <c:pt idx="653">
                  <c:v>0.31611073441284054</c:v>
                </c:pt>
                <c:pt idx="654">
                  <c:v>0.316590957937463</c:v>
                </c:pt>
                <c:pt idx="655">
                  <c:v>0.31707119874875184</c:v>
                </c:pt>
                <c:pt idx="656">
                  <c:v>0.31755145692583053</c:v>
                </c:pt>
                <c:pt idx="657">
                  <c:v>0.31803173254785072</c:v>
                </c:pt>
                <c:pt idx="658">
                  <c:v>0.31851202569399212</c:v>
                </c:pt>
                <c:pt idx="659">
                  <c:v>0.31899233644346286</c:v>
                </c:pt>
                <c:pt idx="660">
                  <c:v>0.31947266487549963</c:v>
                </c:pt>
                <c:pt idx="661">
                  <c:v>0.31995301106936758</c:v>
                </c:pt>
                <c:pt idx="662">
                  <c:v>0.32043337510436071</c:v>
                </c:pt>
                <c:pt idx="663">
                  <c:v>0.3209137570598018</c:v>
                </c:pt>
                <c:pt idx="664">
                  <c:v>0.32139415701504276</c:v>
                </c:pt>
                <c:pt idx="665">
                  <c:v>0.32187457504946454</c:v>
                </c:pt>
                <c:pt idx="666">
                  <c:v>0.32235501124247745</c:v>
                </c:pt>
                <c:pt idx="667">
                  <c:v>0.32283546567352112</c:v>
                </c:pt>
                <c:pt idx="668">
                  <c:v>0.32331593842206474</c:v>
                </c:pt>
                <c:pt idx="669">
                  <c:v>0.32379642956760729</c:v>
                </c:pt>
                <c:pt idx="670">
                  <c:v>0.32427693918967737</c:v>
                </c:pt>
                <c:pt idx="671">
                  <c:v>0.32475746736783367</c:v>
                </c:pt>
                <c:pt idx="672">
                  <c:v>0.32523801418166487</c:v>
                </c:pt>
                <c:pt idx="673">
                  <c:v>0.32571857971078993</c:v>
                </c:pt>
                <c:pt idx="674">
                  <c:v>0.3261991640348581</c:v>
                </c:pt>
                <c:pt idx="675">
                  <c:v>0.32667976723354913</c:v>
                </c:pt>
                <c:pt idx="676">
                  <c:v>0.32716038938657332</c:v>
                </c:pt>
                <c:pt idx="677">
                  <c:v>0.32764103057367183</c:v>
                </c:pt>
                <c:pt idx="678">
                  <c:v>0.32812169087461662</c:v>
                </c:pt>
                <c:pt idx="679">
                  <c:v>0.32860237036921069</c:v>
                </c:pt>
                <c:pt idx="680">
                  <c:v>0.32908306913728819</c:v>
                </c:pt>
                <c:pt idx="681">
                  <c:v>0.32956378725871449</c:v>
                </c:pt>
                <c:pt idx="682">
                  <c:v>0.33004452481338653</c:v>
                </c:pt>
                <c:pt idx="683">
                  <c:v>0.33052528188123265</c:v>
                </c:pt>
                <c:pt idx="684">
                  <c:v>0.33100605854221299</c:v>
                </c:pt>
                <c:pt idx="685">
                  <c:v>0.33148685487631946</c:v>
                </c:pt>
                <c:pt idx="686">
                  <c:v>0.33196767096357599</c:v>
                </c:pt>
                <c:pt idx="687">
                  <c:v>0.33244850688403849</c:v>
                </c:pt>
                <c:pt idx="688">
                  <c:v>0.33292936271779522</c:v>
                </c:pt>
                <c:pt idx="689">
                  <c:v>0.33341023854496676</c:v>
                </c:pt>
                <c:pt idx="690">
                  <c:v>0.33389113444570623</c:v>
                </c:pt>
                <c:pt idx="691">
                  <c:v>0.33437205050019936</c:v>
                </c:pt>
                <c:pt idx="692">
                  <c:v>0.33485298678866465</c:v>
                </c:pt>
                <c:pt idx="693">
                  <c:v>0.33533394339135358</c:v>
                </c:pt>
                <c:pt idx="694">
                  <c:v>0.3358149203885506</c:v>
                </c:pt>
                <c:pt idx="695">
                  <c:v>0.33629591786057339</c:v>
                </c:pt>
                <c:pt idx="696">
                  <c:v>0.33677693588777302</c:v>
                </c:pt>
                <c:pt idx="697">
                  <c:v>0.33725797455053391</c:v>
                </c:pt>
                <c:pt idx="698">
                  <c:v>0.33773903392927412</c:v>
                </c:pt>
                <c:pt idx="699">
                  <c:v>0.33822011410444552</c:v>
                </c:pt>
                <c:pt idx="700">
                  <c:v>0.33870121515653379</c:v>
                </c:pt>
                <c:pt idx="701">
                  <c:v>0.33918233716605861</c:v>
                </c:pt>
                <c:pt idx="702">
                  <c:v>0.3396634802135739</c:v>
                </c:pt>
                <c:pt idx="703">
                  <c:v>0.34014464437966774</c:v>
                </c:pt>
                <c:pt idx="704">
                  <c:v>0.34062582974496275</c:v>
                </c:pt>
                <c:pt idx="705">
                  <c:v>0.34110703639011614</c:v>
                </c:pt>
                <c:pt idx="706">
                  <c:v>0.34158826439581969</c:v>
                </c:pt>
                <c:pt idx="707">
                  <c:v>0.34206951384280015</c:v>
                </c:pt>
                <c:pt idx="708">
                  <c:v>0.34255078481181922</c:v>
                </c:pt>
                <c:pt idx="709">
                  <c:v>0.34303207738367375</c:v>
                </c:pt>
                <c:pt idx="710">
                  <c:v>0.34351339163919581</c:v>
                </c:pt>
                <c:pt idx="711">
                  <c:v>0.34399472765925287</c:v>
                </c:pt>
                <c:pt idx="712">
                  <c:v>0.34447608552474795</c:v>
                </c:pt>
                <c:pt idx="713">
                  <c:v>0.3449574653166198</c:v>
                </c:pt>
                <c:pt idx="714">
                  <c:v>0.34543886711584293</c:v>
                </c:pt>
                <c:pt idx="715">
                  <c:v>0.34592029100342786</c:v>
                </c:pt>
                <c:pt idx="716">
                  <c:v>0.34640173706042121</c:v>
                </c:pt>
                <c:pt idx="717">
                  <c:v>0.34688320536790584</c:v>
                </c:pt>
                <c:pt idx="718">
                  <c:v>0.34736469600700098</c:v>
                </c:pt>
                <c:pt idx="719">
                  <c:v>0.34784620905886238</c:v>
                </c:pt>
                <c:pt idx="720">
                  <c:v>0.34832774460468247</c:v>
                </c:pt>
                <c:pt idx="721">
                  <c:v>0.3488093027256905</c:v>
                </c:pt>
                <c:pt idx="722">
                  <c:v>0.34929088350315268</c:v>
                </c:pt>
                <c:pt idx="723">
                  <c:v>0.34977248701837227</c:v>
                </c:pt>
                <c:pt idx="724">
                  <c:v>0.3502541133526898</c:v>
                </c:pt>
                <c:pt idx="725">
                  <c:v>0.35073576258748312</c:v>
                </c:pt>
                <c:pt idx="726">
                  <c:v>0.35121743480416767</c:v>
                </c:pt>
                <c:pt idx="727">
                  <c:v>0.35169913008419645</c:v>
                </c:pt>
                <c:pt idx="728">
                  <c:v>0.3521808485090604</c:v>
                </c:pt>
                <c:pt idx="729">
                  <c:v>0.35266259016028823</c:v>
                </c:pt>
                <c:pt idx="730">
                  <c:v>0.35314435511944692</c:v>
                </c:pt>
                <c:pt idx="731">
                  <c:v>0.35362614346814153</c:v>
                </c:pt>
                <c:pt idx="732">
                  <c:v>0.35410795528801559</c:v>
                </c:pt>
                <c:pt idx="733">
                  <c:v>0.35458979066075108</c:v>
                </c:pt>
                <c:pt idx="734">
                  <c:v>0.3550716496680687</c:v>
                </c:pt>
                <c:pt idx="735">
                  <c:v>0.35555353239172788</c:v>
                </c:pt>
                <c:pt idx="736">
                  <c:v>0.35603543891352707</c:v>
                </c:pt>
                <c:pt idx="737">
                  <c:v>0.35651736931530376</c:v>
                </c:pt>
                <c:pt idx="738">
                  <c:v>0.35699932367893467</c:v>
                </c:pt>
                <c:pt idx="739">
                  <c:v>0.35748130208633588</c:v>
                </c:pt>
                <c:pt idx="740">
                  <c:v>0.35796330461946307</c:v>
                </c:pt>
                <c:pt idx="741">
                  <c:v>0.35844533136031159</c:v>
                </c:pt>
                <c:pt idx="742">
                  <c:v>0.35892738239091648</c:v>
                </c:pt>
                <c:pt idx="743">
                  <c:v>0.35940945779335287</c:v>
                </c:pt>
                <c:pt idx="744">
                  <c:v>0.3598915576497359</c:v>
                </c:pt>
                <c:pt idx="745">
                  <c:v>0.36037368204222098</c:v>
                </c:pt>
                <c:pt idx="746">
                  <c:v>0.36085583105300395</c:v>
                </c:pt>
                <c:pt idx="747">
                  <c:v>0.36133800476432121</c:v>
                </c:pt>
                <c:pt idx="748">
                  <c:v>0.36182020325844971</c:v>
                </c:pt>
                <c:pt idx="749">
                  <c:v>0.3623024266177074</c:v>
                </c:pt>
                <c:pt idx="750">
                  <c:v>0.3627846749244531</c:v>
                </c:pt>
                <c:pt idx="751">
                  <c:v>0.3632669482610868</c:v>
                </c:pt>
                <c:pt idx="752">
                  <c:v>0.36374924671004971</c:v>
                </c:pt>
                <c:pt idx="753">
                  <c:v>0.36423157035382447</c:v>
                </c:pt>
                <c:pt idx="754">
                  <c:v>0.36471391927493535</c:v>
                </c:pt>
                <c:pt idx="755">
                  <c:v>0.36519629355594829</c:v>
                </c:pt>
                <c:pt idx="756">
                  <c:v>0.36567869327947106</c:v>
                </c:pt>
                <c:pt idx="757">
                  <c:v>0.36616111852815347</c:v>
                </c:pt>
                <c:pt idx="758">
                  <c:v>0.36664356938468751</c:v>
                </c:pt>
                <c:pt idx="759">
                  <c:v>0.36712604593180737</c:v>
                </c:pt>
                <c:pt idx="760">
                  <c:v>0.36760854825228984</c:v>
                </c:pt>
                <c:pt idx="761">
                  <c:v>0.36809107642895417</c:v>
                </c:pt>
                <c:pt idx="762">
                  <c:v>0.36857363054466241</c:v>
                </c:pt>
                <c:pt idx="763">
                  <c:v>0.36905621068231959</c:v>
                </c:pt>
                <c:pt idx="764">
                  <c:v>0.36953881692487361</c:v>
                </c:pt>
                <c:pt idx="765">
                  <c:v>0.37002144935531572</c:v>
                </c:pt>
                <c:pt idx="766">
                  <c:v>0.37050410805668049</c:v>
                </c:pt>
                <c:pt idx="767">
                  <c:v>0.37098679311204591</c:v>
                </c:pt>
                <c:pt idx="768">
                  <c:v>0.37146950460453365</c:v>
                </c:pt>
                <c:pt idx="769">
                  <c:v>0.37195224261730919</c:v>
                </c:pt>
                <c:pt idx="770">
                  <c:v>0.37243500723358197</c:v>
                </c:pt>
                <c:pt idx="771">
                  <c:v>0.3729177985366055</c:v>
                </c:pt>
                <c:pt idx="772">
                  <c:v>0.37340061660967749</c:v>
                </c:pt>
                <c:pt idx="773">
                  <c:v>0.37388346153614016</c:v>
                </c:pt>
                <c:pt idx="774">
                  <c:v>0.37436633339938014</c:v>
                </c:pt>
                <c:pt idx="775">
                  <c:v>0.37484923228282885</c:v>
                </c:pt>
                <c:pt idx="776">
                  <c:v>0.37533215826996252</c:v>
                </c:pt>
                <c:pt idx="777">
                  <c:v>0.37581511144430246</c:v>
                </c:pt>
                <c:pt idx="778">
                  <c:v>0.37629809188941499</c:v>
                </c:pt>
                <c:pt idx="779">
                  <c:v>0.37678109968891188</c:v>
                </c:pt>
                <c:pt idx="780">
                  <c:v>0.37726413492645028</c:v>
                </c:pt>
                <c:pt idx="781">
                  <c:v>0.37774719768573295</c:v>
                </c:pt>
                <c:pt idx="782">
                  <c:v>0.3782302880505084</c:v>
                </c:pt>
                <c:pt idx="783">
                  <c:v>0.3787134061045711</c:v>
                </c:pt>
                <c:pt idx="784">
                  <c:v>0.37919655193176161</c:v>
                </c:pt>
                <c:pt idx="785">
                  <c:v>0.37967972561596663</c:v>
                </c:pt>
                <c:pt idx="786">
                  <c:v>0.38016292724111933</c:v>
                </c:pt>
                <c:pt idx="787">
                  <c:v>0.38064615689119935</c:v>
                </c:pt>
                <c:pt idx="788">
                  <c:v>0.38112941465023298</c:v>
                </c:pt>
                <c:pt idx="789">
                  <c:v>0.38161270060229341</c:v>
                </c:pt>
                <c:pt idx="790">
                  <c:v>0.38209601483150085</c:v>
                </c:pt>
                <c:pt idx="791">
                  <c:v>0.38257935742202254</c:v>
                </c:pt>
                <c:pt idx="792">
                  <c:v>0.38306272845807315</c:v>
                </c:pt>
                <c:pt idx="793">
                  <c:v>0.38354612802391475</c:v>
                </c:pt>
                <c:pt idx="794">
                  <c:v>0.38402955620385698</c:v>
                </c:pt>
                <c:pt idx="795">
                  <c:v>0.38451301308225733</c:v>
                </c:pt>
                <c:pt idx="796">
                  <c:v>0.38499649874352121</c:v>
                </c:pt>
                <c:pt idx="797">
                  <c:v>0.38548001327210202</c:v>
                </c:pt>
                <c:pt idx="798">
                  <c:v>0.38596355675250149</c:v>
                </c:pt>
                <c:pt idx="799">
                  <c:v>0.38644712926926966</c:v>
                </c:pt>
                <c:pt idx="800">
                  <c:v>0.38693073090700519</c:v>
                </c:pt>
                <c:pt idx="801">
                  <c:v>0.38741436175035548</c:v>
                </c:pt>
                <c:pt idx="802">
                  <c:v>0.38789802188401667</c:v>
                </c:pt>
                <c:pt idx="803">
                  <c:v>0.38838171139273397</c:v>
                </c:pt>
                <c:pt idx="804">
                  <c:v>0.38886543036130183</c:v>
                </c:pt>
                <c:pt idx="805">
                  <c:v>0.38934917887456399</c:v>
                </c:pt>
                <c:pt idx="806">
                  <c:v>0.38983295701741372</c:v>
                </c:pt>
                <c:pt idx="807">
                  <c:v>0.39031676487479383</c:v>
                </c:pt>
                <c:pt idx="808">
                  <c:v>0.39080060253169707</c:v>
                </c:pt>
                <c:pt idx="809">
                  <c:v>0.39128447007316614</c:v>
                </c:pt>
                <c:pt idx="810">
                  <c:v>0.39176836758429379</c:v>
                </c:pt>
                <c:pt idx="811">
                  <c:v>0.39225229515022308</c:v>
                </c:pt>
                <c:pt idx="812">
                  <c:v>0.39273625285614761</c:v>
                </c:pt>
                <c:pt idx="813">
                  <c:v>0.39322024078731155</c:v>
                </c:pt>
                <c:pt idx="814">
                  <c:v>0.39370425902900974</c:v>
                </c:pt>
                <c:pt idx="815">
                  <c:v>0.39418830766658808</c:v>
                </c:pt>
                <c:pt idx="816">
                  <c:v>0.39467238678544347</c:v>
                </c:pt>
                <c:pt idx="817">
                  <c:v>0.39515649647102408</c:v>
                </c:pt>
                <c:pt idx="818">
                  <c:v>0.39564063680882955</c:v>
                </c:pt>
                <c:pt idx="819">
                  <c:v>0.39612480788441101</c:v>
                </c:pt>
                <c:pt idx="820">
                  <c:v>0.39660900978337132</c:v>
                </c:pt>
                <c:pt idx="821">
                  <c:v>0.3970932425913653</c:v>
                </c:pt>
                <c:pt idx="822">
                  <c:v>0.39757750639409983</c:v>
                </c:pt>
                <c:pt idx="823">
                  <c:v>0.39806180127733393</c:v>
                </c:pt>
                <c:pt idx="824">
                  <c:v>0.39854612732687905</c:v>
                </c:pt>
                <c:pt idx="825">
                  <c:v>0.39903048462859919</c:v>
                </c:pt>
                <c:pt idx="826">
                  <c:v>0.39951487326841106</c:v>
                </c:pt>
                <c:pt idx="827">
                  <c:v>0.39999929333228423</c:v>
                </c:pt>
                <c:pt idx="828">
                  <c:v>0.40048374490624128</c:v>
                </c:pt>
                <c:pt idx="829">
                  <c:v>0.40096822807635801</c:v>
                </c:pt>
                <c:pt idx="830">
                  <c:v>0.40145274292876354</c:v>
                </c:pt>
                <c:pt idx="831">
                  <c:v>0.40193728954964059</c:v>
                </c:pt>
                <c:pt idx="832">
                  <c:v>0.40242186802522556</c:v>
                </c:pt>
                <c:pt idx="833">
                  <c:v>0.40290647844180866</c:v>
                </c:pt>
                <c:pt idx="834">
                  <c:v>0.40339112088573409</c:v>
                </c:pt>
                <c:pt idx="835">
                  <c:v>0.40380591126550303</c:v>
                </c:pt>
                <c:pt idx="836">
                  <c:v>0.40422070164527196</c:v>
                </c:pt>
                <c:pt idx="837">
                  <c:v>0.4046354920250409</c:v>
                </c:pt>
                <c:pt idx="838">
                  <c:v>0.40505028240480984</c:v>
                </c:pt>
                <c:pt idx="839">
                  <c:v>0.40546507278457877</c:v>
                </c:pt>
                <c:pt idx="840">
                  <c:v>0.40587986316434771</c:v>
                </c:pt>
                <c:pt idx="841">
                  <c:v>0.40629465354411665</c:v>
                </c:pt>
                <c:pt idx="842">
                  <c:v>0.40670944392388558</c:v>
                </c:pt>
                <c:pt idx="843">
                  <c:v>0.40712423430365452</c:v>
                </c:pt>
                <c:pt idx="844">
                  <c:v>0.40753902468342346</c:v>
                </c:pt>
                <c:pt idx="845">
                  <c:v>0.40795381506319239</c:v>
                </c:pt>
                <c:pt idx="846">
                  <c:v>0.40836860544296133</c:v>
                </c:pt>
                <c:pt idx="847">
                  <c:v>0.40878339582273027</c:v>
                </c:pt>
                <c:pt idx="848">
                  <c:v>0.4091981862024992</c:v>
                </c:pt>
                <c:pt idx="849">
                  <c:v>0.40961297658226814</c:v>
                </c:pt>
                <c:pt idx="850">
                  <c:v>0.41002776696203708</c:v>
                </c:pt>
                <c:pt idx="851">
                  <c:v>0.41044255734180601</c:v>
                </c:pt>
                <c:pt idx="852">
                  <c:v>0.41085734772157495</c:v>
                </c:pt>
                <c:pt idx="853">
                  <c:v>0.41127213810134389</c:v>
                </c:pt>
                <c:pt idx="854">
                  <c:v>0.41168692848111282</c:v>
                </c:pt>
                <c:pt idx="855">
                  <c:v>0.41210171886088176</c:v>
                </c:pt>
                <c:pt idx="856">
                  <c:v>0.4125165092406507</c:v>
                </c:pt>
                <c:pt idx="857">
                  <c:v>0.41293129962041963</c:v>
                </c:pt>
                <c:pt idx="858">
                  <c:v>0.41334609000018857</c:v>
                </c:pt>
                <c:pt idx="859">
                  <c:v>0.41376088037995751</c:v>
                </c:pt>
                <c:pt idx="860">
                  <c:v>0.41417567075972644</c:v>
                </c:pt>
                <c:pt idx="861">
                  <c:v>0.41459046113949538</c:v>
                </c:pt>
                <c:pt idx="862">
                  <c:v>0.41500525151926432</c:v>
                </c:pt>
                <c:pt idx="863">
                  <c:v>0.41542004189903325</c:v>
                </c:pt>
                <c:pt idx="864">
                  <c:v>0.41583483227880219</c:v>
                </c:pt>
                <c:pt idx="865">
                  <c:v>0.41624962265857113</c:v>
                </c:pt>
                <c:pt idx="866">
                  <c:v>0.41666441303834006</c:v>
                </c:pt>
                <c:pt idx="867">
                  <c:v>0.417079203418109</c:v>
                </c:pt>
                <c:pt idx="868">
                  <c:v>0.41749399379787794</c:v>
                </c:pt>
                <c:pt idx="869">
                  <c:v>0.41790878417764687</c:v>
                </c:pt>
                <c:pt idx="870">
                  <c:v>0.41832357455741581</c:v>
                </c:pt>
                <c:pt idx="871">
                  <c:v>0.41873836493718475</c:v>
                </c:pt>
                <c:pt idx="872">
                  <c:v>0.41915315531695369</c:v>
                </c:pt>
                <c:pt idx="873">
                  <c:v>0.41956794569672262</c:v>
                </c:pt>
                <c:pt idx="874">
                  <c:v>0.41998273607649156</c:v>
                </c:pt>
                <c:pt idx="875">
                  <c:v>0.4203975264562605</c:v>
                </c:pt>
                <c:pt idx="876">
                  <c:v>0.42081231683602943</c:v>
                </c:pt>
                <c:pt idx="877">
                  <c:v>0.42122710721579837</c:v>
                </c:pt>
                <c:pt idx="878">
                  <c:v>0.42164189759556731</c:v>
                </c:pt>
                <c:pt idx="879">
                  <c:v>0.42205668797533624</c:v>
                </c:pt>
                <c:pt idx="880">
                  <c:v>0.42247147835510518</c:v>
                </c:pt>
                <c:pt idx="881">
                  <c:v>0.42288626873487412</c:v>
                </c:pt>
                <c:pt idx="882">
                  <c:v>0.42330105911464305</c:v>
                </c:pt>
              </c:numCache>
            </c:numRef>
          </c:xVal>
          <c:yVal>
            <c:numRef>
              <c:f>Performance!$K$28:$K$910</c:f>
              <c:numCache>
                <c:formatCode>0</c:formatCode>
                <c:ptCount val="883"/>
                <c:pt idx="0" formatCode="General">
                  <c:v>0</c:v>
                </c:pt>
                <c:pt idx="1">
                  <c:v>16.730877644803535</c:v>
                </c:pt>
                <c:pt idx="2">
                  <c:v>29.538713788367382</c:v>
                </c:pt>
                <c:pt idx="3">
                  <c:v>40.184418745963242</c:v>
                </c:pt>
                <c:pt idx="4">
                  <c:v>49.207129715871822</c:v>
                </c:pt>
                <c:pt idx="5">
                  <c:v>57.055607326759436</c:v>
                </c:pt>
                <c:pt idx="6">
                  <c:v>63.700541147974079</c:v>
                </c:pt>
                <c:pt idx="7">
                  <c:v>69.365361578246649</c:v>
                </c:pt>
                <c:pt idx="8">
                  <c:v>74.219560876141287</c:v>
                </c:pt>
                <c:pt idx="9">
                  <c:v>78.395870954109554</c:v>
                </c:pt>
                <c:pt idx="10">
                  <c:v>82.00058853846717</c:v>
                </c:pt>
                <c:pt idx="11">
                  <c:v>85.120255272898845</c:v>
                </c:pt>
                <c:pt idx="12">
                  <c:v>87.826220323219687</c:v>
                </c:pt>
                <c:pt idx="13">
                  <c:v>90.177888729678997</c:v>
                </c:pt>
                <c:pt idx="14">
                  <c:v>92.225110839407165</c:v>
                </c:pt>
                <c:pt idx="15">
                  <c:v>94.009986661817237</c:v>
                </c:pt>
                <c:pt idx="16">
                  <c:v>95.568257922243518</c:v>
                </c:pt>
                <c:pt idx="17">
                  <c:v>96.930401232741445</c:v>
                </c:pt>
                <c:pt idx="18">
                  <c:v>98.122499364022147</c:v>
                </c:pt>
                <c:pt idx="19">
                  <c:v>99.166944385147943</c:v>
                </c:pt>
                <c:pt idx="20">
                  <c:v>100.08301116063448</c:v>
                </c:pt>
                <c:pt idx="21">
                  <c:v>100.88732935814379</c:v>
                </c:pt>
                <c:pt idx="22">
                  <c:v>101.59427495329537</c:v>
                </c:pt>
                <c:pt idx="23">
                  <c:v>102.21629714028333</c:v>
                </c:pt>
                <c:pt idx="24">
                  <c:v>102.76419288882607</c:v>
                </c:pt>
                <c:pt idx="25">
                  <c:v>103.24733869189474</c:v>
                </c:pt>
                <c:pt idx="26">
                  <c:v>103.67388703558939</c:v>
                </c:pt>
                <c:pt idx="27">
                  <c:v>104.0509335977621</c:v>
                </c:pt>
                <c:pt idx="28">
                  <c:v>104.38466001220449</c:v>
                </c:pt>
                <c:pt idx="29">
                  <c:v>104.680456126911</c:v>
                </c:pt>
                <c:pt idx="30">
                  <c:v>104.94302497194236</c:v>
                </c:pt>
                <c:pt idx="31">
                  <c:v>105.17647308727747</c:v>
                </c:pt>
                <c:pt idx="32">
                  <c:v>105.38438840883913</c:v>
                </c:pt>
                <c:pt idx="33">
                  <c:v>105.56990754621425</c:v>
                </c:pt>
                <c:pt idx="34">
                  <c:v>105.73577398892913</c:v>
                </c:pt>
                <c:pt idx="35">
                  <c:v>105.88438853552145</c:v>
                </c:pt>
                <c:pt idx="36">
                  <c:v>106.0178530396576</c:v>
                </c:pt>
                <c:pt idx="37">
                  <c:v>106.1380084017247</c:v>
                </c:pt>
                <c:pt idx="38">
                  <c:v>106.24646759642697</c:v>
                </c:pt>
                <c:pt idx="39">
                  <c:v>106.34464441121354</c:v>
                </c:pt>
                <c:pt idx="40">
                  <c:v>106.43377847328527</c:v>
                </c:pt>
                <c:pt idx="41">
                  <c:v>106.51495706078448</c:v>
                </c:pt>
                <c:pt idx="42">
                  <c:v>106.58913412450906</c:v>
                </c:pt>
                <c:pt idx="43">
                  <c:v>106.65714688719029</c:v>
                </c:pt>
                <c:pt idx="44">
                  <c:v>106.7197303371306</c:v>
                </c:pt>
                <c:pt idx="45">
                  <c:v>106.77752989013881</c:v>
                </c:pt>
                <c:pt idx="46">
                  <c:v>106.8311124564859</c:v>
                </c:pt>
                <c:pt idx="47">
                  <c:v>106.88097611832029</c:v>
                </c:pt>
                <c:pt idx="48">
                  <c:v>106.92755859555358</c:v>
                </c:pt>
                <c:pt idx="49">
                  <c:v>106.97124465484359</c:v>
                </c:pt>
                <c:pt idx="50">
                  <c:v>107.01237259600592</c:v>
                </c:pt>
                <c:pt idx="51">
                  <c:v>107.05123993278993</c:v>
                </c:pt>
                <c:pt idx="52">
                  <c:v>107.08810836971345</c:v>
                </c:pt>
                <c:pt idx="53">
                  <c:v>107.12320816356556</c:v>
                </c:pt>
                <c:pt idx="54">
                  <c:v>107.15674194685774</c:v>
                </c:pt>
                <c:pt idx="55">
                  <c:v>107.18888808048295</c:v>
                </c:pt>
                <c:pt idx="56">
                  <c:v>107.21980359452238</c:v>
                </c:pt>
                <c:pt idx="57">
                  <c:v>107.24962676831123</c:v>
                </c:pt>
                <c:pt idx="58">
                  <c:v>107.2784793947861</c:v>
                </c:pt>
                <c:pt idx="59">
                  <c:v>107.30646876808486</c:v>
                </c:pt>
                <c:pt idx="60">
                  <c:v>107.33368942877853</c:v>
                </c:pt>
                <c:pt idx="61">
                  <c:v>107.360224696598</c:v>
                </c:pt>
                <c:pt idx="62">
                  <c:v>107.38614801684272</c:v>
                </c:pt>
                <c:pt idx="63">
                  <c:v>107.41152414340721</c:v>
                </c:pt>
                <c:pt idx="64">
                  <c:v>107.43641017850602</c:v>
                </c:pt>
                <c:pt idx="65">
                  <c:v>107.46085648661956</c:v>
                </c:pt>
                <c:pt idx="66">
                  <c:v>107.48490749805754</c:v>
                </c:pt>
                <c:pt idx="67">
                  <c:v>107.5086024156428</c:v>
                </c:pt>
                <c:pt idx="68">
                  <c:v>107.53197583633136</c:v>
                </c:pt>
                <c:pt idx="69">
                  <c:v>107.55505829807963</c:v>
                </c:pt>
                <c:pt idx="70">
                  <c:v>107.57787676108931</c:v>
                </c:pt>
                <c:pt idx="71">
                  <c:v>107.60045503138954</c:v>
                </c:pt>
                <c:pt idx="72">
                  <c:v>107.6228141337123</c:v>
                </c:pt>
                <c:pt idx="73">
                  <c:v>107.64497263980758</c:v>
                </c:pt>
                <c:pt idx="74">
                  <c:v>107.66694695760555</c:v>
                </c:pt>
                <c:pt idx="75">
                  <c:v>107.68875158593598</c:v>
                </c:pt>
                <c:pt idx="76">
                  <c:v>107.71039933888905</c:v>
                </c:pt>
                <c:pt idx="77">
                  <c:v>107.73190154359668</c:v>
                </c:pt>
                <c:pt idx="78">
                  <c:v>107.75326821449053</c:v>
                </c:pt>
                <c:pt idx="79">
                  <c:v>107.77450820697683</c:v>
                </c:pt>
                <c:pt idx="80">
                  <c:v>107.79562935284645</c:v>
                </c:pt>
                <c:pt idx="81">
                  <c:v>107.81663857981327</c:v>
                </c:pt>
                <c:pt idx="82">
                  <c:v>107.83754201682248</c:v>
                </c:pt>
                <c:pt idx="83">
                  <c:v>107.85834508705754</c:v>
                </c:pt>
                <c:pt idx="84">
                  <c:v>107.8790525899453</c:v>
                </c:pt>
                <c:pt idx="85">
                  <c:v>107.89966877356335</c:v>
                </c:pt>
                <c:pt idx="86">
                  <c:v>107.92019739852987</c:v>
                </c:pt>
                <c:pt idx="87">
                  <c:v>107.94064179443993</c:v>
                </c:pt>
                <c:pt idx="88">
                  <c:v>107.96100490966231</c:v>
                </c:pt>
                <c:pt idx="89">
                  <c:v>107.98128935537167</c:v>
                </c:pt>
                <c:pt idx="90">
                  <c:v>108.00149744437745</c:v>
                </c:pt>
                <c:pt idx="91">
                  <c:v>108.02163122549061</c:v>
                </c:pt>
                <c:pt idx="92">
                  <c:v>108.04169251387211</c:v>
                </c:pt>
                <c:pt idx="93">
                  <c:v>108.06168291784167</c:v>
                </c:pt>
                <c:pt idx="94">
                  <c:v>108.08160386258709</c:v>
                </c:pt>
                <c:pt idx="95">
                  <c:v>108.10145661115457</c:v>
                </c:pt>
                <c:pt idx="96">
                  <c:v>108.12124228294559</c:v>
                </c:pt>
                <c:pt idx="97">
                  <c:v>108.14096187014955</c:v>
                </c:pt>
                <c:pt idx="98">
                  <c:v>108.16061625223421</c:v>
                </c:pt>
                <c:pt idx="99">
                  <c:v>108.18020620878053</c:v>
                </c:pt>
                <c:pt idx="100">
                  <c:v>108.19973243085262</c:v>
                </c:pt>
                <c:pt idx="101">
                  <c:v>108.21919553102887</c:v>
                </c:pt>
                <c:pt idx="102">
                  <c:v>108.23859605231989</c:v>
                </c:pt>
                <c:pt idx="103">
                  <c:v>108.25793447604227</c:v>
                </c:pt>
                <c:pt idx="104">
                  <c:v>108.27721122879552</c:v>
                </c:pt>
                <c:pt idx="105">
                  <c:v>108.29642668865478</c:v>
                </c:pt>
                <c:pt idx="106">
                  <c:v>108.31558119062389</c:v>
                </c:pt>
                <c:pt idx="107">
                  <c:v>108.33467503150318</c:v>
                </c:pt>
                <c:pt idx="108">
                  <c:v>108.35370847419509</c:v>
                </c:pt>
                <c:pt idx="109">
                  <c:v>108.37268175149354</c:v>
                </c:pt>
                <c:pt idx="110">
                  <c:v>108.39159506947503</c:v>
                </c:pt>
                <c:pt idx="111">
                  <c:v>108.41044861050545</c:v>
                </c:pt>
                <c:pt idx="112">
                  <c:v>108.42924253587913</c:v>
                </c:pt>
                <c:pt idx="113">
                  <c:v>108.44797698817085</c:v>
                </c:pt>
                <c:pt idx="114">
                  <c:v>108.46665209334543</c:v>
                </c:pt>
                <c:pt idx="115">
                  <c:v>108.48526796259989</c:v>
                </c:pt>
                <c:pt idx="116">
                  <c:v>108.50382469401325</c:v>
                </c:pt>
                <c:pt idx="117">
                  <c:v>108.52232237399835</c:v>
                </c:pt>
                <c:pt idx="118">
                  <c:v>108.54076107861756</c:v>
                </c:pt>
                <c:pt idx="119">
                  <c:v>108.55914087470282</c:v>
                </c:pt>
                <c:pt idx="120">
                  <c:v>108.57746182092325</c:v>
                </c:pt>
                <c:pt idx="121">
                  <c:v>108.59572396864274</c:v>
                </c:pt>
                <c:pt idx="122">
                  <c:v>108.61392736276505</c:v>
                </c:pt>
                <c:pt idx="123">
                  <c:v>108.63207204242671</c:v>
                </c:pt>
                <c:pt idx="124">
                  <c:v>108.65015804165425</c:v>
                </c:pt>
                <c:pt idx="125">
                  <c:v>108.6681853899009</c:v>
                </c:pt>
                <c:pt idx="126">
                  <c:v>108.6861541125927</c:v>
                </c:pt>
                <c:pt idx="127">
                  <c:v>108.7040642315272</c:v>
                </c:pt>
                <c:pt idx="128">
                  <c:v>108.72191576531098</c:v>
                </c:pt>
                <c:pt idx="129">
                  <c:v>108.73970872968071</c:v>
                </c:pt>
                <c:pt idx="130">
                  <c:v>108.75744313784843</c:v>
                </c:pt>
                <c:pt idx="131">
                  <c:v>108.77511900076301</c:v>
                </c:pt>
                <c:pt idx="132">
                  <c:v>108.79273632735469</c:v>
                </c:pt>
                <c:pt idx="133">
                  <c:v>108.81029512478118</c:v>
                </c:pt>
                <c:pt idx="134">
                  <c:v>108.82779539859779</c:v>
                </c:pt>
                <c:pt idx="135">
                  <c:v>108.84523715293632</c:v>
                </c:pt>
                <c:pt idx="136">
                  <c:v>108.86262039068008</c:v>
                </c:pt>
                <c:pt idx="137">
                  <c:v>108.87994511360021</c:v>
                </c:pt>
                <c:pt idx="138">
                  <c:v>108.89721132244253</c:v>
                </c:pt>
                <c:pt idx="139">
                  <c:v>108.91441901709584</c:v>
                </c:pt>
                <c:pt idx="140">
                  <c:v>108.93156819665174</c:v>
                </c:pt>
                <c:pt idx="141">
                  <c:v>108.94865885949241</c:v>
                </c:pt>
                <c:pt idx="142">
                  <c:v>108.96569100339025</c:v>
                </c:pt>
                <c:pt idx="143">
                  <c:v>108.98266462555617</c:v>
                </c:pt>
                <c:pt idx="144">
                  <c:v>108.99957972271714</c:v>
                </c:pt>
                <c:pt idx="145">
                  <c:v>109.01643629116289</c:v>
                </c:pt>
                <c:pt idx="146">
                  <c:v>109.0332343268</c:v>
                </c:pt>
                <c:pt idx="147">
                  <c:v>109.04997382519022</c:v>
                </c:pt>
                <c:pt idx="148">
                  <c:v>109.06665478158557</c:v>
                </c:pt>
                <c:pt idx="149">
                  <c:v>109.08327719099003</c:v>
                </c:pt>
                <c:pt idx="150">
                  <c:v>109.09984104815791</c:v>
                </c:pt>
                <c:pt idx="151">
                  <c:v>109.11634634763139</c:v>
                </c:pt>
                <c:pt idx="152">
                  <c:v>109.13279308378463</c:v>
                </c:pt>
                <c:pt idx="153">
                  <c:v>109.14918125081513</c:v>
                </c:pt>
                <c:pt idx="154">
                  <c:v>109.16551084279052</c:v>
                </c:pt>
                <c:pt idx="155">
                  <c:v>109.18178185364728</c:v>
                </c:pt>
                <c:pt idx="156">
                  <c:v>109.19799427721573</c:v>
                </c:pt>
                <c:pt idx="157">
                  <c:v>109.2141481072364</c:v>
                </c:pt>
                <c:pt idx="158">
                  <c:v>109.2302433373704</c:v>
                </c:pt>
                <c:pt idx="159">
                  <c:v>109.24627996119862</c:v>
                </c:pt>
                <c:pt idx="160">
                  <c:v>109.26225797224947</c:v>
                </c:pt>
                <c:pt idx="161">
                  <c:v>109.27817736400489</c:v>
                </c:pt>
                <c:pt idx="162">
                  <c:v>109.29403812989936</c:v>
                </c:pt>
                <c:pt idx="163">
                  <c:v>109.309840263328</c:v>
                </c:pt>
                <c:pt idx="164">
                  <c:v>109.32558375766369</c:v>
                </c:pt>
                <c:pt idx="165">
                  <c:v>109.34126860625416</c:v>
                </c:pt>
                <c:pt idx="166">
                  <c:v>109.35689480243099</c:v>
                </c:pt>
                <c:pt idx="167">
                  <c:v>109.37246233950761</c:v>
                </c:pt>
                <c:pt idx="168">
                  <c:v>109.38797121078692</c:v>
                </c:pt>
                <c:pt idx="169">
                  <c:v>109.4034214095785</c:v>
                </c:pt>
                <c:pt idx="170">
                  <c:v>109.41881292917897</c:v>
                </c:pt>
                <c:pt idx="171">
                  <c:v>109.43414576288359</c:v>
                </c:pt>
                <c:pt idx="172">
                  <c:v>109.44941990399283</c:v>
                </c:pt>
                <c:pt idx="173">
                  <c:v>109.46463534582659</c:v>
                </c:pt>
                <c:pt idx="174">
                  <c:v>109.47979208169119</c:v>
                </c:pt>
                <c:pt idx="175">
                  <c:v>109.49489010491548</c:v>
                </c:pt>
                <c:pt idx="176">
                  <c:v>109.50992940883411</c:v>
                </c:pt>
                <c:pt idx="177">
                  <c:v>109.52490998680366</c:v>
                </c:pt>
                <c:pt idx="178">
                  <c:v>109.53983183217953</c:v>
                </c:pt>
                <c:pt idx="179">
                  <c:v>109.55469493834998</c:v>
                </c:pt>
                <c:pt idx="180">
                  <c:v>109.56949929870434</c:v>
                </c:pt>
                <c:pt idx="181">
                  <c:v>109.58424490665661</c:v>
                </c:pt>
                <c:pt idx="182">
                  <c:v>109.59893175564538</c:v>
                </c:pt>
                <c:pt idx="183">
                  <c:v>109.61355983911682</c:v>
                </c:pt>
                <c:pt idx="184">
                  <c:v>109.62812915054</c:v>
                </c:pt>
                <c:pt idx="185">
                  <c:v>109.64263968341106</c:v>
                </c:pt>
                <c:pt idx="186">
                  <c:v>109.65709143123561</c:v>
                </c:pt>
                <c:pt idx="187">
                  <c:v>109.67148438755839</c:v>
                </c:pt>
                <c:pt idx="188">
                  <c:v>109.68581854592452</c:v>
                </c:pt>
                <c:pt idx="189">
                  <c:v>109.70009389991699</c:v>
                </c:pt>
                <c:pt idx="190">
                  <c:v>109.71431044313681</c:v>
                </c:pt>
                <c:pt idx="191">
                  <c:v>109.72846816921043</c:v>
                </c:pt>
                <c:pt idx="192">
                  <c:v>109.74256707178269</c:v>
                </c:pt>
                <c:pt idx="193">
                  <c:v>109.75660714452096</c:v>
                </c:pt>
                <c:pt idx="194">
                  <c:v>109.77058838113096</c:v>
                </c:pt>
                <c:pt idx="195">
                  <c:v>109.78451077532095</c:v>
                </c:pt>
                <c:pt idx="196">
                  <c:v>109.79837432084103</c:v>
                </c:pt>
                <c:pt idx="197">
                  <c:v>109.81217901145624</c:v>
                </c:pt>
                <c:pt idx="198">
                  <c:v>109.82592484095737</c:v>
                </c:pt>
                <c:pt idx="199">
                  <c:v>109.83961180316712</c:v>
                </c:pt>
                <c:pt idx="200">
                  <c:v>109.85323989191721</c:v>
                </c:pt>
                <c:pt idx="201">
                  <c:v>109.86680910108289</c:v>
                </c:pt>
                <c:pt idx="202">
                  <c:v>109.88031942455775</c:v>
                </c:pt>
                <c:pt idx="203">
                  <c:v>109.89377085625213</c:v>
                </c:pt>
                <c:pt idx="204">
                  <c:v>109.90716339010632</c:v>
                </c:pt>
                <c:pt idx="205">
                  <c:v>109.92049702009541</c:v>
                </c:pt>
                <c:pt idx="206">
                  <c:v>109.933771740206</c:v>
                </c:pt>
                <c:pt idx="207">
                  <c:v>109.94698754446223</c:v>
                </c:pt>
                <c:pt idx="208">
                  <c:v>109.96014442689827</c:v>
                </c:pt>
                <c:pt idx="209">
                  <c:v>109.97324238159159</c:v>
                </c:pt>
                <c:pt idx="210">
                  <c:v>109.98628140262588</c:v>
                </c:pt>
                <c:pt idx="211">
                  <c:v>109.99926148413334</c:v>
                </c:pt>
                <c:pt idx="212">
                  <c:v>110.01218262024867</c:v>
                </c:pt>
                <c:pt idx="213">
                  <c:v>110.02504480514473</c:v>
                </c:pt>
                <c:pt idx="214">
                  <c:v>110.03784803302375</c:v>
                </c:pt>
                <c:pt idx="215">
                  <c:v>110.05059229810304</c:v>
                </c:pt>
                <c:pt idx="216">
                  <c:v>110.06327759463019</c:v>
                </c:pt>
                <c:pt idx="217">
                  <c:v>110.07590391687449</c:v>
                </c:pt>
                <c:pt idx="218">
                  <c:v>110.08847125914042</c:v>
                </c:pt>
                <c:pt idx="219">
                  <c:v>110.10097961575219</c:v>
                </c:pt>
                <c:pt idx="220">
                  <c:v>110.11342898105526</c:v>
                </c:pt>
                <c:pt idx="221">
                  <c:v>110.12581934942784</c:v>
                </c:pt>
                <c:pt idx="222">
                  <c:v>110.13815071527472</c:v>
                </c:pt>
                <c:pt idx="223">
                  <c:v>110.15042307301219</c:v>
                </c:pt>
                <c:pt idx="224">
                  <c:v>110.16263641710124</c:v>
                </c:pt>
                <c:pt idx="225">
                  <c:v>110.17479074201815</c:v>
                </c:pt>
                <c:pt idx="226">
                  <c:v>110.18688604226621</c:v>
                </c:pt>
                <c:pt idx="227">
                  <c:v>110.19892231237517</c:v>
                </c:pt>
                <c:pt idx="228">
                  <c:v>110.21089954689995</c:v>
                </c:pt>
                <c:pt idx="229">
                  <c:v>110.22281774042115</c:v>
                </c:pt>
                <c:pt idx="230">
                  <c:v>110.23467688754296</c:v>
                </c:pt>
                <c:pt idx="231">
                  <c:v>110.24647698290205</c:v>
                </c:pt>
                <c:pt idx="232">
                  <c:v>110.25821802115141</c:v>
                </c:pt>
                <c:pt idx="233">
                  <c:v>110.26989999697844</c:v>
                </c:pt>
                <c:pt idx="234">
                  <c:v>110.28152290509169</c:v>
                </c:pt>
                <c:pt idx="235">
                  <c:v>110.29308674021824</c:v>
                </c:pt>
                <c:pt idx="236">
                  <c:v>110.30459149712588</c:v>
                </c:pt>
                <c:pt idx="237">
                  <c:v>110.31603717060052</c:v>
                </c:pt>
                <c:pt idx="238">
                  <c:v>110.32742375544927</c:v>
                </c:pt>
                <c:pt idx="239">
                  <c:v>110.33875124651132</c:v>
                </c:pt>
                <c:pt idx="240">
                  <c:v>110.35001963864927</c:v>
                </c:pt>
                <c:pt idx="241">
                  <c:v>110.3612289267531</c:v>
                </c:pt>
                <c:pt idx="242">
                  <c:v>110.37237910573245</c:v>
                </c:pt>
                <c:pt idx="243">
                  <c:v>110.383470170527</c:v>
                </c:pt>
                <c:pt idx="244">
                  <c:v>110.39450211610745</c:v>
                </c:pt>
                <c:pt idx="245">
                  <c:v>110.40547493745586</c:v>
                </c:pt>
                <c:pt idx="246">
                  <c:v>110.41638862959486</c:v>
                </c:pt>
                <c:pt idx="247">
                  <c:v>110.42724318756424</c:v>
                </c:pt>
                <c:pt idx="248">
                  <c:v>110.43803860642657</c:v>
                </c:pt>
                <c:pt idx="249">
                  <c:v>110.4487748812812</c:v>
                </c:pt>
                <c:pt idx="250">
                  <c:v>110.45945200724599</c:v>
                </c:pt>
                <c:pt idx="251">
                  <c:v>110.47006997946077</c:v>
                </c:pt>
                <c:pt idx="252">
                  <c:v>110.48062879309707</c:v>
                </c:pt>
                <c:pt idx="253">
                  <c:v>110.49112844334928</c:v>
                </c:pt>
                <c:pt idx="254">
                  <c:v>110.50156892543599</c:v>
                </c:pt>
                <c:pt idx="255">
                  <c:v>110.5119502346087</c:v>
                </c:pt>
                <c:pt idx="256">
                  <c:v>110.52227236613369</c:v>
                </c:pt>
                <c:pt idx="257">
                  <c:v>110.5325353153066</c:v>
                </c:pt>
                <c:pt idx="258">
                  <c:v>110.54273907745278</c:v>
                </c:pt>
                <c:pt idx="259">
                  <c:v>110.55288364791916</c:v>
                </c:pt>
                <c:pt idx="260">
                  <c:v>110.56296902207981</c:v>
                </c:pt>
                <c:pt idx="261">
                  <c:v>110.57299519533713</c:v>
                </c:pt>
                <c:pt idx="262">
                  <c:v>110.58296216310853</c:v>
                </c:pt>
                <c:pt idx="263">
                  <c:v>110.59286992084668</c:v>
                </c:pt>
                <c:pt idx="264">
                  <c:v>110.60271846402206</c:v>
                </c:pt>
                <c:pt idx="265">
                  <c:v>110.6125077881466</c:v>
                </c:pt>
                <c:pt idx="266">
                  <c:v>110.62223788873686</c:v>
                </c:pt>
                <c:pt idx="267">
                  <c:v>110.6319087613446</c:v>
                </c:pt>
                <c:pt idx="268">
                  <c:v>110.64152040155317</c:v>
                </c:pt>
                <c:pt idx="269">
                  <c:v>110.65107280495923</c:v>
                </c:pt>
                <c:pt idx="270">
                  <c:v>110.66056596719271</c:v>
                </c:pt>
                <c:pt idx="271">
                  <c:v>110.66999988390577</c:v>
                </c:pt>
                <c:pt idx="272">
                  <c:v>110.67937455077754</c:v>
                </c:pt>
                <c:pt idx="273">
                  <c:v>110.6886899635103</c:v>
                </c:pt>
                <c:pt idx="274">
                  <c:v>110.69794611783439</c:v>
                </c:pt>
                <c:pt idx="275">
                  <c:v>110.70714300950608</c:v>
                </c:pt>
                <c:pt idx="276">
                  <c:v>110.71628063430816</c:v>
                </c:pt>
                <c:pt idx="277">
                  <c:v>110.72535898803866</c:v>
                </c:pt>
                <c:pt idx="278">
                  <c:v>110.73437806653079</c:v>
                </c:pt>
                <c:pt idx="279">
                  <c:v>110.74333786564692</c:v>
                </c:pt>
                <c:pt idx="280">
                  <c:v>110.75223838126119</c:v>
                </c:pt>
                <c:pt idx="281">
                  <c:v>110.76107960928375</c:v>
                </c:pt>
                <c:pt idx="282">
                  <c:v>110.76986154564236</c:v>
                </c:pt>
                <c:pt idx="283">
                  <c:v>110.77858418630304</c:v>
                </c:pt>
                <c:pt idx="284">
                  <c:v>110.78724752724479</c:v>
                </c:pt>
                <c:pt idx="285">
                  <c:v>110.79585156447104</c:v>
                </c:pt>
                <c:pt idx="286">
                  <c:v>110.80439629402269</c:v>
                </c:pt>
                <c:pt idx="287">
                  <c:v>110.81288171195517</c:v>
                </c:pt>
                <c:pt idx="288">
                  <c:v>110.82130781435293</c:v>
                </c:pt>
                <c:pt idx="289">
                  <c:v>110.82967459732477</c:v>
                </c:pt>
                <c:pt idx="290">
                  <c:v>110.83798205700887</c:v>
                </c:pt>
                <c:pt idx="291">
                  <c:v>110.84623018956</c:v>
                </c:pt>
                <c:pt idx="292">
                  <c:v>110.85441899116817</c:v>
                </c:pt>
                <c:pt idx="293">
                  <c:v>110.86254845804149</c:v>
                </c:pt>
                <c:pt idx="294">
                  <c:v>110.87061858641725</c:v>
                </c:pt>
                <c:pt idx="295">
                  <c:v>110.87862937255667</c:v>
                </c:pt>
                <c:pt idx="296">
                  <c:v>110.88658081274599</c:v>
                </c:pt>
                <c:pt idx="297">
                  <c:v>110.89447290329527</c:v>
                </c:pt>
                <c:pt idx="298">
                  <c:v>110.9023056405433</c:v>
                </c:pt>
                <c:pt idx="299">
                  <c:v>110.91007902085141</c:v>
                </c:pt>
                <c:pt idx="300">
                  <c:v>110.91779304061122</c:v>
                </c:pt>
                <c:pt idx="301">
                  <c:v>110.9254476962289</c:v>
                </c:pt>
                <c:pt idx="302">
                  <c:v>110.93304298414341</c:v>
                </c:pt>
                <c:pt idx="303">
                  <c:v>110.94057890082564</c:v>
                </c:pt>
                <c:pt idx="304">
                  <c:v>110.94805544275555</c:v>
                </c:pt>
                <c:pt idx="305">
                  <c:v>110.95547260644967</c:v>
                </c:pt>
                <c:pt idx="306">
                  <c:v>110.96283038844824</c:v>
                </c:pt>
                <c:pt idx="307">
                  <c:v>110.97012878531599</c:v>
                </c:pt>
                <c:pt idx="308">
                  <c:v>110.97736779363773</c:v>
                </c:pt>
                <c:pt idx="309">
                  <c:v>110.9845474100313</c:v>
                </c:pt>
                <c:pt idx="310">
                  <c:v>110.99166763113693</c:v>
                </c:pt>
                <c:pt idx="311">
                  <c:v>110.99872845361878</c:v>
                </c:pt>
                <c:pt idx="312">
                  <c:v>111.00572987416633</c:v>
                </c:pt>
                <c:pt idx="313">
                  <c:v>111.01267188949298</c:v>
                </c:pt>
                <c:pt idx="314">
                  <c:v>111.0195544963444</c:v>
                </c:pt>
                <c:pt idx="315">
                  <c:v>111.02637769148305</c:v>
                </c:pt>
                <c:pt idx="316">
                  <c:v>111.03314147170097</c:v>
                </c:pt>
                <c:pt idx="317">
                  <c:v>111.03984583381236</c:v>
                </c:pt>
                <c:pt idx="318">
                  <c:v>111.04649077465977</c:v>
                </c:pt>
                <c:pt idx="319">
                  <c:v>111.05307629110764</c:v>
                </c:pt>
                <c:pt idx="320">
                  <c:v>111.05960238005289</c:v>
                </c:pt>
                <c:pt idx="321">
                  <c:v>111.06606903840658</c:v>
                </c:pt>
                <c:pt idx="322">
                  <c:v>111.0724762631106</c:v>
                </c:pt>
                <c:pt idx="323">
                  <c:v>111.07882405113543</c:v>
                </c:pt>
                <c:pt idx="324">
                  <c:v>111.08511239947129</c:v>
                </c:pt>
                <c:pt idx="325">
                  <c:v>111.09134130513347</c:v>
                </c:pt>
                <c:pt idx="326">
                  <c:v>111.09751076516541</c:v>
                </c:pt>
                <c:pt idx="327">
                  <c:v>111.10362077663927</c:v>
                </c:pt>
                <c:pt idx="328">
                  <c:v>111.1096713366409</c:v>
                </c:pt>
                <c:pt idx="329">
                  <c:v>111.11566244229186</c:v>
                </c:pt>
                <c:pt idx="330">
                  <c:v>111.12159409073257</c:v>
                </c:pt>
                <c:pt idx="331">
                  <c:v>111.12746627913555</c:v>
                </c:pt>
                <c:pt idx="332">
                  <c:v>111.13327900468818</c:v>
                </c:pt>
                <c:pt idx="333">
                  <c:v>111.13903226461028</c:v>
                </c:pt>
                <c:pt idx="334">
                  <c:v>111.14472605614799</c:v>
                </c:pt>
                <c:pt idx="335">
                  <c:v>111.15036037656684</c:v>
                </c:pt>
                <c:pt idx="336">
                  <c:v>111.15593522316091</c:v>
                </c:pt>
                <c:pt idx="337">
                  <c:v>111.16145059324874</c:v>
                </c:pt>
                <c:pt idx="338">
                  <c:v>111.16690648417324</c:v>
                </c:pt>
                <c:pt idx="339">
                  <c:v>111.17230289330553</c:v>
                </c:pt>
                <c:pt idx="340">
                  <c:v>111.17763981803731</c:v>
                </c:pt>
                <c:pt idx="341">
                  <c:v>111.18291725578675</c:v>
                </c:pt>
                <c:pt idx="342">
                  <c:v>111.18813520400069</c:v>
                </c:pt>
                <c:pt idx="343">
                  <c:v>111.19329366014688</c:v>
                </c:pt>
                <c:pt idx="344">
                  <c:v>111.19839262171823</c:v>
                </c:pt>
                <c:pt idx="345">
                  <c:v>111.2034320862339</c:v>
                </c:pt>
                <c:pt idx="346">
                  <c:v>111.20841205123838</c:v>
                </c:pt>
                <c:pt idx="347">
                  <c:v>111.21333251430117</c:v>
                </c:pt>
                <c:pt idx="348">
                  <c:v>111.21819347301599</c:v>
                </c:pt>
                <c:pt idx="349">
                  <c:v>111.22299492500446</c:v>
                </c:pt>
                <c:pt idx="350">
                  <c:v>111.22773686790778</c:v>
                </c:pt>
                <c:pt idx="351">
                  <c:v>111.2324192993994</c:v>
                </c:pt>
                <c:pt idx="352">
                  <c:v>111.23704221717065</c:v>
                </c:pt>
                <c:pt idx="353">
                  <c:v>111.24160561893891</c:v>
                </c:pt>
                <c:pt idx="354">
                  <c:v>111.24610950245177</c:v>
                </c:pt>
                <c:pt idx="355">
                  <c:v>111.25055386547923</c:v>
                </c:pt>
                <c:pt idx="356">
                  <c:v>111.25493870581499</c:v>
                </c:pt>
                <c:pt idx="357">
                  <c:v>111.25926402128013</c:v>
                </c:pt>
                <c:pt idx="358">
                  <c:v>111.26352980971744</c:v>
                </c:pt>
                <c:pt idx="359">
                  <c:v>111.26773606899937</c:v>
                </c:pt>
                <c:pt idx="360">
                  <c:v>111.27188279701429</c:v>
                </c:pt>
                <c:pt idx="361">
                  <c:v>111.27596999168831</c:v>
                </c:pt>
                <c:pt idx="362">
                  <c:v>111.27999765096254</c:v>
                </c:pt>
                <c:pt idx="363">
                  <c:v>111.28396577280837</c:v>
                </c:pt>
                <c:pt idx="364">
                  <c:v>111.28787435522159</c:v>
                </c:pt>
                <c:pt idx="365">
                  <c:v>111.29172339621725</c:v>
                </c:pt>
                <c:pt idx="366">
                  <c:v>111.29551289384455</c:v>
                </c:pt>
                <c:pt idx="367">
                  <c:v>111.29924284617294</c:v>
                </c:pt>
                <c:pt idx="368">
                  <c:v>111.30291325129483</c:v>
                </c:pt>
                <c:pt idx="369">
                  <c:v>111.30652410733174</c:v>
                </c:pt>
                <c:pt idx="370">
                  <c:v>111.3100754124294</c:v>
                </c:pt>
                <c:pt idx="371">
                  <c:v>111.31356716475739</c:v>
                </c:pt>
                <c:pt idx="372">
                  <c:v>111.3169993625053</c:v>
                </c:pt>
                <c:pt idx="373">
                  <c:v>111.32037200389881</c:v>
                </c:pt>
                <c:pt idx="374">
                  <c:v>111.3236850871798</c:v>
                </c:pt>
                <c:pt idx="375">
                  <c:v>111.32693861061708</c:v>
                </c:pt>
                <c:pt idx="376">
                  <c:v>111.3301325725073</c:v>
                </c:pt>
                <c:pt idx="377">
                  <c:v>111.33326697117123</c:v>
                </c:pt>
                <c:pt idx="378">
                  <c:v>111.33634180495091</c:v>
                </c:pt>
                <c:pt idx="379">
                  <c:v>111.33935707221626</c:v>
                </c:pt>
                <c:pt idx="380">
                  <c:v>111.34231277136291</c:v>
                </c:pt>
                <c:pt idx="381">
                  <c:v>111.34520890080772</c:v>
                </c:pt>
                <c:pt idx="382">
                  <c:v>111.34804545899945</c:v>
                </c:pt>
                <c:pt idx="383">
                  <c:v>111.35082244440281</c:v>
                </c:pt>
                <c:pt idx="384">
                  <c:v>111.3535398555166</c:v>
                </c:pt>
                <c:pt idx="385">
                  <c:v>111.35619769085559</c:v>
                </c:pt>
                <c:pt idx="386">
                  <c:v>111.35879594897047</c:v>
                </c:pt>
                <c:pt idx="387">
                  <c:v>111.36133462842312</c:v>
                </c:pt>
                <c:pt idx="388">
                  <c:v>111.36381372781143</c:v>
                </c:pt>
                <c:pt idx="389">
                  <c:v>111.36623324575584</c:v>
                </c:pt>
                <c:pt idx="390">
                  <c:v>111.36859318089901</c:v>
                </c:pt>
                <c:pt idx="391">
                  <c:v>111.37089353190969</c:v>
                </c:pt>
                <c:pt idx="392">
                  <c:v>111.37313429748525</c:v>
                </c:pt>
                <c:pt idx="393">
                  <c:v>111.37531547633748</c:v>
                </c:pt>
                <c:pt idx="394">
                  <c:v>111.37743706721623</c:v>
                </c:pt>
                <c:pt idx="395">
                  <c:v>111.37949906888748</c:v>
                </c:pt>
                <c:pt idx="396">
                  <c:v>111.38150148015036</c:v>
                </c:pt>
                <c:pt idx="397">
                  <c:v>111.38344429981653</c:v>
                </c:pt>
                <c:pt idx="398">
                  <c:v>111.38532752673238</c:v>
                </c:pt>
                <c:pt idx="399">
                  <c:v>111.38715115976994</c:v>
                </c:pt>
                <c:pt idx="400">
                  <c:v>111.38891519781639</c:v>
                </c:pt>
                <c:pt idx="401">
                  <c:v>111.39061963979576</c:v>
                </c:pt>
                <c:pt idx="402">
                  <c:v>111.39226448464832</c:v>
                </c:pt>
                <c:pt idx="403">
                  <c:v>111.39384973134285</c:v>
                </c:pt>
                <c:pt idx="404">
                  <c:v>111.39537537887617</c:v>
                </c:pt>
                <c:pt idx="405">
                  <c:v>111.39684142626265</c:v>
                </c:pt>
                <c:pt idx="406">
                  <c:v>111.39824787254712</c:v>
                </c:pt>
                <c:pt idx="407">
                  <c:v>111.39959471679838</c:v>
                </c:pt>
                <c:pt idx="408">
                  <c:v>111.40088195810733</c:v>
                </c:pt>
                <c:pt idx="409">
                  <c:v>111.40210959559562</c:v>
                </c:pt>
                <c:pt idx="410">
                  <c:v>111.40327762840204</c:v>
                </c:pt>
                <c:pt idx="411">
                  <c:v>111.40438605569575</c:v>
                </c:pt>
                <c:pt idx="412">
                  <c:v>111.40543487666808</c:v>
                </c:pt>
                <c:pt idx="413">
                  <c:v>111.40642409054233</c:v>
                </c:pt>
                <c:pt idx="414">
                  <c:v>111.4073536965558</c:v>
                </c:pt>
                <c:pt idx="415">
                  <c:v>111.40822369398025</c:v>
                </c:pt>
                <c:pt idx="416">
                  <c:v>111.40903408210262</c:v>
                </c:pt>
                <c:pt idx="417">
                  <c:v>111.40978486024507</c:v>
                </c:pt>
                <c:pt idx="418">
                  <c:v>111.4104760277492</c:v>
                </c:pt>
                <c:pt idx="419">
                  <c:v>111.41110758398025</c:v>
                </c:pt>
                <c:pt idx="420">
                  <c:v>111.41167952833149</c:v>
                </c:pt>
                <c:pt idx="421">
                  <c:v>111.41219186022148</c:v>
                </c:pt>
                <c:pt idx="422">
                  <c:v>111.41264457909124</c:v>
                </c:pt>
                <c:pt idx="423">
                  <c:v>111.4130376844071</c:v>
                </c:pt>
                <c:pt idx="424">
                  <c:v>111.41337117566069</c:v>
                </c:pt>
                <c:pt idx="425">
                  <c:v>111.41364505237162</c:v>
                </c:pt>
                <c:pt idx="426">
                  <c:v>111.41385931407693</c:v>
                </c:pt>
                <c:pt idx="427">
                  <c:v>111.41401396035057</c:v>
                </c:pt>
                <c:pt idx="428">
                  <c:v>111.41410899077738</c:v>
                </c:pt>
                <c:pt idx="429">
                  <c:v>111.41414440497492</c:v>
                </c:pt>
                <c:pt idx="430">
                  <c:v>111.41412020258868</c:v>
                </c:pt>
                <c:pt idx="431">
                  <c:v>111.41403638328013</c:v>
                </c:pt>
                <c:pt idx="432">
                  <c:v>111.41389294674607</c:v>
                </c:pt>
                <c:pt idx="433">
                  <c:v>111.41368989269651</c:v>
                </c:pt>
                <c:pt idx="434">
                  <c:v>111.41342722087558</c:v>
                </c:pt>
                <c:pt idx="435">
                  <c:v>111.41310493104994</c:v>
                </c:pt>
                <c:pt idx="436">
                  <c:v>111.41272302300993</c:v>
                </c:pt>
                <c:pt idx="437">
                  <c:v>111.41228149657216</c:v>
                </c:pt>
                <c:pt idx="438">
                  <c:v>111.41178035157672</c:v>
                </c:pt>
                <c:pt idx="439">
                  <c:v>111.41121958789032</c:v>
                </c:pt>
                <c:pt idx="440">
                  <c:v>111.41059920540032</c:v>
                </c:pt>
                <c:pt idx="441">
                  <c:v>111.4099192040262</c:v>
                </c:pt>
                <c:pt idx="442">
                  <c:v>111.40917958370797</c:v>
                </c:pt>
                <c:pt idx="443">
                  <c:v>111.40838034441079</c:v>
                </c:pt>
                <c:pt idx="444">
                  <c:v>111.40752148612385</c:v>
                </c:pt>
                <c:pt idx="445">
                  <c:v>111.40660300886263</c:v>
                </c:pt>
                <c:pt idx="446">
                  <c:v>111.40562491266994</c:v>
                </c:pt>
                <c:pt idx="447">
                  <c:v>111.40458719760633</c:v>
                </c:pt>
                <c:pt idx="448">
                  <c:v>111.40348986376529</c:v>
                </c:pt>
                <c:pt idx="449">
                  <c:v>111.40233291126322</c:v>
                </c:pt>
                <c:pt idx="450">
                  <c:v>111.40111634023815</c:v>
                </c:pt>
                <c:pt idx="451">
                  <c:v>111.39984015085267</c:v>
                </c:pt>
                <c:pt idx="452">
                  <c:v>111.39850434329969</c:v>
                </c:pt>
                <c:pt idx="453">
                  <c:v>111.39710891779201</c:v>
                </c:pt>
                <c:pt idx="454">
                  <c:v>111.39565387457371</c:v>
                </c:pt>
                <c:pt idx="455">
                  <c:v>111.39413921390343</c:v>
                </c:pt>
                <c:pt idx="456">
                  <c:v>111.39256493607614</c:v>
                </c:pt>
                <c:pt idx="457">
                  <c:v>111.39093104140161</c:v>
                </c:pt>
                <c:pt idx="458">
                  <c:v>111.38923753022134</c:v>
                </c:pt>
                <c:pt idx="459">
                  <c:v>111.38748440290021</c:v>
                </c:pt>
                <c:pt idx="460">
                  <c:v>111.38567165982789</c:v>
                </c:pt>
                <c:pt idx="461">
                  <c:v>111.38379930141632</c:v>
                </c:pt>
                <c:pt idx="462">
                  <c:v>111.38186732810675</c:v>
                </c:pt>
                <c:pt idx="463">
                  <c:v>111.37987574036536</c:v>
                </c:pt>
                <c:pt idx="464">
                  <c:v>111.37782453867678</c:v>
                </c:pt>
                <c:pt idx="465">
                  <c:v>111.37571372355622</c:v>
                </c:pt>
                <c:pt idx="466">
                  <c:v>111.37354329554472</c:v>
                </c:pt>
                <c:pt idx="467">
                  <c:v>111.37131325520539</c:v>
                </c:pt>
                <c:pt idx="468">
                  <c:v>111.36902360312597</c:v>
                </c:pt>
                <c:pt idx="469">
                  <c:v>111.36667433992173</c:v>
                </c:pt>
                <c:pt idx="470">
                  <c:v>111.36426546623133</c:v>
                </c:pt>
                <c:pt idx="471">
                  <c:v>111.36179698271583</c:v>
                </c:pt>
                <c:pt idx="472">
                  <c:v>111.35926889006734</c:v>
                </c:pt>
                <c:pt idx="473">
                  <c:v>111.35668118899966</c:v>
                </c:pt>
                <c:pt idx="474">
                  <c:v>111.35403388024947</c:v>
                </c:pt>
                <c:pt idx="475">
                  <c:v>111.3513269645799</c:v>
                </c:pt>
                <c:pt idx="476">
                  <c:v>111.34856044278114</c:v>
                </c:pt>
                <c:pt idx="477">
                  <c:v>111.34573431566604</c:v>
                </c:pt>
                <c:pt idx="478">
                  <c:v>111.34284858407295</c:v>
                </c:pt>
                <c:pt idx="479">
                  <c:v>111.33990324886625</c:v>
                </c:pt>
                <c:pt idx="480">
                  <c:v>111.33689831093389</c:v>
                </c:pt>
                <c:pt idx="481">
                  <c:v>111.33383377118723</c:v>
                </c:pt>
                <c:pt idx="482">
                  <c:v>111.33070963056811</c:v>
                </c:pt>
                <c:pt idx="483">
                  <c:v>111.32752589003722</c:v>
                </c:pt>
                <c:pt idx="484">
                  <c:v>111.32428255058528</c:v>
                </c:pt>
                <c:pt idx="485">
                  <c:v>111.32097961322339</c:v>
                </c:pt>
                <c:pt idx="486">
                  <c:v>111.31761707899071</c:v>
                </c:pt>
                <c:pt idx="487">
                  <c:v>111.31419494895108</c:v>
                </c:pt>
                <c:pt idx="488">
                  <c:v>111.31071322419064</c:v>
                </c:pt>
                <c:pt idx="489">
                  <c:v>111.30717190582459</c:v>
                </c:pt>
                <c:pt idx="490">
                  <c:v>111.30357099499147</c:v>
                </c:pt>
                <c:pt idx="491">
                  <c:v>111.29991049285402</c:v>
                </c:pt>
                <c:pt idx="492">
                  <c:v>111.2961904005996</c:v>
                </c:pt>
                <c:pt idx="493">
                  <c:v>111.29241071944163</c:v>
                </c:pt>
                <c:pt idx="494">
                  <c:v>111.28857145062038</c:v>
                </c:pt>
                <c:pt idx="495">
                  <c:v>111.28467259539558</c:v>
                </c:pt>
                <c:pt idx="496">
                  <c:v>111.28071415505792</c:v>
                </c:pt>
                <c:pt idx="497">
                  <c:v>111.27669613092064</c:v>
                </c:pt>
                <c:pt idx="498">
                  <c:v>111.27261852432035</c:v>
                </c:pt>
                <c:pt idx="499">
                  <c:v>111.26848133662395</c:v>
                </c:pt>
                <c:pt idx="500">
                  <c:v>111.26428456921511</c:v>
                </c:pt>
                <c:pt idx="501">
                  <c:v>111.26002822350735</c:v>
                </c:pt>
                <c:pt idx="502">
                  <c:v>111.25571230094414</c:v>
                </c:pt>
                <c:pt idx="503">
                  <c:v>111.25133680298485</c:v>
                </c:pt>
                <c:pt idx="504">
                  <c:v>111.24690173111647</c:v>
                </c:pt>
                <c:pt idx="505">
                  <c:v>111.24240708685655</c:v>
                </c:pt>
                <c:pt idx="506">
                  <c:v>111.23785287174016</c:v>
                </c:pt>
                <c:pt idx="507">
                  <c:v>111.23323908733296</c:v>
                </c:pt>
                <c:pt idx="508">
                  <c:v>111.22856573522083</c:v>
                </c:pt>
                <c:pt idx="509">
                  <c:v>111.22383281702305</c:v>
                </c:pt>
                <c:pt idx="510">
                  <c:v>111.21904033437114</c:v>
                </c:pt>
                <c:pt idx="511">
                  <c:v>111.21418828893056</c:v>
                </c:pt>
                <c:pt idx="512">
                  <c:v>111.20927668239435</c:v>
                </c:pt>
                <c:pt idx="513">
                  <c:v>111.20430551647233</c:v>
                </c:pt>
                <c:pt idx="514">
                  <c:v>111.19927479290369</c:v>
                </c:pt>
                <c:pt idx="515">
                  <c:v>111.19418451345213</c:v>
                </c:pt>
                <c:pt idx="516">
                  <c:v>111.18903467990984</c:v>
                </c:pt>
                <c:pt idx="517">
                  <c:v>111.18382529408781</c:v>
                </c:pt>
                <c:pt idx="518">
                  <c:v>111.17855635782213</c:v>
                </c:pt>
                <c:pt idx="519">
                  <c:v>111.17322787298488</c:v>
                </c:pt>
                <c:pt idx="520">
                  <c:v>111.16783984145771</c:v>
                </c:pt>
                <c:pt idx="521">
                  <c:v>111.16239226515951</c:v>
                </c:pt>
                <c:pt idx="522">
                  <c:v>111.156885146026</c:v>
                </c:pt>
                <c:pt idx="523">
                  <c:v>111.15131848602446</c:v>
                </c:pt>
                <c:pt idx="524">
                  <c:v>111.14569228714478</c:v>
                </c:pt>
                <c:pt idx="525">
                  <c:v>111.14000655139958</c:v>
                </c:pt>
                <c:pt idx="526">
                  <c:v>111.13426128083046</c:v>
                </c:pt>
                <c:pt idx="527">
                  <c:v>111.12845647750207</c:v>
                </c:pt>
                <c:pt idx="528">
                  <c:v>111.12259214350246</c:v>
                </c:pt>
                <c:pt idx="529">
                  <c:v>111.11666828094695</c:v>
                </c:pt>
                <c:pt idx="530">
                  <c:v>111.11068489198034</c:v>
                </c:pt>
                <c:pt idx="531">
                  <c:v>111.10464197876053</c:v>
                </c:pt>
                <c:pt idx="532">
                  <c:v>111.09853954348549</c:v>
                </c:pt>
                <c:pt idx="533">
                  <c:v>111.09237758836399</c:v>
                </c:pt>
                <c:pt idx="534">
                  <c:v>111.08615611564264</c:v>
                </c:pt>
                <c:pt idx="535">
                  <c:v>111.07987512758348</c:v>
                </c:pt>
                <c:pt idx="536">
                  <c:v>111.0735346264786</c:v>
                </c:pt>
                <c:pt idx="537">
                  <c:v>111.06713461464383</c:v>
                </c:pt>
                <c:pt idx="538">
                  <c:v>111.06067509441871</c:v>
                </c:pt>
                <c:pt idx="539">
                  <c:v>111.05415606817284</c:v>
                </c:pt>
                <c:pt idx="540">
                  <c:v>111.04757753829719</c:v>
                </c:pt>
                <c:pt idx="541">
                  <c:v>111.0409395072066</c:v>
                </c:pt>
                <c:pt idx="542">
                  <c:v>111.03424197734532</c:v>
                </c:pt>
                <c:pt idx="543">
                  <c:v>111.02748495117775</c:v>
                </c:pt>
                <c:pt idx="544">
                  <c:v>111.02066843119906</c:v>
                </c:pt>
                <c:pt idx="545">
                  <c:v>111.01379241992443</c:v>
                </c:pt>
                <c:pt idx="546">
                  <c:v>111.00685691989786</c:v>
                </c:pt>
                <c:pt idx="547">
                  <c:v>110.99986193368547</c:v>
                </c:pt>
                <c:pt idx="548">
                  <c:v>110.99280746388045</c:v>
                </c:pt>
                <c:pt idx="549">
                  <c:v>110.98569351310081</c:v>
                </c:pt>
                <c:pt idx="550">
                  <c:v>110.97852008399262</c:v>
                </c:pt>
                <c:pt idx="551">
                  <c:v>110.97128717922146</c:v>
                </c:pt>
                <c:pt idx="552">
                  <c:v>110.96399480148078</c:v>
                </c:pt>
                <c:pt idx="553">
                  <c:v>110.95664295349299</c:v>
                </c:pt>
                <c:pt idx="554">
                  <c:v>110.94923163799859</c:v>
                </c:pt>
                <c:pt idx="555">
                  <c:v>110.9417608577689</c:v>
                </c:pt>
                <c:pt idx="556">
                  <c:v>110.93423061559596</c:v>
                </c:pt>
                <c:pt idx="557">
                  <c:v>110.9266409143041</c:v>
                </c:pt>
                <c:pt idx="558">
                  <c:v>110.9189917567344</c:v>
                </c:pt>
                <c:pt idx="559">
                  <c:v>110.91128314575856</c:v>
                </c:pt>
                <c:pt idx="560">
                  <c:v>110.90351508427355</c:v>
                </c:pt>
                <c:pt idx="561">
                  <c:v>110.89568757519814</c:v>
                </c:pt>
                <c:pt idx="562">
                  <c:v>110.88780062147961</c:v>
                </c:pt>
                <c:pt idx="563">
                  <c:v>110.87985422608756</c:v>
                </c:pt>
                <c:pt idx="564">
                  <c:v>110.87184839202335</c:v>
                </c:pt>
                <c:pt idx="565">
                  <c:v>110.86378312230356</c:v>
                </c:pt>
                <c:pt idx="566">
                  <c:v>110.85565841997546</c:v>
                </c:pt>
                <c:pt idx="567">
                  <c:v>110.84747428811681</c:v>
                </c:pt>
                <c:pt idx="568">
                  <c:v>110.83923072982066</c:v>
                </c:pt>
                <c:pt idx="569">
                  <c:v>110.83092774820932</c:v>
                </c:pt>
                <c:pt idx="570">
                  <c:v>110.82256534643511</c:v>
                </c:pt>
                <c:pt idx="571">
                  <c:v>110.81414352766815</c:v>
                </c:pt>
                <c:pt idx="572">
                  <c:v>110.80566229510886</c:v>
                </c:pt>
                <c:pt idx="573">
                  <c:v>110.7971216519836</c:v>
                </c:pt>
                <c:pt idx="574">
                  <c:v>110.78852160153704</c:v>
                </c:pt>
                <c:pt idx="575">
                  <c:v>110.77986214704831</c:v>
                </c:pt>
                <c:pt idx="576">
                  <c:v>110.77114329181664</c:v>
                </c:pt>
                <c:pt idx="577">
                  <c:v>110.76236503916496</c:v>
                </c:pt>
                <c:pt idx="578">
                  <c:v>110.75352739244707</c:v>
                </c:pt>
                <c:pt idx="579">
                  <c:v>110.74463035503835</c:v>
                </c:pt>
                <c:pt idx="580">
                  <c:v>110.73567393034118</c:v>
                </c:pt>
                <c:pt idx="581">
                  <c:v>110.72665812178096</c:v>
                </c:pt>
                <c:pt idx="582">
                  <c:v>110.71758293281101</c:v>
                </c:pt>
                <c:pt idx="583">
                  <c:v>110.70844836691036</c:v>
                </c:pt>
                <c:pt idx="584">
                  <c:v>110.69925442757885</c:v>
                </c:pt>
                <c:pt idx="585">
                  <c:v>110.69000111834703</c:v>
                </c:pt>
                <c:pt idx="586">
                  <c:v>110.68068844276885</c:v>
                </c:pt>
                <c:pt idx="587">
                  <c:v>110.67131640442391</c:v>
                </c:pt>
                <c:pt idx="588">
                  <c:v>110.66188500691607</c:v>
                </c:pt>
                <c:pt idx="589">
                  <c:v>110.65239425387429</c:v>
                </c:pt>
                <c:pt idx="590">
                  <c:v>110.64284414895481</c:v>
                </c:pt>
                <c:pt idx="591">
                  <c:v>110.63323469584138</c:v>
                </c:pt>
                <c:pt idx="592">
                  <c:v>110.62356589823663</c:v>
                </c:pt>
                <c:pt idx="593">
                  <c:v>110.61383775987348</c:v>
                </c:pt>
                <c:pt idx="594">
                  <c:v>110.60405028450847</c:v>
                </c:pt>
                <c:pt idx="595">
                  <c:v>110.59420347592541</c:v>
                </c:pt>
                <c:pt idx="596">
                  <c:v>110.58429733793287</c:v>
                </c:pt>
                <c:pt idx="597">
                  <c:v>110.57433187436409</c:v>
                </c:pt>
                <c:pt idx="598">
                  <c:v>110.56430708907561</c:v>
                </c:pt>
                <c:pt idx="599">
                  <c:v>110.55422298595467</c:v>
                </c:pt>
                <c:pt idx="600">
                  <c:v>110.54407956891122</c:v>
                </c:pt>
                <c:pt idx="601">
                  <c:v>110.53387684187908</c:v>
                </c:pt>
                <c:pt idx="602">
                  <c:v>110.52361480881891</c:v>
                </c:pt>
                <c:pt idx="603">
                  <c:v>110.51329347372079</c:v>
                </c:pt>
                <c:pt idx="604">
                  <c:v>110.50291284059287</c:v>
                </c:pt>
                <c:pt idx="605">
                  <c:v>110.4924729134744</c:v>
                </c:pt>
                <c:pt idx="606">
                  <c:v>110.48197369642787</c:v>
                </c:pt>
                <c:pt idx="607">
                  <c:v>110.47141519354189</c:v>
                </c:pt>
                <c:pt idx="608">
                  <c:v>110.46079740892988</c:v>
                </c:pt>
                <c:pt idx="609">
                  <c:v>110.45012034673353</c:v>
                </c:pt>
                <c:pt idx="610">
                  <c:v>110.43938401111578</c:v>
                </c:pt>
                <c:pt idx="611">
                  <c:v>110.42858840626839</c:v>
                </c:pt>
                <c:pt idx="612">
                  <c:v>110.41773353640501</c:v>
                </c:pt>
                <c:pt idx="613">
                  <c:v>110.40681940577065</c:v>
                </c:pt>
                <c:pt idx="614">
                  <c:v>110.39584601863102</c:v>
                </c:pt>
                <c:pt idx="615">
                  <c:v>110.38481337928138</c:v>
                </c:pt>
                <c:pt idx="616">
                  <c:v>110.37372149203851</c:v>
                </c:pt>
                <c:pt idx="617">
                  <c:v>110.36257036124648</c:v>
                </c:pt>
                <c:pt idx="618">
                  <c:v>110.35135999127419</c:v>
                </c:pt>
                <c:pt idx="619">
                  <c:v>110.34009038651838</c:v>
                </c:pt>
                <c:pt idx="620">
                  <c:v>110.32876155140028</c:v>
                </c:pt>
                <c:pt idx="621">
                  <c:v>110.31737349036608</c:v>
                </c:pt>
                <c:pt idx="622">
                  <c:v>110.30592620788744</c:v>
                </c:pt>
                <c:pt idx="623">
                  <c:v>110.29441970846365</c:v>
                </c:pt>
                <c:pt idx="624">
                  <c:v>110.28285399661763</c:v>
                </c:pt>
                <c:pt idx="625">
                  <c:v>110.27122907689741</c:v>
                </c:pt>
                <c:pt idx="626">
                  <c:v>110.25954495387798</c:v>
                </c:pt>
                <c:pt idx="627">
                  <c:v>110.24780163216252</c:v>
                </c:pt>
                <c:pt idx="628">
                  <c:v>110.23599911637474</c:v>
                </c:pt>
                <c:pt idx="629">
                  <c:v>110.22413741116611</c:v>
                </c:pt>
                <c:pt idx="630">
                  <c:v>110.21221652121515</c:v>
                </c:pt>
                <c:pt idx="631">
                  <c:v>110.20023645122656</c:v>
                </c:pt>
                <c:pt idx="632">
                  <c:v>110.18819720592661</c:v>
                </c:pt>
                <c:pt idx="633">
                  <c:v>110.1760987900718</c:v>
                </c:pt>
                <c:pt idx="634">
                  <c:v>110.16394120844349</c:v>
                </c:pt>
                <c:pt idx="635">
                  <c:v>110.15172446584623</c:v>
                </c:pt>
                <c:pt idx="636">
                  <c:v>110.13944856711173</c:v>
                </c:pt>
                <c:pt idx="637">
                  <c:v>110.12711351709802</c:v>
                </c:pt>
                <c:pt idx="638">
                  <c:v>110.11471932068903</c:v>
                </c:pt>
                <c:pt idx="639">
                  <c:v>110.10226598279552</c:v>
                </c:pt>
                <c:pt idx="640">
                  <c:v>110.08975350834984</c:v>
                </c:pt>
                <c:pt idx="641">
                  <c:v>110.07718190231269</c:v>
                </c:pt>
                <c:pt idx="642">
                  <c:v>110.06455116967123</c:v>
                </c:pt>
                <c:pt idx="643">
                  <c:v>110.05186131543788</c:v>
                </c:pt>
                <c:pt idx="644">
                  <c:v>110.03911234465333</c:v>
                </c:pt>
                <c:pt idx="645">
                  <c:v>110.02630426237864</c:v>
                </c:pt>
                <c:pt idx="646">
                  <c:v>110.01343707370246</c:v>
                </c:pt>
                <c:pt idx="647">
                  <c:v>110.00051078374374</c:v>
                </c:pt>
                <c:pt idx="648">
                  <c:v>109.98752539764186</c:v>
                </c:pt>
                <c:pt idx="649">
                  <c:v>109.97448092056415</c:v>
                </c:pt>
                <c:pt idx="650">
                  <c:v>109.96137735770544</c:v>
                </c:pt>
                <c:pt idx="651">
                  <c:v>109.94821471428304</c:v>
                </c:pt>
                <c:pt idx="652">
                  <c:v>109.93499299554321</c:v>
                </c:pt>
                <c:pt idx="653">
                  <c:v>109.92171220675547</c:v>
                </c:pt>
                <c:pt idx="654">
                  <c:v>109.90837235321717</c:v>
                </c:pt>
                <c:pt idx="655">
                  <c:v>109.8949734402522</c:v>
                </c:pt>
                <c:pt idx="656">
                  <c:v>109.88151547320706</c:v>
                </c:pt>
                <c:pt idx="657">
                  <c:v>109.86799845745634</c:v>
                </c:pt>
                <c:pt idx="658">
                  <c:v>109.85442239840222</c:v>
                </c:pt>
                <c:pt idx="659">
                  <c:v>109.84078730146868</c:v>
                </c:pt>
                <c:pt idx="660">
                  <c:v>109.82709317211078</c:v>
                </c:pt>
                <c:pt idx="661">
                  <c:v>109.81334001580244</c:v>
                </c:pt>
                <c:pt idx="662">
                  <c:v>109.79952783805263</c:v>
                </c:pt>
                <c:pt idx="663">
                  <c:v>109.78565664438888</c:v>
                </c:pt>
                <c:pt idx="664">
                  <c:v>109.77172644036793</c:v>
                </c:pt>
                <c:pt idx="665">
                  <c:v>109.75773723157253</c:v>
                </c:pt>
                <c:pt idx="666">
                  <c:v>109.74368902361014</c:v>
                </c:pt>
                <c:pt idx="667">
                  <c:v>109.72958182211437</c:v>
                </c:pt>
                <c:pt idx="668">
                  <c:v>109.71541563274721</c:v>
                </c:pt>
                <c:pt idx="669">
                  <c:v>109.70119046119144</c:v>
                </c:pt>
                <c:pt idx="670">
                  <c:v>109.68690631316419</c:v>
                </c:pt>
                <c:pt idx="671">
                  <c:v>109.67256319439996</c:v>
                </c:pt>
                <c:pt idx="672">
                  <c:v>109.65816111066349</c:v>
                </c:pt>
                <c:pt idx="673">
                  <c:v>109.643700067748</c:v>
                </c:pt>
                <c:pt idx="674">
                  <c:v>109.62918007146669</c:v>
                </c:pt>
                <c:pt idx="675">
                  <c:v>109.61460112766373</c:v>
                </c:pt>
                <c:pt idx="676">
                  <c:v>109.59996324220742</c:v>
                </c:pt>
                <c:pt idx="677">
                  <c:v>109.58526642099399</c:v>
                </c:pt>
                <c:pt idx="678">
                  <c:v>109.57051066994067</c:v>
                </c:pt>
                <c:pt idx="679">
                  <c:v>109.55569599499887</c:v>
                </c:pt>
                <c:pt idx="680">
                  <c:v>109.54082240214049</c:v>
                </c:pt>
                <c:pt idx="681">
                  <c:v>109.52588989736375</c:v>
                </c:pt>
                <c:pt idx="682">
                  <c:v>109.51089848669331</c:v>
                </c:pt>
                <c:pt idx="683">
                  <c:v>109.49584817618489</c:v>
                </c:pt>
                <c:pt idx="684">
                  <c:v>109.48073897191192</c:v>
                </c:pt>
                <c:pt idx="685">
                  <c:v>109.46557087998093</c:v>
                </c:pt>
                <c:pt idx="686">
                  <c:v>109.45034390652123</c:v>
                </c:pt>
                <c:pt idx="687">
                  <c:v>109.43505805768896</c:v>
                </c:pt>
                <c:pt idx="688">
                  <c:v>109.41971333966752</c:v>
                </c:pt>
                <c:pt idx="689">
                  <c:v>109.40430975866646</c:v>
                </c:pt>
                <c:pt idx="690">
                  <c:v>109.3888473209191</c:v>
                </c:pt>
                <c:pt idx="691">
                  <c:v>109.37332603268777</c:v>
                </c:pt>
                <c:pt idx="692">
                  <c:v>109.35774590026065</c:v>
                </c:pt>
                <c:pt idx="693">
                  <c:v>109.34210692995127</c:v>
                </c:pt>
                <c:pt idx="694">
                  <c:v>109.32640912809882</c:v>
                </c:pt>
                <c:pt idx="695">
                  <c:v>109.3106525010716</c:v>
                </c:pt>
                <c:pt idx="696">
                  <c:v>109.29483705526077</c:v>
                </c:pt>
                <c:pt idx="697">
                  <c:v>109.27896279708536</c:v>
                </c:pt>
                <c:pt idx="698">
                  <c:v>109.26302973299236</c:v>
                </c:pt>
                <c:pt idx="699">
                  <c:v>109.24703786945273</c:v>
                </c:pt>
                <c:pt idx="700">
                  <c:v>109.23098721296481</c:v>
                </c:pt>
                <c:pt idx="701">
                  <c:v>109.21487777005207</c:v>
                </c:pt>
                <c:pt idx="702">
                  <c:v>109.19870954726545</c:v>
                </c:pt>
                <c:pt idx="703">
                  <c:v>109.18248255118401</c:v>
                </c:pt>
                <c:pt idx="704">
                  <c:v>109.16619678840935</c:v>
                </c:pt>
                <c:pt idx="705">
                  <c:v>109.14985226557168</c:v>
                </c:pt>
                <c:pt idx="706">
                  <c:v>109.1334489893291</c:v>
                </c:pt>
                <c:pt idx="707">
                  <c:v>109.11698696636172</c:v>
                </c:pt>
                <c:pt idx="708">
                  <c:v>109.10046620338277</c:v>
                </c:pt>
                <c:pt idx="709">
                  <c:v>109.08388670712176</c:v>
                </c:pt>
                <c:pt idx="710">
                  <c:v>109.06724848434655</c:v>
                </c:pt>
                <c:pt idx="711">
                  <c:v>109.05055154184242</c:v>
                </c:pt>
                <c:pt idx="712">
                  <c:v>109.03379588642694</c:v>
                </c:pt>
                <c:pt idx="713">
                  <c:v>109.01698152494114</c:v>
                </c:pt>
                <c:pt idx="714">
                  <c:v>109.00010846425279</c:v>
                </c:pt>
                <c:pt idx="715">
                  <c:v>108.98317671125528</c:v>
                </c:pt>
                <c:pt idx="716">
                  <c:v>108.96618627287117</c:v>
                </c:pt>
                <c:pt idx="717">
                  <c:v>108.94913715604557</c:v>
                </c:pt>
                <c:pt idx="718">
                  <c:v>108.93202936775702</c:v>
                </c:pt>
                <c:pt idx="719">
                  <c:v>108.914862915003</c:v>
                </c:pt>
                <c:pt idx="720">
                  <c:v>108.89763780481076</c:v>
                </c:pt>
                <c:pt idx="721">
                  <c:v>108.88035404423673</c:v>
                </c:pt>
                <c:pt idx="722">
                  <c:v>108.86301164035844</c:v>
                </c:pt>
                <c:pt idx="723">
                  <c:v>108.84561060028476</c:v>
                </c:pt>
                <c:pt idx="724">
                  <c:v>108.82815093114772</c:v>
                </c:pt>
                <c:pt idx="725">
                  <c:v>108.81063264010967</c:v>
                </c:pt>
                <c:pt idx="726">
                  <c:v>108.7930557343566</c:v>
                </c:pt>
                <c:pt idx="727">
                  <c:v>108.77542022110396</c:v>
                </c:pt>
                <c:pt idx="728">
                  <c:v>108.75772610758861</c:v>
                </c:pt>
                <c:pt idx="729">
                  <c:v>108.73997340108076</c:v>
                </c:pt>
                <c:pt idx="730">
                  <c:v>108.72216210887244</c:v>
                </c:pt>
                <c:pt idx="731">
                  <c:v>108.70429223828496</c:v>
                </c:pt>
                <c:pt idx="732">
                  <c:v>108.6863637966636</c:v>
                </c:pt>
                <c:pt idx="733">
                  <c:v>108.66837679138375</c:v>
                </c:pt>
                <c:pt idx="734">
                  <c:v>108.65033122984417</c:v>
                </c:pt>
                <c:pt idx="735">
                  <c:v>108.63222711947549</c:v>
                </c:pt>
                <c:pt idx="736">
                  <c:v>108.61406446772804</c:v>
                </c:pt>
                <c:pt idx="737">
                  <c:v>108.59584328208335</c:v>
                </c:pt>
                <c:pt idx="738">
                  <c:v>108.57756357005178</c:v>
                </c:pt>
                <c:pt idx="739">
                  <c:v>108.55922533916569</c:v>
                </c:pt>
                <c:pt idx="740">
                  <c:v>108.54082859698697</c:v>
                </c:pt>
                <c:pt idx="741">
                  <c:v>108.52237335110104</c:v>
                </c:pt>
                <c:pt idx="742">
                  <c:v>108.50385960912736</c:v>
                </c:pt>
                <c:pt idx="743">
                  <c:v>108.48528737870376</c:v>
                </c:pt>
                <c:pt idx="744">
                  <c:v>108.46665666749936</c:v>
                </c:pt>
                <c:pt idx="745">
                  <c:v>108.44796748321274</c:v>
                </c:pt>
                <c:pt idx="746">
                  <c:v>108.42921983356332</c:v>
                </c:pt>
                <c:pt idx="747">
                  <c:v>108.41041372629996</c:v>
                </c:pt>
                <c:pt idx="748">
                  <c:v>108.39154916919979</c:v>
                </c:pt>
                <c:pt idx="749">
                  <c:v>108.37262617006745</c:v>
                </c:pt>
                <c:pt idx="750">
                  <c:v>108.35364473672884</c:v>
                </c:pt>
                <c:pt idx="751">
                  <c:v>108.33460487704482</c:v>
                </c:pt>
                <c:pt idx="752">
                  <c:v>108.31550659889731</c:v>
                </c:pt>
                <c:pt idx="753">
                  <c:v>108.29634991020055</c:v>
                </c:pt>
                <c:pt idx="754">
                  <c:v>108.27713481888719</c:v>
                </c:pt>
                <c:pt idx="755">
                  <c:v>108.257861332926</c:v>
                </c:pt>
                <c:pt idx="756">
                  <c:v>108.23852946030702</c:v>
                </c:pt>
                <c:pt idx="757">
                  <c:v>108.21913920905006</c:v>
                </c:pt>
                <c:pt idx="758">
                  <c:v>108.19969058719941</c:v>
                </c:pt>
                <c:pt idx="759">
                  <c:v>108.1801836028323</c:v>
                </c:pt>
                <c:pt idx="760">
                  <c:v>108.16061826404398</c:v>
                </c:pt>
                <c:pt idx="761">
                  <c:v>108.14099457896469</c:v>
                </c:pt>
                <c:pt idx="762">
                  <c:v>108.12131255574745</c:v>
                </c:pt>
                <c:pt idx="763">
                  <c:v>108.10157220257366</c:v>
                </c:pt>
                <c:pt idx="764">
                  <c:v>108.08177352765338</c:v>
                </c:pt>
                <c:pt idx="765">
                  <c:v>108.06191653922157</c:v>
                </c:pt>
                <c:pt idx="766">
                  <c:v>108.04200124553903</c:v>
                </c:pt>
                <c:pt idx="767">
                  <c:v>108.02202765489807</c:v>
                </c:pt>
                <c:pt idx="768">
                  <c:v>108.00199577561443</c:v>
                </c:pt>
                <c:pt idx="769">
                  <c:v>107.98190561603514</c:v>
                </c:pt>
                <c:pt idx="770">
                  <c:v>107.96175718452859</c:v>
                </c:pt>
                <c:pt idx="771">
                  <c:v>107.94155048949483</c:v>
                </c:pt>
                <c:pt idx="772">
                  <c:v>107.92128553935953</c:v>
                </c:pt>
                <c:pt idx="773">
                  <c:v>107.90096234257742</c:v>
                </c:pt>
                <c:pt idx="774">
                  <c:v>107.8805809076263</c:v>
                </c:pt>
                <c:pt idx="775">
                  <c:v>107.86014124301722</c:v>
                </c:pt>
                <c:pt idx="776">
                  <c:v>107.83964335728308</c:v>
                </c:pt>
                <c:pt idx="777">
                  <c:v>107.81908725898798</c:v>
                </c:pt>
                <c:pt idx="778">
                  <c:v>107.79847295671935</c:v>
                </c:pt>
                <c:pt idx="779">
                  <c:v>107.77780045909641</c:v>
                </c:pt>
                <c:pt idx="780">
                  <c:v>107.75706977476167</c:v>
                </c:pt>
                <c:pt idx="781">
                  <c:v>107.73628091238862</c:v>
                </c:pt>
                <c:pt idx="782">
                  <c:v>107.71543388067525</c:v>
                </c:pt>
                <c:pt idx="783">
                  <c:v>107.69452868835074</c:v>
                </c:pt>
                <c:pt idx="784">
                  <c:v>107.67356534416557</c:v>
                </c:pt>
                <c:pt idx="785">
                  <c:v>107.65254385690181</c:v>
                </c:pt>
                <c:pt idx="786">
                  <c:v>107.63146423537033</c:v>
                </c:pt>
                <c:pt idx="787">
                  <c:v>107.61032648840481</c:v>
                </c:pt>
                <c:pt idx="788">
                  <c:v>107.58913062487119</c:v>
                </c:pt>
                <c:pt idx="789">
                  <c:v>107.56787665365886</c:v>
                </c:pt>
                <c:pt idx="790">
                  <c:v>107.54656458368861</c:v>
                </c:pt>
                <c:pt idx="791">
                  <c:v>107.52519442390523</c:v>
                </c:pt>
                <c:pt idx="792">
                  <c:v>107.50376618328151</c:v>
                </c:pt>
                <c:pt idx="793">
                  <c:v>107.48227987082154</c:v>
                </c:pt>
                <c:pt idx="794">
                  <c:v>107.46073549555202</c:v>
                </c:pt>
                <c:pt idx="795">
                  <c:v>107.43913306653029</c:v>
                </c:pt>
                <c:pt idx="796">
                  <c:v>107.41747259283837</c:v>
                </c:pt>
                <c:pt idx="797">
                  <c:v>107.39575408359025</c:v>
                </c:pt>
                <c:pt idx="798">
                  <c:v>107.37397754792444</c:v>
                </c:pt>
                <c:pt idx="799">
                  <c:v>107.35214299500878</c:v>
                </c:pt>
                <c:pt idx="800">
                  <c:v>107.3302504340357</c:v>
                </c:pt>
                <c:pt idx="801">
                  <c:v>107.30829987422798</c:v>
                </c:pt>
                <c:pt idx="802">
                  <c:v>107.28629132483648</c:v>
                </c:pt>
                <c:pt idx="803">
                  <c:v>107.26422479513916</c:v>
                </c:pt>
                <c:pt idx="804">
                  <c:v>107.24210029443897</c:v>
                </c:pt>
                <c:pt idx="805">
                  <c:v>107.21991783207017</c:v>
                </c:pt>
                <c:pt idx="806">
                  <c:v>107.19767741739196</c:v>
                </c:pt>
                <c:pt idx="807">
                  <c:v>107.17537905979641</c:v>
                </c:pt>
                <c:pt idx="808">
                  <c:v>107.15302276869647</c:v>
                </c:pt>
                <c:pt idx="809">
                  <c:v>107.13060855353581</c:v>
                </c:pt>
                <c:pt idx="810">
                  <c:v>107.10813642378949</c:v>
                </c:pt>
                <c:pt idx="811">
                  <c:v>107.085606388955</c:v>
                </c:pt>
                <c:pt idx="812">
                  <c:v>107.06301845856046</c:v>
                </c:pt>
                <c:pt idx="813">
                  <c:v>107.04037264215887</c:v>
                </c:pt>
                <c:pt idx="814">
                  <c:v>107.01766894933647</c:v>
                </c:pt>
                <c:pt idx="815">
                  <c:v>106.99490738970309</c:v>
                </c:pt>
                <c:pt idx="816">
                  <c:v>106.97208797289811</c:v>
                </c:pt>
                <c:pt idx="817">
                  <c:v>106.94921070858771</c:v>
                </c:pt>
                <c:pt idx="818">
                  <c:v>106.9262756064679</c:v>
                </c:pt>
                <c:pt idx="819">
                  <c:v>106.90328267625821</c:v>
                </c:pt>
                <c:pt idx="820">
                  <c:v>106.88023192771404</c:v>
                </c:pt>
                <c:pt idx="821">
                  <c:v>106.85712337061092</c:v>
                </c:pt>
                <c:pt idx="822">
                  <c:v>106.83395701475609</c:v>
                </c:pt>
                <c:pt idx="823">
                  <c:v>106.81073286998507</c:v>
                </c:pt>
                <c:pt idx="824">
                  <c:v>106.78745094615914</c:v>
                </c:pt>
                <c:pt idx="825">
                  <c:v>106.76411125317028</c:v>
                </c:pt>
                <c:pt idx="826">
                  <c:v>106.74071380093696</c:v>
                </c:pt>
                <c:pt idx="827">
                  <c:v>106.71725859940487</c:v>
                </c:pt>
                <c:pt idx="828">
                  <c:v>106.69374565855075</c:v>
                </c:pt>
                <c:pt idx="829">
                  <c:v>106.6701749883773</c:v>
                </c:pt>
                <c:pt idx="830">
                  <c:v>106.64654659891683</c:v>
                </c:pt>
                <c:pt idx="831">
                  <c:v>106.62286050022655</c:v>
                </c:pt>
                <c:pt idx="832">
                  <c:v>106.59911670239465</c:v>
                </c:pt>
                <c:pt idx="833">
                  <c:v>106.57531521553747</c:v>
                </c:pt>
                <c:pt idx="834">
                  <c:v>106.55145604979838</c:v>
                </c:pt>
                <c:pt idx="835">
                  <c:v>99.033178074060402</c:v>
                </c:pt>
                <c:pt idx="836">
                  <c:v>92.00704273235975</c:v>
                </c:pt>
                <c:pt idx="837">
                  <c:v>85.440834619384319</c:v>
                </c:pt>
                <c:pt idx="838">
                  <c:v>79.304447133789921</c:v>
                </c:pt>
                <c:pt idx="839">
                  <c:v>73.569744436970211</c:v>
                </c:pt>
                <c:pt idx="840">
                  <c:v>68.210432447935133</c:v>
                </c:pt>
                <c:pt idx="841">
                  <c:v>63.201938282798423</c:v>
                </c:pt>
                <c:pt idx="842">
                  <c:v>58.521297586094903</c:v>
                </c:pt>
                <c:pt idx="843">
                  <c:v>54.14704923733219</c:v>
                </c:pt>
                <c:pt idx="844">
                  <c:v>50.059136949997409</c:v>
                </c:pt>
                <c:pt idx="845">
                  <c:v>46.293284898965332</c:v>
                </c:pt>
                <c:pt idx="846">
                  <c:v>42.873262076547697</c:v>
                </c:pt>
                <c:pt idx="847">
                  <c:v>39.696334280603644</c:v>
                </c:pt>
                <c:pt idx="848">
                  <c:v>36.745553646028185</c:v>
                </c:pt>
                <c:pt idx="849">
                  <c:v>34.005137408104552</c:v>
                </c:pt>
                <c:pt idx="850">
                  <c:v>31.460388504398598</c:v>
                </c:pt>
                <c:pt idx="851">
                  <c:v>29.097621543310208</c:v>
                </c:pt>
                <c:pt idx="852">
                  <c:v>26.904093777726914</c:v>
                </c:pt>
                <c:pt idx="853">
                  <c:v>24.867940746352986</c:v>
                </c:pt>
                <c:pt idx="854">
                  <c:v>22.978116267785541</c:v>
                </c:pt>
                <c:pt idx="855">
                  <c:v>21.224336493383831</c:v>
                </c:pt>
                <c:pt idx="856">
                  <c:v>19.597027744523167</c:v>
                </c:pt>
                <c:pt idx="857">
                  <c:v>18.087277878031273</c:v>
                </c:pt>
                <c:pt idx="858">
                  <c:v>16.686790940550349</c:v>
                </c:pt>
                <c:pt idx="859">
                  <c:v>15.387844888327495</c:v>
                </c:pt>
                <c:pt idx="860">
                  <c:v>14.183252163572401</c:v>
                </c:pt>
                <c:pt idx="861">
                  <c:v>13.066322932090195</c:v>
                </c:pt>
                <c:pt idx="862">
                  <c:v>12.030830799445292</c:v>
                </c:pt>
                <c:pt idx="863">
                  <c:v>11.070980834471904</c:v>
                </c:pt>
                <c:pt idx="864">
                  <c:v>10.181379739540832</c:v>
                </c:pt>
                <c:pt idx="865">
                  <c:v>9.3570080166206964</c:v>
                </c:pt>
                <c:pt idx="866">
                  <c:v>8.5931939868170186</c:v>
                </c:pt>
                <c:pt idx="867">
                  <c:v>7.8855895286814439</c:v>
                </c:pt>
                <c:pt idx="868">
                  <c:v>7.230147407062927</c:v>
                </c:pt>
                <c:pt idx="869">
                  <c:v>6.6231000694652629</c:v>
                </c:pt>
                <c:pt idx="870">
                  <c:v>6.0609397905350697</c:v>
                </c:pt>
                <c:pt idx="871">
                  <c:v>5.5404000470477328</c:v>
                </c:pt>
                <c:pt idx="872">
                  <c:v>5.0584380049977513</c:v>
                </c:pt>
                <c:pt idx="873">
                  <c:v>4.6122179962219461</c:v>
                </c:pt>
                <c:pt idx="874">
                  <c:v>4.1990958529640494</c:v>
                </c:pt>
                <c:pt idx="875">
                  <c:v>3.8166039526657771</c:v>
                </c:pt>
                <c:pt idx="876">
                  <c:v>3.4624367983822384</c:v>
                </c:pt>
                <c:pt idx="877">
                  <c:v>3.134436916513534</c:v>
                </c:pt>
                <c:pt idx="878">
                  <c:v>2.8305807827295717</c:v>
                </c:pt>
                <c:pt idx="879">
                  <c:v>2.5489643710258729</c:v>
                </c:pt>
                <c:pt idx="880">
                  <c:v>2.2877877271298717</c:v>
                </c:pt>
                <c:pt idx="881">
                  <c:v>2.0453376344049596</c:v>
                </c:pt>
                <c:pt idx="88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331-4845-8E7D-C9E93A5C35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671638528"/>
        <c:axId val="-671646144"/>
      </c:scatterChart>
      <c:valAx>
        <c:axId val="-671638528"/>
        <c:scaling>
          <c:orientation val="minMax"/>
          <c:min val="0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(sec.)</a:t>
                </a:r>
              </a:p>
            </c:rich>
          </c:tx>
          <c:layout>
            <c:manualLayout>
              <c:xMode val="edge"/>
              <c:yMode val="edge"/>
              <c:x val="0.44887911454958407"/>
              <c:y val="0.89352155633323616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671646144"/>
        <c:crosses val="autoZero"/>
        <c:crossBetween val="midCat"/>
      </c:valAx>
      <c:valAx>
        <c:axId val="-671646144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Aptos Narrow"/>
                    <a:ea typeface="Aptos Narrow"/>
                    <a:cs typeface="Aptos Narrow"/>
                  </a:defRPr>
                </a:pPr>
                <a:r>
                  <a:rPr lang="en-US" sz="1000" b="0" i="0" u="none" strike="noStrike" baseline="0">
                    <a:solidFill>
                      <a:srgbClr val="0000FF"/>
                    </a:solidFill>
                    <a:latin typeface="Arial"/>
                    <a:cs typeface="Arial"/>
                  </a:rPr>
                  <a:t>Thrust  (lb</a:t>
                </a:r>
                <a:r>
                  <a:rPr lang="en-US" sz="800" b="0" i="0" u="none" strike="noStrike" baseline="0">
                    <a:solidFill>
                      <a:srgbClr val="0000FF"/>
                    </a:solidFill>
                    <a:latin typeface="Arial"/>
                    <a:cs typeface="Arial"/>
                  </a:rPr>
                  <a:t>f</a:t>
                </a:r>
                <a:r>
                  <a:rPr lang="en-US" sz="1000" b="0" i="0" u="none" strike="noStrike" baseline="0">
                    <a:solidFill>
                      <a:srgbClr val="0000FF"/>
                    </a:solidFill>
                    <a:latin typeface="Arial"/>
                    <a:cs typeface="Arial"/>
                  </a:rPr>
                  <a:t>)</a:t>
                </a:r>
              </a:p>
            </c:rich>
          </c:tx>
          <c:layout>
            <c:manualLayout>
              <c:xMode val="edge"/>
              <c:yMode val="edge"/>
              <c:x val="4.4887453282803497E-2"/>
              <c:y val="0.4328712817147856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FF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671638528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201219512195122E-2"/>
          <c:y val="0.05"/>
          <c:w val="0.93292682926829273"/>
          <c:h val="0.89772727272727271"/>
        </c:manualLayout>
      </c:layout>
      <c:scatterChart>
        <c:scatterStyle val="smoothMarker"/>
        <c:varyColors val="0"/>
        <c:ser>
          <c:idx val="0"/>
          <c:order val="0"/>
          <c:spPr>
            <a:ln w="254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'Nozzle Design'!$Y$20:$Y$21</c:f>
              <c:numCache>
                <c:formatCode>0.00</c:formatCode>
                <c:ptCount val="2"/>
                <c:pt idx="0">
                  <c:v>0</c:v>
                </c:pt>
                <c:pt idx="1">
                  <c:v>0.5826037568405249</c:v>
                </c:pt>
              </c:numCache>
            </c:numRef>
          </c:xVal>
          <c:yVal>
            <c:numRef>
              <c:f>'Nozzle Design'!$Z$20:$Z$21</c:f>
              <c:numCache>
                <c:formatCode>0.00</c:formatCode>
                <c:ptCount val="2"/>
                <c:pt idx="0">
                  <c:v>0.5</c:v>
                </c:pt>
                <c:pt idx="1">
                  <c:v>0.16363356415723573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91-4E1C-AE05-E52EA9B22D4E}"/>
            </c:ext>
          </c:extLst>
        </c:ser>
        <c:ser>
          <c:idx val="1"/>
          <c:order val="1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Design'!$Y$21:$Y$22</c:f>
              <c:numCache>
                <c:formatCode>0.00</c:formatCode>
                <c:ptCount val="2"/>
                <c:pt idx="0">
                  <c:v>0.5826037568405249</c:v>
                </c:pt>
                <c:pt idx="1">
                  <c:v>1.4458358440415207</c:v>
                </c:pt>
              </c:numCache>
            </c:numRef>
          </c:xVal>
          <c:yVal>
            <c:numRef>
              <c:f>'Nozzle Design'!$Z$21:$Z$22</c:f>
              <c:numCache>
                <c:formatCode>0.00</c:formatCode>
                <c:ptCount val="2"/>
                <c:pt idx="0">
                  <c:v>0.16363356415723573</c:v>
                </c:pt>
                <c:pt idx="1">
                  <c:v>0.3471192085359161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291-4E1C-AE05-E52EA9B22D4E}"/>
            </c:ext>
          </c:extLst>
        </c:ser>
        <c:ser>
          <c:idx val="2"/>
          <c:order val="2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Design'!$Y$22:$Y$23</c:f>
              <c:numCache>
                <c:formatCode>0.00</c:formatCode>
                <c:ptCount val="2"/>
                <c:pt idx="0">
                  <c:v>1.4458358440415207</c:v>
                </c:pt>
                <c:pt idx="1">
                  <c:v>1.9434875916375451</c:v>
                </c:pt>
              </c:numCache>
            </c:numRef>
          </c:xVal>
          <c:yVal>
            <c:numRef>
              <c:f>'Nozzle Design'!$Z$22:$Z$23</c:f>
              <c:numCache>
                <c:formatCode>0.00</c:formatCode>
                <c:ptCount val="2"/>
                <c:pt idx="0">
                  <c:v>0.3471192085359161</c:v>
                </c:pt>
                <c:pt idx="1">
                  <c:v>0.45289835291400471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291-4E1C-AE05-E52EA9B22D4E}"/>
            </c:ext>
          </c:extLst>
        </c:ser>
        <c:ser>
          <c:idx val="3"/>
          <c:order val="3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Design'!$Y$20:$Y$21</c:f>
              <c:numCache>
                <c:formatCode>0.00</c:formatCode>
                <c:ptCount val="2"/>
                <c:pt idx="0">
                  <c:v>0</c:v>
                </c:pt>
                <c:pt idx="1">
                  <c:v>0.5826037568405249</c:v>
                </c:pt>
              </c:numCache>
            </c:numRef>
          </c:xVal>
          <c:yVal>
            <c:numRef>
              <c:f>'Nozzle Design'!$AA$20:$AA$21</c:f>
              <c:numCache>
                <c:formatCode>0.00</c:formatCode>
                <c:ptCount val="2"/>
                <c:pt idx="0">
                  <c:v>-0.5</c:v>
                </c:pt>
                <c:pt idx="1">
                  <c:v>-0.16363356415723573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291-4E1C-AE05-E52EA9B22D4E}"/>
            </c:ext>
          </c:extLst>
        </c:ser>
        <c:ser>
          <c:idx val="4"/>
          <c:order val="4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Design'!$Y$21:$Y$22</c:f>
              <c:numCache>
                <c:formatCode>0.00</c:formatCode>
                <c:ptCount val="2"/>
                <c:pt idx="0">
                  <c:v>0.5826037568405249</c:v>
                </c:pt>
                <c:pt idx="1">
                  <c:v>1.4458358440415207</c:v>
                </c:pt>
              </c:numCache>
            </c:numRef>
          </c:xVal>
          <c:yVal>
            <c:numRef>
              <c:f>'Nozzle Design'!$AA$21:$AA$22</c:f>
              <c:numCache>
                <c:formatCode>0.00</c:formatCode>
                <c:ptCount val="2"/>
                <c:pt idx="0">
                  <c:v>-0.16363356415723573</c:v>
                </c:pt>
                <c:pt idx="1">
                  <c:v>-0.3471192085359161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291-4E1C-AE05-E52EA9B22D4E}"/>
            </c:ext>
          </c:extLst>
        </c:ser>
        <c:ser>
          <c:idx val="5"/>
          <c:order val="5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Design'!$Y$22:$Y$23</c:f>
              <c:numCache>
                <c:formatCode>0.00</c:formatCode>
                <c:ptCount val="2"/>
                <c:pt idx="0">
                  <c:v>1.4458358440415207</c:v>
                </c:pt>
                <c:pt idx="1">
                  <c:v>1.9434875916375451</c:v>
                </c:pt>
              </c:numCache>
            </c:numRef>
          </c:xVal>
          <c:yVal>
            <c:numRef>
              <c:f>'Nozzle Design'!$AA$22:$AA$23</c:f>
              <c:numCache>
                <c:formatCode>0.00</c:formatCode>
                <c:ptCount val="2"/>
                <c:pt idx="0">
                  <c:v>-0.3471192085359161</c:v>
                </c:pt>
                <c:pt idx="1">
                  <c:v>-0.45289835291400471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2291-4E1C-AE05-E52EA9B22D4E}"/>
            </c:ext>
          </c:extLst>
        </c:ser>
        <c:ser>
          <c:idx val="6"/>
          <c:order val="6"/>
          <c:spPr>
            <a:ln w="22225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Design'!$Y$24:$Y$25</c:f>
              <c:numCache>
                <c:formatCode>0.00</c:formatCode>
                <c:ptCount val="2"/>
                <c:pt idx="0">
                  <c:v>1.4458358440415207</c:v>
                </c:pt>
                <c:pt idx="1">
                  <c:v>1.4458358440415207</c:v>
                </c:pt>
              </c:numCache>
            </c:numRef>
          </c:xVal>
          <c:yVal>
            <c:numRef>
              <c:f>'Nozzle Design'!$Z$24:$Z$25</c:f>
              <c:numCache>
                <c:formatCode>0.00</c:formatCode>
                <c:ptCount val="2"/>
                <c:pt idx="0">
                  <c:v>0.3471192085359161</c:v>
                </c:pt>
                <c:pt idx="1">
                  <c:v>-0.3471192085359161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2291-4E1C-AE05-E52EA9B22D4E}"/>
            </c:ext>
          </c:extLst>
        </c:ser>
        <c:ser>
          <c:idx val="7"/>
          <c:order val="7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Design'!$Y$26:$Y$27</c:f>
              <c:numCache>
                <c:formatCode>0.00</c:formatCode>
                <c:ptCount val="2"/>
                <c:pt idx="0">
                  <c:v>1.9434875916375451</c:v>
                </c:pt>
                <c:pt idx="1">
                  <c:v>1.9434875916375451</c:v>
                </c:pt>
              </c:numCache>
            </c:numRef>
          </c:xVal>
          <c:yVal>
            <c:numRef>
              <c:f>'Nozzle Design'!$Z$26:$Z$27</c:f>
              <c:numCache>
                <c:formatCode>0.00</c:formatCode>
                <c:ptCount val="2"/>
                <c:pt idx="0">
                  <c:v>0.45289835291400471</c:v>
                </c:pt>
                <c:pt idx="1">
                  <c:v>-0.45289835291400471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2291-4E1C-AE05-E52EA9B22D4E}"/>
            </c:ext>
          </c:extLst>
        </c:ser>
        <c:ser>
          <c:idx val="8"/>
          <c:order val="8"/>
          <c:spPr>
            <a:ln w="6350"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291-4E1C-AE05-E52EA9B22D4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exit plane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2291-4E1C-AE05-E52EA9B22D4E}"/>
                </c:ext>
              </c:extLst>
            </c:dLbl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'Nozzle Design'!$Y$28:$Y$29</c:f>
              <c:numCache>
                <c:formatCode>0.00</c:formatCode>
                <c:ptCount val="2"/>
                <c:pt idx="0">
                  <c:v>1.4458358440415207</c:v>
                </c:pt>
                <c:pt idx="1">
                  <c:v>1.4458358440415207</c:v>
                </c:pt>
              </c:numCache>
            </c:numRef>
          </c:xVal>
          <c:yVal>
            <c:numRef>
              <c:f>'Nozzle Design'!$Z$28:$Z$29</c:f>
              <c:numCache>
                <c:formatCode>General</c:formatCode>
                <c:ptCount val="2"/>
                <c:pt idx="0">
                  <c:v>1</c:v>
                </c:pt>
                <c:pt idx="1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2291-4E1C-AE05-E52EA9B22D4E}"/>
            </c:ext>
          </c:extLst>
        </c:ser>
        <c:ser>
          <c:idx val="9"/>
          <c:order val="9"/>
          <c:spPr>
            <a:ln w="254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'Nozzle Design'!$Y$20:$Y$21</c:f>
              <c:numCache>
                <c:formatCode>0.00</c:formatCode>
                <c:ptCount val="2"/>
                <c:pt idx="0">
                  <c:v>0</c:v>
                </c:pt>
                <c:pt idx="1">
                  <c:v>0.5826037568405249</c:v>
                </c:pt>
              </c:numCache>
            </c:numRef>
          </c:xVal>
          <c:yVal>
            <c:numRef>
              <c:f>'Nozzle Design'!$Z$20:$Z$21</c:f>
              <c:numCache>
                <c:formatCode>0.00</c:formatCode>
                <c:ptCount val="2"/>
                <c:pt idx="0">
                  <c:v>0.5</c:v>
                </c:pt>
                <c:pt idx="1">
                  <c:v>0.16363356415723573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2291-4E1C-AE05-E52EA9B22D4E}"/>
            </c:ext>
          </c:extLst>
        </c:ser>
        <c:ser>
          <c:idx val="10"/>
          <c:order val="10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Design'!$Y$21:$Y$22</c:f>
              <c:numCache>
                <c:formatCode>0.00</c:formatCode>
                <c:ptCount val="2"/>
                <c:pt idx="0">
                  <c:v>0.5826037568405249</c:v>
                </c:pt>
                <c:pt idx="1">
                  <c:v>1.4458358440415207</c:v>
                </c:pt>
              </c:numCache>
            </c:numRef>
          </c:xVal>
          <c:yVal>
            <c:numRef>
              <c:f>'Nozzle Design'!$Z$21:$Z$22</c:f>
              <c:numCache>
                <c:formatCode>0.00</c:formatCode>
                <c:ptCount val="2"/>
                <c:pt idx="0">
                  <c:v>0.16363356415723573</c:v>
                </c:pt>
                <c:pt idx="1">
                  <c:v>0.3471192085359161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2291-4E1C-AE05-E52EA9B22D4E}"/>
            </c:ext>
          </c:extLst>
        </c:ser>
        <c:ser>
          <c:idx val="11"/>
          <c:order val="11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Design'!$Y$22:$Y$23</c:f>
              <c:numCache>
                <c:formatCode>0.00</c:formatCode>
                <c:ptCount val="2"/>
                <c:pt idx="0">
                  <c:v>1.4458358440415207</c:v>
                </c:pt>
                <c:pt idx="1">
                  <c:v>1.9434875916375451</c:v>
                </c:pt>
              </c:numCache>
            </c:numRef>
          </c:xVal>
          <c:yVal>
            <c:numRef>
              <c:f>'Nozzle Design'!$Z$22:$Z$23</c:f>
              <c:numCache>
                <c:formatCode>0.00</c:formatCode>
                <c:ptCount val="2"/>
                <c:pt idx="0">
                  <c:v>0.3471192085359161</c:v>
                </c:pt>
                <c:pt idx="1">
                  <c:v>0.45289835291400471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2291-4E1C-AE05-E52EA9B22D4E}"/>
            </c:ext>
          </c:extLst>
        </c:ser>
        <c:ser>
          <c:idx val="12"/>
          <c:order val="12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Design'!$Y$20:$Y$21</c:f>
              <c:numCache>
                <c:formatCode>0.00</c:formatCode>
                <c:ptCount val="2"/>
                <c:pt idx="0">
                  <c:v>0</c:v>
                </c:pt>
                <c:pt idx="1">
                  <c:v>0.5826037568405249</c:v>
                </c:pt>
              </c:numCache>
            </c:numRef>
          </c:xVal>
          <c:yVal>
            <c:numRef>
              <c:f>'Nozzle Design'!$AA$20:$AA$21</c:f>
              <c:numCache>
                <c:formatCode>0.00</c:formatCode>
                <c:ptCount val="2"/>
                <c:pt idx="0">
                  <c:v>-0.5</c:v>
                </c:pt>
                <c:pt idx="1">
                  <c:v>-0.16363356415723573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2291-4E1C-AE05-E52EA9B22D4E}"/>
            </c:ext>
          </c:extLst>
        </c:ser>
        <c:ser>
          <c:idx val="13"/>
          <c:order val="13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Design'!$Y$21:$Y$22</c:f>
              <c:numCache>
                <c:formatCode>0.00</c:formatCode>
                <c:ptCount val="2"/>
                <c:pt idx="0">
                  <c:v>0.5826037568405249</c:v>
                </c:pt>
                <c:pt idx="1">
                  <c:v>1.4458358440415207</c:v>
                </c:pt>
              </c:numCache>
            </c:numRef>
          </c:xVal>
          <c:yVal>
            <c:numRef>
              <c:f>'Nozzle Design'!$AA$21:$AA$22</c:f>
              <c:numCache>
                <c:formatCode>0.00</c:formatCode>
                <c:ptCount val="2"/>
                <c:pt idx="0">
                  <c:v>-0.16363356415723573</c:v>
                </c:pt>
                <c:pt idx="1">
                  <c:v>-0.3471192085359161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2291-4E1C-AE05-E52EA9B22D4E}"/>
            </c:ext>
          </c:extLst>
        </c:ser>
        <c:ser>
          <c:idx val="14"/>
          <c:order val="14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Design'!$Y$22:$Y$23</c:f>
              <c:numCache>
                <c:formatCode>0.00</c:formatCode>
                <c:ptCount val="2"/>
                <c:pt idx="0">
                  <c:v>1.4458358440415207</c:v>
                </c:pt>
                <c:pt idx="1">
                  <c:v>1.9434875916375451</c:v>
                </c:pt>
              </c:numCache>
            </c:numRef>
          </c:xVal>
          <c:yVal>
            <c:numRef>
              <c:f>'Nozzle Design'!$AA$22:$AA$23</c:f>
              <c:numCache>
                <c:formatCode>0.00</c:formatCode>
                <c:ptCount val="2"/>
                <c:pt idx="0">
                  <c:v>-0.3471192085359161</c:v>
                </c:pt>
                <c:pt idx="1">
                  <c:v>-0.45289835291400471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2291-4E1C-AE05-E52EA9B22D4E}"/>
            </c:ext>
          </c:extLst>
        </c:ser>
        <c:ser>
          <c:idx val="15"/>
          <c:order val="15"/>
          <c:spPr>
            <a:ln w="22225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Design'!$Y$24:$Y$25</c:f>
              <c:numCache>
                <c:formatCode>0.00</c:formatCode>
                <c:ptCount val="2"/>
                <c:pt idx="0">
                  <c:v>1.4458358440415207</c:v>
                </c:pt>
                <c:pt idx="1">
                  <c:v>1.4458358440415207</c:v>
                </c:pt>
              </c:numCache>
            </c:numRef>
          </c:xVal>
          <c:yVal>
            <c:numRef>
              <c:f>'Nozzle Design'!$Z$24:$Z$25</c:f>
              <c:numCache>
                <c:formatCode>0.00</c:formatCode>
                <c:ptCount val="2"/>
                <c:pt idx="0">
                  <c:v>0.3471192085359161</c:v>
                </c:pt>
                <c:pt idx="1">
                  <c:v>-0.3471192085359161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2291-4E1C-AE05-E52EA9B22D4E}"/>
            </c:ext>
          </c:extLst>
        </c:ser>
        <c:ser>
          <c:idx val="16"/>
          <c:order val="16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Design'!$Y$26:$Y$27</c:f>
              <c:numCache>
                <c:formatCode>0.00</c:formatCode>
                <c:ptCount val="2"/>
                <c:pt idx="0">
                  <c:v>1.9434875916375451</c:v>
                </c:pt>
                <c:pt idx="1">
                  <c:v>1.9434875916375451</c:v>
                </c:pt>
              </c:numCache>
            </c:numRef>
          </c:xVal>
          <c:yVal>
            <c:numRef>
              <c:f>'Nozzle Design'!$Z$26:$Z$27</c:f>
              <c:numCache>
                <c:formatCode>0.00</c:formatCode>
                <c:ptCount val="2"/>
                <c:pt idx="0">
                  <c:v>0.45289835291400471</c:v>
                </c:pt>
                <c:pt idx="1">
                  <c:v>-0.45289835291400471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2291-4E1C-AE05-E52EA9B22D4E}"/>
            </c:ext>
          </c:extLst>
        </c:ser>
        <c:ser>
          <c:idx val="17"/>
          <c:order val="17"/>
          <c:spPr>
            <a:ln w="6350"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'Nozzle Design'!$Y$28:$Y$29</c:f>
              <c:numCache>
                <c:formatCode>0.00</c:formatCode>
                <c:ptCount val="2"/>
                <c:pt idx="0">
                  <c:v>1.4458358440415207</c:v>
                </c:pt>
                <c:pt idx="1">
                  <c:v>1.4458358440415207</c:v>
                </c:pt>
              </c:numCache>
            </c:numRef>
          </c:xVal>
          <c:yVal>
            <c:numRef>
              <c:f>'Nozzle Design'!$Z$28:$Z$29</c:f>
              <c:numCache>
                <c:formatCode>General</c:formatCode>
                <c:ptCount val="2"/>
                <c:pt idx="0">
                  <c:v>1</c:v>
                </c:pt>
                <c:pt idx="1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2291-4E1C-AE05-E52EA9B22D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671649408"/>
        <c:axId val="-671645056"/>
      </c:scatterChart>
      <c:valAx>
        <c:axId val="-671649408"/>
        <c:scaling>
          <c:orientation val="minMax"/>
          <c:max val="2.5"/>
          <c:min val="0"/>
        </c:scaling>
        <c:delete val="0"/>
        <c:axPos val="b"/>
        <c:numFmt formatCode="0.00" sourceLinked="1"/>
        <c:majorTickMark val="none"/>
        <c:minorTickMark val="none"/>
        <c:tickLblPos val="none"/>
        <c:crossAx val="-671645056"/>
        <c:crosses val="autoZero"/>
        <c:crossBetween val="midCat"/>
      </c:valAx>
      <c:valAx>
        <c:axId val="-671645056"/>
        <c:scaling>
          <c:orientation val="minMax"/>
          <c:max val="1"/>
          <c:min val="-1"/>
        </c:scaling>
        <c:delete val="0"/>
        <c:axPos val="l"/>
        <c:numFmt formatCode="0.00" sourceLinked="1"/>
        <c:majorTickMark val="none"/>
        <c:minorTickMark val="none"/>
        <c:tickLblPos val="none"/>
        <c:crossAx val="-671649408"/>
        <c:crosses val="autoZero"/>
        <c:crossBetween val="midCat"/>
        <c:majorUnit val="0.2"/>
      </c:valAx>
    </c:plotArea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Termo-parameters across nozzle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'Nozzle Parameters'!$E$18</c:f>
              <c:strCache>
                <c:ptCount val="1"/>
                <c:pt idx="0">
                  <c:v>Diameter across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'Nozzle Parameters'!$B$19:$B$72</c:f>
              <c:numCache>
                <c:formatCode>0.00</c:formatCode>
                <c:ptCount val="5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</c:numCache>
            </c:numRef>
          </c:cat>
          <c:val>
            <c:numRef>
              <c:f>'Nozzle Parameters'!$E$19:$E$72</c:f>
              <c:numCache>
                <c:formatCode>0.00</c:formatCode>
                <c:ptCount val="54"/>
                <c:pt idx="0">
                  <c:v>15.54</c:v>
                </c:pt>
                <c:pt idx="1">
                  <c:v>15.017286558700343</c:v>
                </c:pt>
                <c:pt idx="2">
                  <c:v>14.494573117400687</c:v>
                </c:pt>
                <c:pt idx="3">
                  <c:v>13.971859676101031</c:v>
                </c:pt>
                <c:pt idx="4">
                  <c:v>13.449146234801375</c:v>
                </c:pt>
                <c:pt idx="5">
                  <c:v>12.926432793501721</c:v>
                </c:pt>
                <c:pt idx="6">
                  <c:v>12.403719352202065</c:v>
                </c:pt>
                <c:pt idx="7">
                  <c:v>11.88100591090241</c:v>
                </c:pt>
                <c:pt idx="8">
                  <c:v>11.358292469602755</c:v>
                </c:pt>
                <c:pt idx="9">
                  <c:v>10.835579028303098</c:v>
                </c:pt>
                <c:pt idx="10">
                  <c:v>10.312865587003444</c:v>
                </c:pt>
                <c:pt idx="11">
                  <c:v>9.7901521457037877</c:v>
                </c:pt>
                <c:pt idx="12">
                  <c:v>9.2674387044041318</c:v>
                </c:pt>
                <c:pt idx="13">
                  <c:v>8.7447252631044758</c:v>
                </c:pt>
                <c:pt idx="14">
                  <c:v>8.2220118218048199</c:v>
                </c:pt>
                <c:pt idx="15">
                  <c:v>7.6992983805051631</c:v>
                </c:pt>
                <c:pt idx="16">
                  <c:v>7.1765849392055063</c:v>
                </c:pt>
                <c:pt idx="17">
                  <c:v>6.6538714979058504</c:v>
                </c:pt>
                <c:pt idx="18">
                  <c:v>6.1311580566061945</c:v>
                </c:pt>
                <c:pt idx="19">
                  <c:v>5.6084446153065386</c:v>
                </c:pt>
                <c:pt idx="20">
                  <c:v>5.0857311740068845</c:v>
                </c:pt>
                <c:pt idx="21">
                  <c:v>5.2640207460153459</c:v>
                </c:pt>
                <c:pt idx="22">
                  <c:v>5.4423103180238055</c:v>
                </c:pt>
                <c:pt idx="23">
                  <c:v>5.6205998900322651</c:v>
                </c:pt>
                <c:pt idx="24">
                  <c:v>5.7988894620407248</c:v>
                </c:pt>
                <c:pt idx="25">
                  <c:v>5.9771790340491844</c:v>
                </c:pt>
                <c:pt idx="26">
                  <c:v>6.1554686060576431</c:v>
                </c:pt>
                <c:pt idx="27">
                  <c:v>6.3337581780661028</c:v>
                </c:pt>
                <c:pt idx="28">
                  <c:v>6.5120477500745624</c:v>
                </c:pt>
                <c:pt idx="29">
                  <c:v>6.6903373220830211</c:v>
                </c:pt>
                <c:pt idx="30">
                  <c:v>6.8686268940914808</c:v>
                </c:pt>
                <c:pt idx="31">
                  <c:v>7.0469164660999404</c:v>
                </c:pt>
                <c:pt idx="32">
                  <c:v>7.2252060381084</c:v>
                </c:pt>
                <c:pt idx="33">
                  <c:v>7.4034956101168587</c:v>
                </c:pt>
                <c:pt idx="34">
                  <c:v>7.5817851821253184</c:v>
                </c:pt>
                <c:pt idx="35">
                  <c:v>7.760074754133778</c:v>
                </c:pt>
                <c:pt idx="36">
                  <c:v>7.9383643261422376</c:v>
                </c:pt>
                <c:pt idx="37">
                  <c:v>8.1166538981506964</c:v>
                </c:pt>
                <c:pt idx="38">
                  <c:v>8.294943470159156</c:v>
                </c:pt>
                <c:pt idx="39">
                  <c:v>8.4732330421676156</c:v>
                </c:pt>
                <c:pt idx="40">
                  <c:v>8.6515226141760735</c:v>
                </c:pt>
                <c:pt idx="41">
                  <c:v>8.8298121861845331</c:v>
                </c:pt>
                <c:pt idx="42">
                  <c:v>9.008101758192991</c:v>
                </c:pt>
                <c:pt idx="43">
                  <c:v>9.1863913302014488</c:v>
                </c:pt>
                <c:pt idx="44">
                  <c:v>9.3646809022099085</c:v>
                </c:pt>
                <c:pt idx="45">
                  <c:v>9.5429704742183681</c:v>
                </c:pt>
                <c:pt idx="46">
                  <c:v>9.7212600462268242</c:v>
                </c:pt>
                <c:pt idx="47">
                  <c:v>9.8995496182352838</c:v>
                </c:pt>
                <c:pt idx="48">
                  <c:v>10.077839190243743</c:v>
                </c:pt>
                <c:pt idx="49">
                  <c:v>10.256128762252203</c:v>
                </c:pt>
                <c:pt idx="50">
                  <c:v>10.434418334260659</c:v>
                </c:pt>
                <c:pt idx="51">
                  <c:v>10.612707906269119</c:v>
                </c:pt>
                <c:pt idx="52">
                  <c:v>10.790997478277578</c:v>
                </c:pt>
                <c:pt idx="53">
                  <c:v>10.969287050286034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43-4A92-868F-F4B778BB4664}"/>
            </c:ext>
          </c:extLst>
        </c:ser>
        <c:ser>
          <c:idx val="1"/>
          <c:order val="1"/>
          <c:tx>
            <c:strRef>
              <c:f>'Nozzle Parameters'!$D$18</c:f>
              <c:strCache>
                <c:ptCount val="1"/>
                <c:pt idx="0">
                  <c:v>Pressure Mpa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9.2176501306620046E-3"/>
                  <c:y val="-6.4935064935064929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743-4A92-868F-F4B778BB4664}"/>
                </c:ext>
              </c:extLst>
            </c:dLbl>
            <c:dLbl>
              <c:idx val="53"/>
              <c:layout>
                <c:manualLayout>
                  <c:x val="-6.9132375979965202E-2"/>
                  <c:y val="-6.4935064935064929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743-4A92-868F-F4B778BB466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'Nozzle Parameters'!$B$19:$B$72</c:f>
              <c:numCache>
                <c:formatCode>0.00</c:formatCode>
                <c:ptCount val="5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</c:numCache>
            </c:numRef>
          </c:cat>
          <c:val>
            <c:numRef>
              <c:f>'Nozzle Parameters'!$D$19:$D$72</c:f>
              <c:numCache>
                <c:formatCode>0.00</c:formatCode>
                <c:ptCount val="54"/>
                <c:pt idx="0">
                  <c:v>4.9969130252874665</c:v>
                </c:pt>
                <c:pt idx="1">
                  <c:v>4.9898417435326543</c:v>
                </c:pt>
                <c:pt idx="2">
                  <c:v>4.9686948977733341</c:v>
                </c:pt>
                <c:pt idx="3">
                  <c:v>4.9336723192946845</c:v>
                </c:pt>
                <c:pt idx="4">
                  <c:v>4.8851032005846831</c:v>
                </c:pt>
                <c:pt idx="5">
                  <c:v>4.8234404135936071</c:v>
                </c:pt>
                <c:pt idx="6">
                  <c:v>4.7492527666725168</c:v>
                </c:pt>
                <c:pt idx="7">
                  <c:v>4.663215402189774</c:v>
                </c:pt>
                <c:pt idx="8">
                  <c:v>4.5660985816556741</c:v>
                </c:pt>
                <c:pt idx="9">
                  <c:v>4.4587551412148114</c:v>
                </c:pt>
                <c:pt idx="10">
                  <c:v>4.3421069265304908</c:v>
                </c:pt>
                <c:pt idx="11">
                  <c:v>4.2171305317683139</c:v>
                </c:pt>
                <c:pt idx="12">
                  <c:v>4.0848426724349842</c:v>
                </c:pt>
                <c:pt idx="13">
                  <c:v>3.9462855165363617</c:v>
                </c:pt>
                <c:pt idx="14">
                  <c:v>3.802512283594834</c:v>
                </c:pt>
                <c:pt idx="15">
                  <c:v>3.6545733975722929</c:v>
                </c:pt>
                <c:pt idx="16">
                  <c:v>3.503503449030573</c:v>
                </c:pt>
                <c:pt idx="17">
                  <c:v>3.3503091854781775</c:v>
                </c:pt>
                <c:pt idx="18">
                  <c:v>3.1959587084685976</c:v>
                </c:pt>
                <c:pt idx="19">
                  <c:v>3.0413720133324511</c:v>
                </c:pt>
                <c:pt idx="20">
                  <c:v>2.8874129640955677</c:v>
                </c:pt>
                <c:pt idx="21">
                  <c:v>2.7348827536911204</c:v>
                </c:pt>
                <c:pt idx="22">
                  <c:v>2.5845148593748575</c:v>
                </c:pt>
                <c:pt idx="23">
                  <c:v>2.4369714664371047</c:v>
                </c:pt>
                <c:pt idx="24">
                  <c:v>2.2928413007673574</c:v>
                </c:pt>
                <c:pt idx="25">
                  <c:v>2.1526387832017622</c:v>
                </c:pt>
                <c:pt idx="26">
                  <c:v>2.0168043962498037</c:v>
                </c:pt>
                <c:pt idx="27">
                  <c:v>1.8857061368903529</c:v>
                </c:pt>
                <c:pt idx="28">
                  <c:v>1.7596419175677802</c:v>
                </c:pt>
                <c:pt idx="29">
                  <c:v>1.6388427710371949</c:v>
                </c:pt>
                <c:pt idx="30">
                  <c:v>1.5234767128843894</c:v>
                </c:pt>
                <c:pt idx="31">
                  <c:v>1.4136531178477463</c:v>
                </c:pt>
                <c:pt idx="32">
                  <c:v>1.3094274718873875</c:v>
                </c:pt>
                <c:pt idx="33">
                  <c:v>1.2108063706323227</c:v>
                </c:pt>
                <c:pt idx="34">
                  <c:v>1.1177526457323801</c:v>
                </c:pt>
                <c:pt idx="35">
                  <c:v>1.0301905131102493</c:v>
                </c:pt>
                <c:pt idx="36">
                  <c:v>0.94801065055331479</c:v>
                </c:pt>
                <c:pt idx="37">
                  <c:v>0.87107512596649694</c:v>
                </c:pt>
                <c:pt idx="38">
                  <c:v>0.79922211145618871</c:v>
                </c:pt>
                <c:pt idx="39">
                  <c:v>0.73227033183786583</c:v>
                </c:pt>
                <c:pt idx="40">
                  <c:v>0.67002320883983968</c:v>
                </c:pt>
                <c:pt idx="41">
                  <c:v>0.61227267397295071</c:v>
                </c:pt>
                <c:pt idx="42">
                  <c:v>0.55880263358266757</c:v>
                </c:pt>
                <c:pt idx="43">
                  <c:v>0.50939207889300142</c:v>
                </c:pt>
                <c:pt idx="44">
                  <c:v>0.4638178418452486</c:v>
                </c:pt>
                <c:pt idx="45">
                  <c:v>0.4218570042312933</c:v>
                </c:pt>
                <c:pt idx="46">
                  <c:v>0.383288973063244</c:v>
                </c:pt>
                <c:pt idx="47">
                  <c:v>0.34789723938097861</c:v>
                </c:pt>
                <c:pt idx="48">
                  <c:v>0.31547084087168192</c:v>
                </c:pt>
                <c:pt idx="49">
                  <c:v>0.28580555087035225</c:v>
                </c:pt>
                <c:pt idx="50">
                  <c:v>0.25870481764546588</c:v>
                </c:pt>
                <c:pt idx="51">
                  <c:v>0.23398047847022288</c:v>
                </c:pt>
                <c:pt idx="52">
                  <c:v>0.21145327295611352</c:v>
                </c:pt>
                <c:pt idx="53">
                  <c:v>0.19095317959558253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743-4A92-868F-F4B778BB46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671639616"/>
        <c:axId val="-671643968"/>
      </c:lineChart>
      <c:lineChart>
        <c:grouping val="standard"/>
        <c:varyColors val="0"/>
        <c:ser>
          <c:idx val="2"/>
          <c:order val="2"/>
          <c:tx>
            <c:strRef>
              <c:f>'Nozzle Parameters'!$C$18</c:f>
              <c:strCache>
                <c:ptCount val="1"/>
                <c:pt idx="0">
                  <c:v>Temperature Celsius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1.9287932898410225E-2"/>
                  <c:y val="-5.1948051948051951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743-4A92-868F-F4B778BB4664}"/>
                </c:ext>
              </c:extLst>
            </c:dLbl>
            <c:dLbl>
              <c:idx val="53"/>
              <c:layout>
                <c:manualLayout>
                  <c:x val="-0.13596033942726457"/>
                  <c:y val="-9.9567099567099568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743-4A92-868F-F4B778BB466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'Nozzle Parameters'!$B$19:$B$72</c:f>
              <c:numCache>
                <c:formatCode>0.00</c:formatCode>
                <c:ptCount val="5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</c:numCache>
            </c:numRef>
          </c:cat>
          <c:val>
            <c:numRef>
              <c:f>'Nozzle Parameters'!$C$19:$C$72</c:f>
              <c:numCache>
                <c:formatCode>0.00</c:formatCode>
                <c:ptCount val="54"/>
                <c:pt idx="0">
                  <c:v>1360.85</c:v>
                </c:pt>
                <c:pt idx="1">
                  <c:v>1360.6237962938662</c:v>
                </c:pt>
                <c:pt idx="2">
                  <c:v>1359.945636151959</c:v>
                </c:pt>
                <c:pt idx="3">
                  <c:v>1358.8168702578766</c:v>
                </c:pt>
                <c:pt idx="4">
                  <c:v>1357.2397422855204</c:v>
                </c:pt>
                <c:pt idx="5">
                  <c:v>1355.2173777736282</c:v>
                </c:pt>
                <c:pt idx="6">
                  <c:v>1352.7537686943642</c:v>
                </c:pt>
                <c:pt idx="7">
                  <c:v>1349.853753857637</c:v>
                </c:pt>
                <c:pt idx="8">
                  <c:v>1346.5229953296921</c:v>
                </c:pt>
                <c:pt idx="9">
                  <c:v>1342.7679510787852</c:v>
                </c:pt>
                <c:pt idx="10">
                  <c:v>1338.595844091971</c:v>
                </c:pt>
                <c:pt idx="11">
                  <c:v>1334.0146282347721</c:v>
                </c:pt>
                <c:pt idx="12">
                  <c:v>1329.0329511494813</c:v>
                </c:pt>
                <c:pt idx="13">
                  <c:v>1323.6601145077614</c:v>
                </c:pt>
                <c:pt idx="14">
                  <c:v>1317.9060319489436</c:v>
                </c:pt>
                <c:pt idx="15">
                  <c:v>1311.7811850468413</c:v>
                </c:pt>
                <c:pt idx="16">
                  <c:v>1305.2965776550031</c:v>
                </c:pt>
                <c:pt idx="17">
                  <c:v>1298.4636889831911</c:v>
                </c:pt>
                <c:pt idx="18">
                  <c:v>1291.2944257566196</c:v>
                </c:pt>
                <c:pt idx="19">
                  <c:v>1283.8010738042929</c:v>
                </c:pt>
                <c:pt idx="20">
                  <c:v>1275.9962494139709</c:v>
                </c:pt>
                <c:pt idx="21">
                  <c:v>1267.892850779069</c:v>
                </c:pt>
                <c:pt idx="22">
                  <c:v>1259.5040098476118</c:v>
                </c:pt>
                <c:pt idx="23">
                  <c:v>1250.8430448654974</c:v>
                </c:pt>
                <c:pt idx="24">
                  <c:v>1241.9234138862523</c:v>
                </c:pt>
                <c:pt idx="25">
                  <c:v>1232.7586694975228</c:v>
                </c:pt>
                <c:pt idx="26">
                  <c:v>1223.3624149912123</c:v>
                </c:pt>
                <c:pt idx="27">
                  <c:v>1213.7482621797922</c:v>
                </c:pt>
                <c:pt idx="28">
                  <c:v>1203.9297910363252</c:v>
                </c:pt>
                <c:pt idx="29">
                  <c:v>1193.9205113104852</c:v>
                </c:pt>
                <c:pt idx="30">
                  <c:v>1183.7338262476892</c:v>
                </c:pt>
                <c:pt idx="31">
                  <c:v>1173.382998513709</c:v>
                </c:pt>
                <c:pt idx="32">
                  <c:v>1162.8811184030624</c:v>
                </c:pt>
                <c:pt idx="33">
                  <c:v>1152.2410743863754</c:v>
                </c:pt>
                <c:pt idx="34">
                  <c:v>1141.4755260299362</c:v>
                </c:pt>
                <c:pt idx="35">
                  <c:v>1130.5968793000491</c:v>
                </c:pt>
                <c:pt idx="36">
                  <c:v>1119.6172642456352</c:v>
                </c:pt>
                <c:pt idx="37">
                  <c:v>1108.5485150349716</c:v>
                </c:pt>
                <c:pt idx="38">
                  <c:v>1097.4021523065321</c:v>
                </c:pt>
                <c:pt idx="39">
                  <c:v>1086.1893677796809</c:v>
                </c:pt>
                <c:pt idx="40">
                  <c:v>1074.9210110584515</c:v>
                </c:pt>
                <c:pt idx="41">
                  <c:v>1063.6075785508212</c:v>
                </c:pt>
                <c:pt idx="42">
                  <c:v>1052.2592044167282</c:v>
                </c:pt>
                <c:pt idx="43">
                  <c:v>1040.8856534505128</c:v>
                </c:pt>
                <c:pt idx="44">
                  <c:v>1029.4963157974369</c:v>
                </c:pt>
                <c:pt idx="45">
                  <c:v>1018.1002033993408</c:v>
                </c:pt>
                <c:pt idx="46">
                  <c:v>1006.705948061267</c:v>
                </c:pt>
                <c:pt idx="47">
                  <c:v>995.32180102889288</c:v>
                </c:pt>
                <c:pt idx="48">
                  <c:v>983.95563396575665</c:v>
                </c:pt>
                <c:pt idx="49">
                  <c:v>972.61494121945839</c:v>
                </c:pt>
                <c:pt idx="50">
                  <c:v>961.30684326710832</c:v>
                </c:pt>
                <c:pt idx="51">
                  <c:v>950.03809123221004</c:v>
                </c:pt>
                <c:pt idx="52">
                  <c:v>938.81507236778589</c:v>
                </c:pt>
                <c:pt idx="53">
                  <c:v>927.64381640375723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743-4A92-868F-F4B778BB46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671649952"/>
        <c:axId val="-671641248"/>
      </c:lineChart>
      <c:catAx>
        <c:axId val="-6716396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Mach number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71643968"/>
        <c:crosses val="autoZero"/>
        <c:auto val="1"/>
        <c:lblAlgn val="ctr"/>
        <c:lblOffset val="100"/>
        <c:noMultiLvlLbl val="0"/>
      </c:catAx>
      <c:valAx>
        <c:axId val="-671643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mm &amp;</a:t>
                </a:r>
                <a:r>
                  <a:rPr lang="es-MX" baseline="0"/>
                  <a:t> Mpa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71639616"/>
        <c:crosses val="autoZero"/>
        <c:crossBetween val="between"/>
      </c:valAx>
      <c:valAx>
        <c:axId val="-671641248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Celsius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71649952"/>
        <c:crosses val="max"/>
        <c:crossBetween val="between"/>
      </c:valAx>
      <c:catAx>
        <c:axId val="-671649952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-67164124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1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s-MX"/>
              <a:t>Optimized nozzle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1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'Nozzle Parameters'!$I$24</c:f>
              <c:strCache>
                <c:ptCount val="1"/>
                <c:pt idx="0">
                  <c:v>Nozzle mass (ASTM A53) gr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'Nozzle Parameters'!$G$25:$G$39</c:f>
              <c:numCache>
                <c:formatCode>0.00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7.66</c:v>
                </c:pt>
              </c:numCache>
            </c:numRef>
          </c:cat>
          <c:val>
            <c:numRef>
              <c:f>'Nozzle Parameters'!$I$25:$I$39</c:f>
              <c:numCache>
                <c:formatCode>General</c:formatCode>
                <c:ptCount val="15"/>
                <c:pt idx="0">
                  <c:v>80.819999999999993</c:v>
                </c:pt>
                <c:pt idx="1">
                  <c:v>85.84</c:v>
                </c:pt>
                <c:pt idx="2">
                  <c:v>91.45</c:v>
                </c:pt>
                <c:pt idx="3">
                  <c:v>96.93</c:v>
                </c:pt>
                <c:pt idx="4">
                  <c:v>102.34</c:v>
                </c:pt>
                <c:pt idx="5">
                  <c:v>107.68</c:v>
                </c:pt>
                <c:pt idx="6">
                  <c:v>112.58000000000001</c:v>
                </c:pt>
                <c:pt idx="7">
                  <c:v>118.21</c:v>
                </c:pt>
                <c:pt idx="8">
                  <c:v>123.09</c:v>
                </c:pt>
                <c:pt idx="9">
                  <c:v>128.6</c:v>
                </c:pt>
                <c:pt idx="10">
                  <c:v>133.60000000000002</c:v>
                </c:pt>
                <c:pt idx="11">
                  <c:v>138.88999999999999</c:v>
                </c:pt>
                <c:pt idx="12">
                  <c:v>144.11000000000001</c:v>
                </c:pt>
                <c:pt idx="13">
                  <c:v>149.1</c:v>
                </c:pt>
                <c:pt idx="14">
                  <c:v>150.72999999999999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E9-401B-97A6-62F230BCDD56}"/>
            </c:ext>
          </c:extLst>
        </c:ser>
        <c:ser>
          <c:idx val="1"/>
          <c:order val="1"/>
          <c:tx>
            <c:strRef>
              <c:f>'Nozzle Parameters'!$L$24</c:f>
              <c:strCache>
                <c:ptCount val="1"/>
                <c:pt idx="0">
                  <c:v>T/W RocktE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'Nozzle Parameters'!$G$25:$G$39</c:f>
              <c:numCache>
                <c:formatCode>0.00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7.66</c:v>
                </c:pt>
              </c:numCache>
            </c:numRef>
          </c:cat>
          <c:val>
            <c:numRef>
              <c:f>'Nozzle Parameters'!$L$25:$L$39</c:f>
              <c:numCache>
                <c:formatCode>General</c:formatCode>
                <c:ptCount val="15"/>
                <c:pt idx="0">
                  <c:v>31.490864525596983</c:v>
                </c:pt>
                <c:pt idx="1">
                  <c:v>32.607860494231488</c:v>
                </c:pt>
                <c:pt idx="2">
                  <c:v>33.702876734969003</c:v>
                </c:pt>
                <c:pt idx="3">
                  <c:v>34.290271509939394</c:v>
                </c:pt>
                <c:pt idx="4">
                  <c:v>34.660469860616814</c:v>
                </c:pt>
                <c:pt idx="5">
                  <c:v>34.887186550821561</c:v>
                </c:pt>
                <c:pt idx="6">
                  <c:v>34.981061232162261</c:v>
                </c:pt>
                <c:pt idx="7">
                  <c:v>35.056544863973748</c:v>
                </c:pt>
                <c:pt idx="8">
                  <c:v>35.008768463797068</c:v>
                </c:pt>
                <c:pt idx="9">
                  <c:v>34.946150823587097</c:v>
                </c:pt>
                <c:pt idx="10">
                  <c:v>34.826279280954815</c:v>
                </c:pt>
                <c:pt idx="11">
                  <c:v>34.700347241776001</c:v>
                </c:pt>
                <c:pt idx="12">
                  <c:v>34.507539501620592</c:v>
                </c:pt>
                <c:pt idx="13">
                  <c:v>34.321455653202172</c:v>
                </c:pt>
                <c:pt idx="14">
                  <c:v>34.283521878188459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E9-401B-97A6-62F230BCDD56}"/>
            </c:ext>
          </c:extLst>
        </c:ser>
        <c:ser>
          <c:idx val="4"/>
          <c:order val="4"/>
          <c:tx>
            <c:strRef>
              <c:f>'Nozzle Parameters'!$H$24</c:f>
              <c:strCache>
                <c:ptCount val="1"/>
                <c:pt idx="0">
                  <c:v>Thrust max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val>
            <c:numRef>
              <c:f>'Nozzle Parameters'!$H$25:$H$39</c:f>
              <c:numCache>
                <c:formatCode>General</c:formatCode>
                <c:ptCount val="15"/>
                <c:pt idx="0">
                  <c:v>434</c:v>
                </c:pt>
                <c:pt idx="1">
                  <c:v>451</c:v>
                </c:pt>
                <c:pt idx="2">
                  <c:v>468</c:v>
                </c:pt>
                <c:pt idx="3">
                  <c:v>478</c:v>
                </c:pt>
                <c:pt idx="4">
                  <c:v>485</c:v>
                </c:pt>
                <c:pt idx="5">
                  <c:v>490</c:v>
                </c:pt>
                <c:pt idx="6">
                  <c:v>493</c:v>
                </c:pt>
                <c:pt idx="7">
                  <c:v>496</c:v>
                </c:pt>
                <c:pt idx="8">
                  <c:v>497</c:v>
                </c:pt>
                <c:pt idx="9">
                  <c:v>498</c:v>
                </c:pt>
                <c:pt idx="10">
                  <c:v>498</c:v>
                </c:pt>
                <c:pt idx="11">
                  <c:v>498</c:v>
                </c:pt>
                <c:pt idx="12">
                  <c:v>497</c:v>
                </c:pt>
                <c:pt idx="13">
                  <c:v>496</c:v>
                </c:pt>
                <c:pt idx="14">
                  <c:v>496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CAE9-401B-97A6-62F230BCDD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671653760"/>
        <c:axId val="-671650496"/>
      </c:lineChart>
      <c:lineChart>
        <c:grouping val="standard"/>
        <c:varyColors val="0"/>
        <c:ser>
          <c:idx val="2"/>
          <c:order val="2"/>
          <c:tx>
            <c:strRef>
              <c:f>'Nozzle Parameters'!$M$24</c:f>
              <c:strCache>
                <c:ptCount val="1"/>
                <c:pt idx="0">
                  <c:v>d(T/W)/dEXPr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'Nozzle Parameters'!$G$25:$G$39</c:f>
              <c:numCache>
                <c:formatCode>0.00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7.66</c:v>
                </c:pt>
              </c:numCache>
            </c:numRef>
          </c:cat>
          <c:val>
            <c:numRef>
              <c:f>'Nozzle Parameters'!$M$25:$M$39</c:f>
              <c:numCache>
                <c:formatCode>General</c:formatCode>
                <c:ptCount val="15"/>
                <c:pt idx="0">
                  <c:v>2.2339919372690105</c:v>
                </c:pt>
                <c:pt idx="1">
                  <c:v>2.1900324814750292</c:v>
                </c:pt>
                <c:pt idx="2">
                  <c:v>1.1747895499407832</c:v>
                </c:pt>
                <c:pt idx="3">
                  <c:v>0.74039670135483959</c:v>
                </c:pt>
                <c:pt idx="4">
                  <c:v>0.45343338040949277</c:v>
                </c:pt>
                <c:pt idx="5">
                  <c:v>0.18774936268140152</c:v>
                </c:pt>
                <c:pt idx="6">
                  <c:v>0.15096726362297375</c:v>
                </c:pt>
                <c:pt idx="7">
                  <c:v>-9.5552800353360112E-2</c:v>
                </c:pt>
                <c:pt idx="8">
                  <c:v>-0.12523528041994325</c:v>
                </c:pt>
                <c:pt idx="9">
                  <c:v>-0.23974308526456412</c:v>
                </c:pt>
                <c:pt idx="10">
                  <c:v>-0.25186407835762736</c:v>
                </c:pt>
                <c:pt idx="11">
                  <c:v>-0.38561548031081827</c:v>
                </c:pt>
                <c:pt idx="12">
                  <c:v>-0.37216769683683992</c:v>
                </c:pt>
                <c:pt idx="13">
                  <c:v>-0.23708609383570312</c:v>
                </c:pt>
                <c:pt idx="14">
                  <c:v>-0.23708609383570312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CAE9-401B-97A6-62F230BCDD56}"/>
            </c:ext>
          </c:extLst>
        </c:ser>
        <c:ser>
          <c:idx val="3"/>
          <c:order val="3"/>
          <c:tx>
            <c:strRef>
              <c:f>'Nozzle Parameters'!$J$24</c:f>
              <c:strCache>
                <c:ptCount val="1"/>
                <c:pt idx="0">
                  <c:v>Engine mass kg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triang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'Nozzle Parameters'!$G$25:$G$39</c:f>
              <c:numCache>
                <c:formatCode>0.00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7.66</c:v>
                </c:pt>
              </c:numCache>
            </c:numRef>
          </c:cat>
          <c:val>
            <c:numRef>
              <c:f>'Nozzle Parameters'!$J$25:$J$39</c:f>
              <c:numCache>
                <c:formatCode>General</c:formatCode>
                <c:ptCount val="15"/>
                <c:pt idx="0">
                  <c:v>1.4048699999999998</c:v>
                </c:pt>
                <c:pt idx="1">
                  <c:v>1.4098899999999999</c:v>
                </c:pt>
                <c:pt idx="2">
                  <c:v>1.4155</c:v>
                </c:pt>
                <c:pt idx="3">
                  <c:v>1.4209799999999999</c:v>
                </c:pt>
                <c:pt idx="4">
                  <c:v>1.4263899999999998</c:v>
                </c:pt>
                <c:pt idx="5">
                  <c:v>1.4317299999999999</c:v>
                </c:pt>
                <c:pt idx="6">
                  <c:v>1.4366299999999999</c:v>
                </c:pt>
                <c:pt idx="7">
                  <c:v>1.4422600000000001</c:v>
                </c:pt>
                <c:pt idx="8">
                  <c:v>1.4471399999999999</c:v>
                </c:pt>
                <c:pt idx="9">
                  <c:v>1.4526499999999998</c:v>
                </c:pt>
                <c:pt idx="10">
                  <c:v>1.4576500000000001</c:v>
                </c:pt>
                <c:pt idx="11">
                  <c:v>1.4629400000000001</c:v>
                </c:pt>
                <c:pt idx="12">
                  <c:v>1.4681599999999999</c:v>
                </c:pt>
                <c:pt idx="13">
                  <c:v>1.47315</c:v>
                </c:pt>
                <c:pt idx="14">
                  <c:v>1.47478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CAE9-401B-97A6-62F230BCDD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671644512"/>
        <c:axId val="-671640160"/>
      </c:lineChart>
      <c:catAx>
        <c:axId val="-6716537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-671650496"/>
        <c:crosses val="autoZero"/>
        <c:auto val="1"/>
        <c:lblAlgn val="ctr"/>
        <c:lblOffset val="100"/>
        <c:noMultiLvlLbl val="0"/>
      </c:catAx>
      <c:valAx>
        <c:axId val="-671650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Mass (gr) ||</a:t>
                </a:r>
                <a:r>
                  <a:rPr lang="es-MX" baseline="0"/>
                  <a:t> Thrust (N)</a:t>
                </a:r>
                <a:endParaRPr lang="es-MX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s-MX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-671653760"/>
        <c:crosses val="autoZero"/>
        <c:crossBetween val="between"/>
      </c:valAx>
      <c:valAx>
        <c:axId val="-671640160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deritaive || </a:t>
                </a:r>
                <a:r>
                  <a:rPr lang="es-MX" sz="800" b="0" i="1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T/W ratio </a:t>
                </a:r>
                <a:endParaRPr lang="es-MX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s-MX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-671644512"/>
        <c:crosses val="max"/>
        <c:crossBetween val="between"/>
      </c:valAx>
      <c:catAx>
        <c:axId val="-671644512"/>
        <c:scaling>
          <c:orientation val="minMax"/>
        </c:scaling>
        <c:delete val="1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Expansion Ratio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-67164016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1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b="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Fig. 1 -- Effect of Temperature on Yield Strength (Fty)
1/2 hr. exposure</a:t>
            </a:r>
          </a:p>
        </c:rich>
      </c:tx>
      <c:layout>
        <c:manualLayout>
          <c:xMode val="edge"/>
          <c:yMode val="edge"/>
          <c:x val="0.3307888494136253"/>
          <c:y val="3.859671284404957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5419847328244281E-2"/>
          <c:y val="0.21052631578947367"/>
          <c:w val="0.63486005089058528"/>
          <c:h val="0.55438596491228065"/>
        </c:manualLayout>
      </c:layout>
      <c:scatterChart>
        <c:scatterStyle val="smoothMarker"/>
        <c:varyColors val="0"/>
        <c:ser>
          <c:idx val="0"/>
          <c:order val="0"/>
          <c:tx>
            <c:v>Low Alloy Steel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'[2]Elevated Temperatures'!$R$22:$R$26</c:f>
              <c:numCache>
                <c:formatCode>General</c:formatCode>
                <c:ptCount val="5"/>
                <c:pt idx="0">
                  <c:v>80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</c:numCache>
            </c:numRef>
          </c:xVal>
          <c:yVal>
            <c:numRef>
              <c:f>'[2]Elevated Temperatures'!$S$22:$S$26</c:f>
              <c:numCache>
                <c:formatCode>General</c:formatCode>
                <c:ptCount val="5"/>
                <c:pt idx="0">
                  <c:v>100</c:v>
                </c:pt>
                <c:pt idx="1">
                  <c:v>95</c:v>
                </c:pt>
                <c:pt idx="2">
                  <c:v>87</c:v>
                </c:pt>
                <c:pt idx="3">
                  <c:v>79</c:v>
                </c:pt>
                <c:pt idx="4">
                  <c:v>68.5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574-4B71-B903-B5F70A82AC3B}"/>
            </c:ext>
          </c:extLst>
        </c:ser>
        <c:ser>
          <c:idx val="1"/>
          <c:order val="1"/>
          <c:tx>
            <c:v>S.Steel, 301 (1/2 hard)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'[2]Elevated Temperatures'!$R$22:$R$26</c:f>
              <c:numCache>
                <c:formatCode>General</c:formatCode>
                <c:ptCount val="5"/>
                <c:pt idx="0">
                  <c:v>80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</c:numCache>
            </c:numRef>
          </c:xVal>
          <c:yVal>
            <c:numRef>
              <c:f>'[2]Elevated Temperatures'!$T$22:$T$26</c:f>
              <c:numCache>
                <c:formatCode>General</c:formatCode>
                <c:ptCount val="5"/>
                <c:pt idx="0">
                  <c:v>100</c:v>
                </c:pt>
                <c:pt idx="1">
                  <c:v>92.5</c:v>
                </c:pt>
                <c:pt idx="2">
                  <c:v>86</c:v>
                </c:pt>
                <c:pt idx="3">
                  <c:v>84</c:v>
                </c:pt>
                <c:pt idx="4">
                  <c:v>80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574-4B71-B903-B5F70A82AC3B}"/>
            </c:ext>
          </c:extLst>
        </c:ser>
        <c:ser>
          <c:idx val="2"/>
          <c:order val="2"/>
          <c:tx>
            <c:v>Alum. 2024-T3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'[2]Elevated Temperatures'!$V$22:$V$26</c:f>
              <c:numCache>
                <c:formatCode>General</c:formatCode>
                <c:ptCount val="5"/>
                <c:pt idx="0">
                  <c:v>80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</c:numCache>
            </c:numRef>
          </c:xVal>
          <c:yVal>
            <c:numRef>
              <c:f>'[2]Elevated Temperatures'!$W$22:$W$26</c:f>
              <c:numCache>
                <c:formatCode>General</c:formatCode>
                <c:ptCount val="5"/>
                <c:pt idx="0">
                  <c:v>100</c:v>
                </c:pt>
                <c:pt idx="1">
                  <c:v>94.2</c:v>
                </c:pt>
                <c:pt idx="2">
                  <c:v>87</c:v>
                </c:pt>
                <c:pt idx="3">
                  <c:v>77</c:v>
                </c:pt>
                <c:pt idx="4">
                  <c:v>50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574-4B71-B903-B5F70A82AC3B}"/>
            </c:ext>
          </c:extLst>
        </c:ser>
        <c:ser>
          <c:idx val="3"/>
          <c:order val="3"/>
          <c:tx>
            <c:v>Alum. 6061-T6</c:v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none"/>
          </c:marker>
          <c:xVal>
            <c:numRef>
              <c:f>'[2]Elevated Temperatures'!$V$22:$V$26</c:f>
              <c:numCache>
                <c:formatCode>General</c:formatCode>
                <c:ptCount val="5"/>
                <c:pt idx="0">
                  <c:v>80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</c:numCache>
            </c:numRef>
          </c:xVal>
          <c:yVal>
            <c:numRef>
              <c:f>'[2]Elevated Temperatures'!$X$22:$X$26</c:f>
              <c:numCache>
                <c:formatCode>General</c:formatCode>
                <c:ptCount val="5"/>
                <c:pt idx="0">
                  <c:v>100</c:v>
                </c:pt>
                <c:pt idx="1">
                  <c:v>92.2</c:v>
                </c:pt>
                <c:pt idx="2">
                  <c:v>83.3</c:v>
                </c:pt>
                <c:pt idx="3">
                  <c:v>69.5</c:v>
                </c:pt>
                <c:pt idx="4">
                  <c:v>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574-4B71-B903-B5F70A82AC3B}"/>
            </c:ext>
          </c:extLst>
        </c:ser>
        <c:ser>
          <c:idx val="4"/>
          <c:order val="4"/>
          <c:tx>
            <c:v>Low carbon steel (SAE1020)</c:v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Ref>
              <c:f>'[2]Elevated Temperatures'!$T$55:$T$59</c:f>
              <c:numCache>
                <c:formatCode>General</c:formatCode>
                <c:ptCount val="5"/>
                <c:pt idx="0">
                  <c:v>85</c:v>
                </c:pt>
                <c:pt idx="1">
                  <c:v>900</c:v>
                </c:pt>
                <c:pt idx="2">
                  <c:v>1000</c:v>
                </c:pt>
                <c:pt idx="3">
                  <c:v>1300</c:v>
                </c:pt>
                <c:pt idx="4">
                  <c:v>1400</c:v>
                </c:pt>
              </c:numCache>
            </c:numRef>
          </c:xVal>
          <c:yVal>
            <c:numRef>
              <c:f>'[2]Elevated Temperatures'!$U$55:$U$59</c:f>
              <c:numCache>
                <c:formatCode>General</c:formatCode>
                <c:ptCount val="5"/>
                <c:pt idx="0">
                  <c:v>100</c:v>
                </c:pt>
                <c:pt idx="1">
                  <c:v>55.952380952380956</c:v>
                </c:pt>
                <c:pt idx="2">
                  <c:v>47.857142857142861</c:v>
                </c:pt>
                <c:pt idx="3">
                  <c:v>17.559523809523807</c:v>
                </c:pt>
                <c:pt idx="4">
                  <c:v>8.9285714285714288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574-4B71-B903-B5F70A82AC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671648864"/>
        <c:axId val="-671639072"/>
      </c:scatterChart>
      <c:valAx>
        <c:axId val="-671648864"/>
        <c:scaling>
          <c:orientation val="minMax"/>
        </c:scaling>
        <c:delete val="0"/>
        <c:axPos val="b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Material temperature (F)</a:t>
                </a:r>
              </a:p>
            </c:rich>
          </c:tx>
          <c:layout>
            <c:manualLayout>
              <c:xMode val="edge"/>
              <c:yMode val="edge"/>
              <c:x val="0.34223921267267338"/>
              <c:y val="0.9122808679663705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671639072"/>
        <c:crosses val="autoZero"/>
        <c:crossBetween val="midCat"/>
        <c:majorUnit val="100"/>
      </c:valAx>
      <c:valAx>
        <c:axId val="-671639072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of Fty at Room Temp</a:t>
                </a:r>
              </a:p>
            </c:rich>
          </c:tx>
          <c:layout>
            <c:manualLayout>
              <c:xMode val="edge"/>
              <c:yMode val="edge"/>
              <c:x val="6.3613026094510462E-3"/>
              <c:y val="0.2526313388633907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67164886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935573028618952"/>
          <c:y val="0.33063392142827064"/>
          <c:w val="0.22594025994275468"/>
          <c:h val="0.3225034036520836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orientation="landscape" horizontalDpi="0" verticalDpi="0"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Fig. 2 -- Effect of Temperature on Ultimate Strength (Ftu)
1/2 hr. exposure</a:t>
            </a:r>
          </a:p>
        </c:rich>
      </c:tx>
      <c:layout>
        <c:manualLayout>
          <c:xMode val="edge"/>
          <c:yMode val="edge"/>
          <c:x val="0.32780618693909719"/>
          <c:y val="3.859671284404957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438775510204081E-2"/>
          <c:y val="0.21052631578947367"/>
          <c:w val="0.63520408163265307"/>
          <c:h val="0.55438596491228065"/>
        </c:manualLayout>
      </c:layout>
      <c:scatterChart>
        <c:scatterStyle val="smoothMarker"/>
        <c:varyColors val="0"/>
        <c:ser>
          <c:idx val="0"/>
          <c:order val="0"/>
          <c:tx>
            <c:v>Low Alloy Steel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'[2]Elevated Temperatures'!$R$32:$R$36</c:f>
              <c:numCache>
                <c:formatCode>General</c:formatCode>
                <c:ptCount val="5"/>
                <c:pt idx="0">
                  <c:v>80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</c:numCache>
            </c:numRef>
          </c:xVal>
          <c:yVal>
            <c:numRef>
              <c:f>'[2]Elevated Temperatures'!$S$32:$S$36</c:f>
              <c:numCache>
                <c:formatCode>General</c:formatCode>
                <c:ptCount val="5"/>
                <c:pt idx="0">
                  <c:v>100</c:v>
                </c:pt>
                <c:pt idx="1">
                  <c:v>98</c:v>
                </c:pt>
                <c:pt idx="2">
                  <c:v>95</c:v>
                </c:pt>
                <c:pt idx="3">
                  <c:v>89</c:v>
                </c:pt>
                <c:pt idx="4">
                  <c:v>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30B-42B8-AE00-3D86FBCF410E}"/>
            </c:ext>
          </c:extLst>
        </c:ser>
        <c:ser>
          <c:idx val="1"/>
          <c:order val="1"/>
          <c:tx>
            <c:v>S.Steel, 301 (1/2 hard)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'[2]Elevated Temperatures'!$R$32:$R$36</c:f>
              <c:numCache>
                <c:formatCode>General</c:formatCode>
                <c:ptCount val="5"/>
                <c:pt idx="0">
                  <c:v>80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</c:numCache>
            </c:numRef>
          </c:xVal>
          <c:yVal>
            <c:numRef>
              <c:f>'[2]Elevated Temperatures'!$T$32:$T$36</c:f>
              <c:numCache>
                <c:formatCode>General</c:formatCode>
                <c:ptCount val="5"/>
                <c:pt idx="0">
                  <c:v>100</c:v>
                </c:pt>
                <c:pt idx="1">
                  <c:v>89.5</c:v>
                </c:pt>
                <c:pt idx="2">
                  <c:v>79.5</c:v>
                </c:pt>
                <c:pt idx="3">
                  <c:v>72.5</c:v>
                </c:pt>
                <c:pt idx="4">
                  <c:v>67.5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30B-42B8-AE00-3D86FBCF410E}"/>
            </c:ext>
          </c:extLst>
        </c:ser>
        <c:ser>
          <c:idx val="2"/>
          <c:order val="2"/>
          <c:tx>
            <c:v>Alum. 2024-T3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'[2]Elevated Temperatures'!$V$32:$V$36</c:f>
              <c:numCache>
                <c:formatCode>General</c:formatCode>
                <c:ptCount val="5"/>
                <c:pt idx="0">
                  <c:v>80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</c:numCache>
            </c:numRef>
          </c:xVal>
          <c:yVal>
            <c:numRef>
              <c:f>'[2]Elevated Temperatures'!$W$32:$W$36</c:f>
              <c:numCache>
                <c:formatCode>General</c:formatCode>
                <c:ptCount val="5"/>
                <c:pt idx="0">
                  <c:v>100</c:v>
                </c:pt>
                <c:pt idx="1">
                  <c:v>92</c:v>
                </c:pt>
                <c:pt idx="2">
                  <c:v>84</c:v>
                </c:pt>
                <c:pt idx="3">
                  <c:v>75</c:v>
                </c:pt>
                <c:pt idx="4">
                  <c:v>50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30B-42B8-AE00-3D86FBCF410E}"/>
            </c:ext>
          </c:extLst>
        </c:ser>
        <c:ser>
          <c:idx val="3"/>
          <c:order val="3"/>
          <c:tx>
            <c:v>Alum. 6061-T6</c:v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none"/>
          </c:marker>
          <c:xVal>
            <c:numRef>
              <c:f>'[2]Elevated Temperatures'!$V$32:$V$36</c:f>
              <c:numCache>
                <c:formatCode>General</c:formatCode>
                <c:ptCount val="5"/>
                <c:pt idx="0">
                  <c:v>80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</c:numCache>
            </c:numRef>
          </c:xVal>
          <c:yVal>
            <c:numRef>
              <c:f>'[2]Elevated Temperatures'!$X$32:$X$36</c:f>
              <c:numCache>
                <c:formatCode>General</c:formatCode>
                <c:ptCount val="5"/>
                <c:pt idx="0">
                  <c:v>100</c:v>
                </c:pt>
                <c:pt idx="1">
                  <c:v>91</c:v>
                </c:pt>
                <c:pt idx="2">
                  <c:v>80</c:v>
                </c:pt>
                <c:pt idx="3">
                  <c:v>64</c:v>
                </c:pt>
                <c:pt idx="4">
                  <c:v>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30B-42B8-AE00-3D86FBCF410E}"/>
            </c:ext>
          </c:extLst>
        </c:ser>
        <c:ser>
          <c:idx val="4"/>
          <c:order val="4"/>
          <c:tx>
            <c:v>Low carbon steel (SAE1020)</c:v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Ref>
              <c:f>'[2]Elevated Temperatures'!$T$65:$T$70</c:f>
              <c:numCache>
                <c:formatCode>General</c:formatCode>
                <c:ptCount val="6"/>
                <c:pt idx="0">
                  <c:v>85</c:v>
                </c:pt>
                <c:pt idx="1">
                  <c:v>900</c:v>
                </c:pt>
                <c:pt idx="2">
                  <c:v>1000</c:v>
                </c:pt>
                <c:pt idx="3">
                  <c:v>1200</c:v>
                </c:pt>
                <c:pt idx="4">
                  <c:v>1300</c:v>
                </c:pt>
                <c:pt idx="5">
                  <c:v>1400</c:v>
                </c:pt>
              </c:numCache>
            </c:numRef>
          </c:xVal>
          <c:yVal>
            <c:numRef>
              <c:f>'[2]Elevated Temperatures'!$U$65:$U$70</c:f>
              <c:numCache>
                <c:formatCode>General</c:formatCode>
                <c:ptCount val="6"/>
                <c:pt idx="0">
                  <c:v>100</c:v>
                </c:pt>
                <c:pt idx="1">
                  <c:v>72.916666666666657</c:v>
                </c:pt>
                <c:pt idx="2">
                  <c:v>58.493589743589745</c:v>
                </c:pt>
                <c:pt idx="3">
                  <c:v>32.051282051282051</c:v>
                </c:pt>
                <c:pt idx="4">
                  <c:v>21.634615384615387</c:v>
                </c:pt>
                <c:pt idx="5">
                  <c:v>14.463141025641027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730B-42B8-AE00-3D86FBCF41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671648320"/>
        <c:axId val="-671647776"/>
      </c:scatterChart>
      <c:valAx>
        <c:axId val="-671648320"/>
        <c:scaling>
          <c:orientation val="minMax"/>
        </c:scaling>
        <c:delete val="0"/>
        <c:axPos val="b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Material temperature (F)</a:t>
                </a:r>
              </a:p>
            </c:rich>
          </c:tx>
          <c:layout>
            <c:manualLayout>
              <c:xMode val="edge"/>
              <c:yMode val="edge"/>
              <c:x val="0.34183674986802287"/>
              <c:y val="0.9122808679663705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671647776"/>
        <c:crosses val="autoZero"/>
        <c:crossBetween val="midCat"/>
        <c:majorUnit val="100"/>
      </c:valAx>
      <c:valAx>
        <c:axId val="-671647776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of  Ftu at Room Temp</a:t>
                </a:r>
              </a:p>
            </c:rich>
          </c:tx>
          <c:layout>
            <c:manualLayout>
              <c:xMode val="edge"/>
              <c:yMode val="edge"/>
              <c:x val="6.377469459377067E-3"/>
              <c:y val="0.2456142012997038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67164832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888168900983699"/>
          <c:y val="0.33063392142827064"/>
          <c:w val="0.22638492337891192"/>
          <c:h val="0.3225034036520836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Fig. 3 -- Comparison of heating  rate on Yield Strength
2024-T3 aluminum</a:t>
            </a:r>
          </a:p>
        </c:rich>
      </c:tx>
      <c:layout>
        <c:manualLayout>
          <c:xMode val="edge"/>
          <c:yMode val="edge"/>
          <c:x val="0.20861692756889205"/>
          <c:y val="3.584254836997834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646258503401361"/>
          <c:y val="0.21505376344086022"/>
          <c:w val="0.48526077097505671"/>
          <c:h val="0.54480286738351258"/>
        </c:manualLayout>
      </c:layout>
      <c:scatterChart>
        <c:scatterStyle val="smoothMarker"/>
        <c:varyColors val="0"/>
        <c:ser>
          <c:idx val="0"/>
          <c:order val="0"/>
          <c:tx>
            <c:v>1/2 hr. exposure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'[2]Elevated Temperatures'!$R$43:$R$50</c:f>
              <c:numCache>
                <c:formatCode>General</c:formatCode>
                <c:ptCount val="8"/>
                <c:pt idx="0">
                  <c:v>80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  <c:pt idx="6">
                  <c:v>600</c:v>
                </c:pt>
                <c:pt idx="7">
                  <c:v>700</c:v>
                </c:pt>
              </c:numCache>
            </c:numRef>
          </c:xVal>
          <c:yVal>
            <c:numRef>
              <c:f>'[2]Elevated Temperatures'!$T$43:$T$50</c:f>
              <c:numCache>
                <c:formatCode>General</c:formatCode>
                <c:ptCount val="8"/>
                <c:pt idx="0">
                  <c:v>100</c:v>
                </c:pt>
                <c:pt idx="1">
                  <c:v>99.61904761904762</c:v>
                </c:pt>
                <c:pt idx="2">
                  <c:v>95.61904761904762</c:v>
                </c:pt>
                <c:pt idx="3">
                  <c:v>90.285714285714278</c:v>
                </c:pt>
                <c:pt idx="4">
                  <c:v>84.000000000000014</c:v>
                </c:pt>
                <c:pt idx="5">
                  <c:v>60.952380952380956</c:v>
                </c:pt>
                <c:pt idx="6">
                  <c:v>34.095238095238095</c:v>
                </c:pt>
                <c:pt idx="7">
                  <c:v>14.476190476190476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92B-4212-AEFF-2CFAE7F29B92}"/>
            </c:ext>
          </c:extLst>
        </c:ser>
        <c:ser>
          <c:idx val="1"/>
          <c:order val="1"/>
          <c:tx>
            <c:v>Rapid heating (100 deg.F/sec)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'[2]Elevated Temperatures'!$R$43:$R$50</c:f>
              <c:numCache>
                <c:formatCode>General</c:formatCode>
                <c:ptCount val="8"/>
                <c:pt idx="0">
                  <c:v>80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  <c:pt idx="6">
                  <c:v>600</c:v>
                </c:pt>
                <c:pt idx="7">
                  <c:v>700</c:v>
                </c:pt>
              </c:numCache>
            </c:numRef>
          </c:xVal>
          <c:yVal>
            <c:numRef>
              <c:f>'[2]Elevated Temperatures'!$V$43:$V$50</c:f>
              <c:numCache>
                <c:formatCode>General</c:formatCode>
                <c:ptCount val="8"/>
                <c:pt idx="3">
                  <c:v>95.047619047619051</c:v>
                </c:pt>
                <c:pt idx="4">
                  <c:v>87.047619047619051</c:v>
                </c:pt>
                <c:pt idx="5">
                  <c:v>72.571428571428569</c:v>
                </c:pt>
                <c:pt idx="6">
                  <c:v>54.857142857142861</c:v>
                </c:pt>
                <c:pt idx="7">
                  <c:v>35.047619047619044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92B-4212-AEFF-2CFAE7F29B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671647232"/>
        <c:axId val="-671652672"/>
      </c:scatterChart>
      <c:valAx>
        <c:axId val="-671647232"/>
        <c:scaling>
          <c:orientation val="minMax"/>
        </c:scaling>
        <c:delete val="0"/>
        <c:axPos val="b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Temp (F)</a:t>
                </a:r>
              </a:p>
            </c:rich>
          </c:tx>
          <c:layout>
            <c:manualLayout>
              <c:xMode val="edge"/>
              <c:yMode val="edge"/>
              <c:x val="0.35600924671468875"/>
              <c:y val="0.9103943461985284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671652672"/>
        <c:crosses val="autoZero"/>
        <c:crossBetween val="midCat"/>
        <c:majorUnit val="100"/>
      </c:valAx>
      <c:valAx>
        <c:axId val="-671652672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of Fty at Room Temp</a:t>
                </a:r>
              </a:p>
            </c:rich>
          </c:tx>
          <c:layout>
            <c:manualLayout>
              <c:xMode val="edge"/>
              <c:yMode val="edge"/>
              <c:x val="1.133795669067772E-2"/>
              <c:y val="0.247311862656512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67164723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8997102576828662"/>
          <c:y val="0.3795132165856317"/>
          <c:w val="0.28621018837721945"/>
          <c:h val="0.2326943763177144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Fig. 4 -- Comparison of heating rate on Ultimate Strength
2024-T3 aluminum</a:t>
            </a:r>
          </a:p>
        </c:rich>
      </c:tx>
      <c:layout>
        <c:manualLayout>
          <c:xMode val="edge"/>
          <c:yMode val="edge"/>
          <c:x val="0.20181401941452379"/>
          <c:y val="3.571454182981225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646258503401361"/>
          <c:y val="0.21428571428571427"/>
          <c:w val="0.48526077097505671"/>
          <c:h val="0.54642857142857137"/>
        </c:manualLayout>
      </c:layout>
      <c:scatterChart>
        <c:scatterStyle val="smoothMarker"/>
        <c:varyColors val="0"/>
        <c:ser>
          <c:idx val="0"/>
          <c:order val="0"/>
          <c:tx>
            <c:v>1/2 hr. exposure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'[2]Elevated Temperatures'!$Y$43:$Y$51</c:f>
              <c:numCache>
                <c:formatCode>General</c:formatCode>
                <c:ptCount val="9"/>
                <c:pt idx="0">
                  <c:v>80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475</c:v>
                </c:pt>
                <c:pt idx="6">
                  <c:v>500</c:v>
                </c:pt>
                <c:pt idx="7">
                  <c:v>600</c:v>
                </c:pt>
                <c:pt idx="8">
                  <c:v>700</c:v>
                </c:pt>
              </c:numCache>
            </c:numRef>
          </c:xVal>
          <c:yVal>
            <c:numRef>
              <c:f>'[2]Elevated Temperatures'!$AA$43:$AA$51</c:f>
              <c:numCache>
                <c:formatCode>General</c:formatCode>
                <c:ptCount val="9"/>
                <c:pt idx="0">
                  <c:v>100</c:v>
                </c:pt>
                <c:pt idx="1">
                  <c:v>98.597475455820472</c:v>
                </c:pt>
                <c:pt idx="2">
                  <c:v>93.127629733520351</c:v>
                </c:pt>
                <c:pt idx="3">
                  <c:v>87.237026647966346</c:v>
                </c:pt>
                <c:pt idx="4">
                  <c:v>79.663394109396918</c:v>
                </c:pt>
                <c:pt idx="5">
                  <c:v>64.796633941093972</c:v>
                </c:pt>
                <c:pt idx="6">
                  <c:v>51.753155680224403</c:v>
                </c:pt>
                <c:pt idx="7">
                  <c:v>26.367461430575041</c:v>
                </c:pt>
                <c:pt idx="8">
                  <c:v>11.781206171107996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928-46A0-A1E2-0AA5D3FFC903}"/>
            </c:ext>
          </c:extLst>
        </c:ser>
        <c:ser>
          <c:idx val="1"/>
          <c:order val="1"/>
          <c:tx>
            <c:v>Rapid heating (100 deg.F/sec)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'[2]Elevated Temperatures'!$Y$43:$Y$51</c:f>
              <c:numCache>
                <c:formatCode>General</c:formatCode>
                <c:ptCount val="9"/>
                <c:pt idx="0">
                  <c:v>80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475</c:v>
                </c:pt>
                <c:pt idx="6">
                  <c:v>500</c:v>
                </c:pt>
                <c:pt idx="7">
                  <c:v>600</c:v>
                </c:pt>
                <c:pt idx="8">
                  <c:v>700</c:v>
                </c:pt>
              </c:numCache>
            </c:numRef>
          </c:xVal>
          <c:yVal>
            <c:numRef>
              <c:f>'[2]Elevated Temperatures'!$AC$43:$AC$51</c:f>
              <c:numCache>
                <c:formatCode>General</c:formatCode>
                <c:ptCount val="9"/>
                <c:pt idx="5">
                  <c:v>70.266479663394108</c:v>
                </c:pt>
                <c:pt idx="6">
                  <c:v>64.796633941093972</c:v>
                </c:pt>
                <c:pt idx="7">
                  <c:v>47.966339410939696</c:v>
                </c:pt>
                <c:pt idx="8">
                  <c:v>32.959326788218796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928-46A0-A1E2-0AA5D3FFC9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671646688"/>
        <c:axId val="-671653216"/>
      </c:scatterChart>
      <c:valAx>
        <c:axId val="-671646688"/>
        <c:scaling>
          <c:orientation val="minMax"/>
        </c:scaling>
        <c:delete val="0"/>
        <c:axPos val="b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Material temperature (F)</a:t>
                </a:r>
              </a:p>
            </c:rich>
          </c:tx>
          <c:layout>
            <c:manualLayout>
              <c:xMode val="edge"/>
              <c:yMode val="edge"/>
              <c:x val="0.27437658452829683"/>
              <c:y val="0.9107141832680750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671653216"/>
        <c:crosses val="autoZero"/>
        <c:crossBetween val="midCat"/>
        <c:majorUnit val="100"/>
      </c:valAx>
      <c:valAx>
        <c:axId val="-671653216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of Ftu at Room Temp</a:t>
                </a:r>
              </a:p>
            </c:rich>
          </c:tx>
          <c:layout>
            <c:manualLayout>
              <c:xMode val="edge"/>
              <c:yMode val="edge"/>
              <c:x val="1.133795669067772E-2"/>
              <c:y val="0.2535716334638498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67164668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8997102576828662"/>
          <c:y val="0.37674332716607145"/>
          <c:w val="0.28621018837721945"/>
          <c:h val="0.2326943763177144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Burst factor for Pressurized Cylinders</a:t>
            </a:r>
          </a:p>
        </c:rich>
      </c:tx>
      <c:layout>
        <c:manualLayout>
          <c:xMode val="edge"/>
          <c:yMode val="edge"/>
          <c:x val="0.2512194747586376"/>
          <c:y val="3.636353554397249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121951219512195"/>
          <c:y val="0.20727272727272728"/>
          <c:w val="0.79268292682926833"/>
          <c:h val="0.5636363636363636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trendline>
            <c:spPr>
              <a:ln w="3175">
                <a:solidFill>
                  <a:srgbClr val="00FF00"/>
                </a:solidFill>
                <a:prstDash val="solid"/>
              </a:ln>
            </c:spPr>
            <c:trendlineType val="poly"/>
            <c:order val="4"/>
            <c:dispRSqr val="0"/>
            <c:dispEq val="1"/>
            <c:trendlineLbl>
              <c:layout>
                <c:manualLayout>
                  <c:x val="-2.8617886178862184E-3"/>
                  <c:y val="-0.5713561441183489"/>
                </c:manualLayout>
              </c:layout>
              <c:tx>
                <c:rich>
                  <a:bodyPr/>
                  <a:lstStyle/>
                  <a:p>
                    <a:pPr>
                      <a:defRPr sz="800" b="0" i="0" u="none" strike="noStrike" baseline="0">
                        <a:solidFill>
                          <a:srgbClr val="000000"/>
                        </a:solidFill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 sz="8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Best fit:  y = 9.5833x</a:t>
                    </a:r>
                    <a:r>
                      <a:rPr lang="en-US" sz="800" b="0" i="0" u="none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4</a:t>
                    </a:r>
                    <a:r>
                      <a:rPr lang="en-US" sz="8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- 33.528x</a:t>
                    </a:r>
                    <a:r>
                      <a:rPr lang="en-US" sz="800" b="0" i="0" u="none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3</a:t>
                    </a:r>
                    <a:r>
                      <a:rPr lang="en-US" sz="8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+ 44.929x</a:t>
                    </a:r>
                    <a:r>
                      <a:rPr lang="en-US" sz="800" b="0" i="0" u="none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2</a:t>
                    </a:r>
                    <a:r>
                      <a:rPr lang="en-US" sz="8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- 28.479x + 8.6475</a:t>
                    </a:r>
                  </a:p>
                </c:rich>
              </c:tx>
              <c:numFmt formatCode="General" sourceLinked="0"/>
              <c:spPr>
                <a:noFill/>
                <a:ln w="25400">
                  <a:noFill/>
                </a:ln>
              </c:spPr>
            </c:trendlineLbl>
          </c:trendline>
          <c:xVal>
            <c:numRef>
              <c:f>[2]Analysis!$P$25:$P$35</c:f>
              <c:numCache>
                <c:formatCode>General</c:formatCode>
                <c:ptCount val="11"/>
                <c:pt idx="0">
                  <c:v>0.5</c:v>
                </c:pt>
                <c:pt idx="1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</c:numCache>
            </c:numRef>
          </c:xVal>
          <c:yVal>
            <c:numRef>
              <c:f>[2]Analysis!$Q$25:$Q$35</c:f>
              <c:numCache>
                <c:formatCode>General</c:formatCode>
                <c:ptCount val="11"/>
                <c:pt idx="0">
                  <c:v>2.048</c:v>
                </c:pt>
                <c:pt idx="1">
                  <c:v>1.7350000000000001</c:v>
                </c:pt>
                <c:pt idx="7">
                  <c:v>1.5269999999999999</c:v>
                </c:pt>
                <c:pt idx="8">
                  <c:v>1.379</c:v>
                </c:pt>
                <c:pt idx="9">
                  <c:v>1.254</c:v>
                </c:pt>
                <c:pt idx="10">
                  <c:v>1.153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7DB-4E59-852E-C6F8D02FF2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664779104"/>
        <c:axId val="-664770400"/>
      </c:scatterChart>
      <c:valAx>
        <c:axId val="-664779104"/>
        <c:scaling>
          <c:orientation val="minMax"/>
          <c:min val="0.5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Fty/Ftu</a:t>
                </a:r>
              </a:p>
            </c:rich>
          </c:tx>
          <c:layout>
            <c:manualLayout>
              <c:xMode val="edge"/>
              <c:yMode val="edge"/>
              <c:x val="0.49512184514947333"/>
              <c:y val="0.9018180473919633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664770400"/>
        <c:crosses val="autoZero"/>
        <c:crossBetween val="midCat"/>
      </c:valAx>
      <c:valAx>
        <c:axId val="-664770400"/>
        <c:scaling>
          <c:orientation val="minMax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</a:t>
                </a:r>
              </a:p>
            </c:rich>
          </c:tx>
          <c:layout>
            <c:manualLayout>
              <c:xMode val="edge"/>
              <c:yMode val="edge"/>
              <c:x val="1.2195003402352482E-2"/>
              <c:y val="0.414545488152009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66477910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orientation="landscape" verticalDpi="0"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3556608550231567"/>
          <c:y val="0.10625048637612781"/>
          <c:w val="0.68591301366850743"/>
          <c:h val="0.62812787534122627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333399"/>
              </a:solidFill>
              <a:prstDash val="solid"/>
            </a:ln>
          </c:spPr>
          <c:marker>
            <c:symbol val="diamond"/>
            <c:size val="2"/>
            <c:spPr>
              <a:solidFill>
                <a:srgbClr val="993300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Output!$C$24:$C$46</c:f>
              <c:numCache>
                <c:formatCode>0.000</c:formatCode>
                <c:ptCount val="23"/>
                <c:pt idx="0">
                  <c:v>0</c:v>
                </c:pt>
                <c:pt idx="1">
                  <c:v>2.2974077946812891E-2</c:v>
                </c:pt>
                <c:pt idx="2">
                  <c:v>2.3458701794913113E-2</c:v>
                </c:pt>
                <c:pt idx="3">
                  <c:v>4.3285667895060491E-2</c:v>
                </c:pt>
                <c:pt idx="4">
                  <c:v>6.3545120590740939E-2</c:v>
                </c:pt>
                <c:pt idx="5">
                  <c:v>8.3762891383172763E-2</c:v>
                </c:pt>
                <c:pt idx="6">
                  <c:v>0.10394498920136482</c:v>
                </c:pt>
                <c:pt idx="7">
                  <c:v>0.12409729570520289</c:v>
                </c:pt>
                <c:pt idx="8">
                  <c:v>0.14422561036890538</c:v>
                </c:pt>
                <c:pt idx="9">
                  <c:v>0.16433566742142955</c:v>
                </c:pt>
                <c:pt idx="10">
                  <c:v>0.1844331520510685</c:v>
                </c:pt>
                <c:pt idx="11">
                  <c:v>0.20452371623902668</c:v>
                </c:pt>
                <c:pt idx="12">
                  <c:v>0.22461299434680726</c:v>
                </c:pt>
                <c:pt idx="13">
                  <c:v>0.24470661857597772</c:v>
                </c:pt>
                <c:pt idx="14">
                  <c:v>0.26481023441700369</c:v>
                </c:pt>
                <c:pt idx="15">
                  <c:v>0.28492951620372425</c:v>
                </c:pt>
                <c:pt idx="16">
                  <c:v>0.30507018289165305</c:v>
                </c:pt>
                <c:pt idx="17">
                  <c:v>0.32523801418166487</c:v>
                </c:pt>
                <c:pt idx="18">
                  <c:v>0.34543886711584293</c:v>
                </c:pt>
                <c:pt idx="19">
                  <c:v>0.36567869327947106</c:v>
                </c:pt>
                <c:pt idx="20">
                  <c:v>0.38596355675250149</c:v>
                </c:pt>
                <c:pt idx="21">
                  <c:v>0.40587986316434771</c:v>
                </c:pt>
                <c:pt idx="22">
                  <c:v>0.42330105911464305</c:v>
                </c:pt>
              </c:numCache>
            </c:numRef>
          </c:xVal>
          <c:yVal>
            <c:numRef>
              <c:f>Output!$D$24:$D$46</c:f>
              <c:numCache>
                <c:formatCode>0</c:formatCode>
                <c:ptCount val="23"/>
                <c:pt idx="0">
                  <c:v>0</c:v>
                </c:pt>
                <c:pt idx="1">
                  <c:v>474.12978641264118</c:v>
                </c:pt>
                <c:pt idx="2">
                  <c:v>474.43232078359983</c:v>
                </c:pt>
                <c:pt idx="3">
                  <c:v>479.86760173059469</c:v>
                </c:pt>
                <c:pt idx="4">
                  <c:v>483.45775072363483</c:v>
                </c:pt>
                <c:pt idx="5">
                  <c:v>486.57957353982232</c:v>
                </c:pt>
                <c:pt idx="6">
                  <c:v>489.2409769351604</c:v>
                </c:pt>
                <c:pt idx="7">
                  <c:v>491.43993299745438</c:v>
                </c:pt>
                <c:pt idx="8">
                  <c:v>493.1746855961012</c:v>
                </c:pt>
                <c:pt idx="9">
                  <c:v>494.44383105966438</c:v>
                </c:pt>
                <c:pt idx="10">
                  <c:v>495.24631561678262</c:v>
                </c:pt>
                <c:pt idx="11">
                  <c:v>495.5814328779241</c:v>
                </c:pt>
                <c:pt idx="12">
                  <c:v>495.44882224888443</c:v>
                </c:pt>
                <c:pt idx="13">
                  <c:v>494.84846828035228</c:v>
                </c:pt>
                <c:pt idx="14">
                  <c:v>493.78070095108961</c:v>
                </c:pt>
                <c:pt idx="15">
                  <c:v>492.24619688776403</c:v>
                </c:pt>
                <c:pt idx="16">
                  <c:v>490.24598152966922</c:v>
                </c:pt>
                <c:pt idx="17">
                  <c:v>487.78143225245333</c:v>
                </c:pt>
                <c:pt idx="18">
                  <c:v>484.85428247068927</c:v>
                </c:pt>
                <c:pt idx="19">
                  <c:v>481.46662674533769</c:v>
                </c:pt>
                <c:pt idx="20">
                  <c:v>477.62092692867748</c:v>
                </c:pt>
                <c:pt idx="21">
                  <c:v>303.41364561490508</c:v>
                </c:pt>
                <c:pt idx="2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1FD-4275-ACC6-30BEE976F3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664769312"/>
        <c:axId val="-664778560"/>
      </c:scatterChart>
      <c:valAx>
        <c:axId val="-664769312"/>
        <c:scaling>
          <c:orientation val="minMax"/>
        </c:scaling>
        <c:delete val="0"/>
        <c:axPos val="b"/>
        <c:minorGridlines>
          <c:spPr>
            <a:ln w="3175">
              <a:solidFill>
                <a:srgbClr val="C0C0C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(seconds)</a:t>
                </a:r>
              </a:p>
            </c:rich>
          </c:tx>
          <c:layout>
            <c:manualLayout>
              <c:xMode val="edge"/>
              <c:yMode val="edge"/>
              <c:x val="0.44198967532373368"/>
              <c:y val="0.853574463264034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FF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664778560"/>
        <c:crosses val="autoZero"/>
        <c:crossBetween val="midCat"/>
      </c:valAx>
      <c:valAx>
        <c:axId val="-664778560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FF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Thrust  (Newtons)</a:t>
                </a:r>
              </a:p>
            </c:rich>
          </c:tx>
          <c:layout>
            <c:manualLayout>
              <c:xMode val="edge"/>
              <c:yMode val="edge"/>
              <c:x val="5.2486187845303872E-2"/>
              <c:y val="0.2321432617685378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FF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664769312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379358340872712"/>
          <c:y val="0.10658347995858013"/>
          <c:w val="0.70804756655793499"/>
          <c:h val="0.62696164681517719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333399"/>
              </a:solidFill>
              <a:prstDash val="solid"/>
            </a:ln>
          </c:spPr>
          <c:marker>
            <c:symbol val="diamond"/>
            <c:size val="2"/>
            <c:spPr>
              <a:solidFill>
                <a:srgbClr val="993300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Output!$C$24:$C$46</c:f>
              <c:numCache>
                <c:formatCode>0.000</c:formatCode>
                <c:ptCount val="23"/>
                <c:pt idx="0">
                  <c:v>0</c:v>
                </c:pt>
                <c:pt idx="1">
                  <c:v>2.2974077946812891E-2</c:v>
                </c:pt>
                <c:pt idx="2">
                  <c:v>2.3458701794913113E-2</c:v>
                </c:pt>
                <c:pt idx="3">
                  <c:v>4.3285667895060491E-2</c:v>
                </c:pt>
                <c:pt idx="4">
                  <c:v>6.3545120590740939E-2</c:v>
                </c:pt>
                <c:pt idx="5">
                  <c:v>8.3762891383172763E-2</c:v>
                </c:pt>
                <c:pt idx="6">
                  <c:v>0.10394498920136482</c:v>
                </c:pt>
                <c:pt idx="7">
                  <c:v>0.12409729570520289</c:v>
                </c:pt>
                <c:pt idx="8">
                  <c:v>0.14422561036890538</c:v>
                </c:pt>
                <c:pt idx="9">
                  <c:v>0.16433566742142955</c:v>
                </c:pt>
                <c:pt idx="10">
                  <c:v>0.1844331520510685</c:v>
                </c:pt>
                <c:pt idx="11">
                  <c:v>0.20452371623902668</c:v>
                </c:pt>
                <c:pt idx="12">
                  <c:v>0.22461299434680726</c:v>
                </c:pt>
                <c:pt idx="13">
                  <c:v>0.24470661857597772</c:v>
                </c:pt>
                <c:pt idx="14">
                  <c:v>0.26481023441700369</c:v>
                </c:pt>
                <c:pt idx="15">
                  <c:v>0.28492951620372425</c:v>
                </c:pt>
                <c:pt idx="16">
                  <c:v>0.30507018289165305</c:v>
                </c:pt>
                <c:pt idx="17">
                  <c:v>0.32523801418166487</c:v>
                </c:pt>
                <c:pt idx="18">
                  <c:v>0.34543886711584293</c:v>
                </c:pt>
                <c:pt idx="19">
                  <c:v>0.36567869327947106</c:v>
                </c:pt>
                <c:pt idx="20">
                  <c:v>0.38596355675250149</c:v>
                </c:pt>
                <c:pt idx="21">
                  <c:v>0.40587986316434771</c:v>
                </c:pt>
                <c:pt idx="22">
                  <c:v>0.42330105911464305</c:v>
                </c:pt>
              </c:numCache>
            </c:numRef>
          </c:xVal>
          <c:yVal>
            <c:numRef>
              <c:f>Output!$E$24:$E$46</c:f>
              <c:numCache>
                <c:formatCode>0</c:formatCode>
                <c:ptCount val="23"/>
                <c:pt idx="0">
                  <c:v>0</c:v>
                </c:pt>
                <c:pt idx="1">
                  <c:v>106.58913412450906</c:v>
                </c:pt>
                <c:pt idx="2">
                  <c:v>106.65714688719029</c:v>
                </c:pt>
                <c:pt idx="3">
                  <c:v>107.8790525899453</c:v>
                </c:pt>
                <c:pt idx="4">
                  <c:v>108.6861541125927</c:v>
                </c:pt>
                <c:pt idx="5">
                  <c:v>109.38797121078692</c:v>
                </c:pt>
                <c:pt idx="6">
                  <c:v>109.98628140262588</c:v>
                </c:pt>
                <c:pt idx="7">
                  <c:v>110.48062879309707</c:v>
                </c:pt>
                <c:pt idx="8">
                  <c:v>110.87061858641725</c:v>
                </c:pt>
                <c:pt idx="9">
                  <c:v>111.15593522316091</c:v>
                </c:pt>
                <c:pt idx="10">
                  <c:v>111.33634180495091</c:v>
                </c:pt>
                <c:pt idx="11">
                  <c:v>111.41167952833149</c:v>
                </c:pt>
                <c:pt idx="12">
                  <c:v>111.38186732810675</c:v>
                </c:pt>
                <c:pt idx="13">
                  <c:v>111.24690173111647</c:v>
                </c:pt>
                <c:pt idx="14">
                  <c:v>111.00685691989786</c:v>
                </c:pt>
                <c:pt idx="15">
                  <c:v>110.66188500691607</c:v>
                </c:pt>
                <c:pt idx="16">
                  <c:v>110.21221652121515</c:v>
                </c:pt>
                <c:pt idx="17">
                  <c:v>109.65816111066349</c:v>
                </c:pt>
                <c:pt idx="18">
                  <c:v>109.00010846425279</c:v>
                </c:pt>
                <c:pt idx="19">
                  <c:v>108.23852946030702</c:v>
                </c:pt>
                <c:pt idx="20">
                  <c:v>107.37397754792444</c:v>
                </c:pt>
                <c:pt idx="21">
                  <c:v>68.210432447935133</c:v>
                </c:pt>
                <c:pt idx="2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6C7-4C77-A58D-5920A1336F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664767680"/>
        <c:axId val="-664767136"/>
      </c:scatterChart>
      <c:valAx>
        <c:axId val="-664767680"/>
        <c:scaling>
          <c:orientation val="minMax"/>
        </c:scaling>
        <c:delete val="0"/>
        <c:axPos val="b"/>
        <c:minorGridlines>
          <c:spPr>
            <a:ln w="3175">
              <a:solidFill>
                <a:srgbClr val="C0C0C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(seconds)</a:t>
                </a:r>
              </a:p>
            </c:rich>
          </c:tx>
          <c:layout>
            <c:manualLayout>
              <c:xMode val="edge"/>
              <c:yMode val="edge"/>
              <c:x val="0.43093995156682768"/>
              <c:y val="0.8540959933771719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FF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664767136"/>
        <c:crosses val="autoZero"/>
        <c:crossBetween val="midCat"/>
      </c:valAx>
      <c:valAx>
        <c:axId val="-664767136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80008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Thrust  (Pounds)</a:t>
                </a:r>
              </a:p>
            </c:rich>
          </c:tx>
          <c:layout>
            <c:manualLayout>
              <c:xMode val="edge"/>
              <c:yMode val="edge"/>
              <c:x val="5.2486187845303872E-2"/>
              <c:y val="0.2455521688821155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80008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664767680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254174397031541"/>
          <c:y val="0.10000057445182935"/>
          <c:w val="0.47866419294990725"/>
          <c:h val="0.72353311718388147"/>
        </c:manualLayout>
      </c:layout>
      <c:scatterChart>
        <c:scatterStyle val="smoothMarker"/>
        <c:varyColors val="0"/>
        <c:ser>
          <c:idx val="0"/>
          <c:order val="0"/>
          <c:tx>
            <c:v>KNDX</c:v>
          </c:tx>
          <c:spPr>
            <a:ln w="127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Burnrate!$M$9:$M$54</c:f>
              <c:numCache>
                <c:formatCode>General</c:formatCode>
                <c:ptCount val="46"/>
                <c:pt idx="0">
                  <c:v>0.1</c:v>
                </c:pt>
                <c:pt idx="1">
                  <c:v>0.25</c:v>
                </c:pt>
                <c:pt idx="2">
                  <c:v>0.5</c:v>
                </c:pt>
                <c:pt idx="3">
                  <c:v>0.77900000000000003</c:v>
                </c:pt>
                <c:pt idx="4">
                  <c:v>1.0289999999999999</c:v>
                </c:pt>
                <c:pt idx="5">
                  <c:v>1.2789999999999999</c:v>
                </c:pt>
                <c:pt idx="6">
                  <c:v>1.5289999999999999</c:v>
                </c:pt>
                <c:pt idx="7">
                  <c:v>1.7789999999999999</c:v>
                </c:pt>
                <c:pt idx="8">
                  <c:v>2.0289999999999999</c:v>
                </c:pt>
                <c:pt idx="9">
                  <c:v>2.2789999999999999</c:v>
                </c:pt>
                <c:pt idx="10">
                  <c:v>2.5720000000000001</c:v>
                </c:pt>
                <c:pt idx="11">
                  <c:v>2.8220000000000001</c:v>
                </c:pt>
                <c:pt idx="12">
                  <c:v>3.0720000000000001</c:v>
                </c:pt>
                <c:pt idx="13">
                  <c:v>3.3220000000000001</c:v>
                </c:pt>
                <c:pt idx="14">
                  <c:v>3.5720000000000001</c:v>
                </c:pt>
                <c:pt idx="15">
                  <c:v>3.8220000000000001</c:v>
                </c:pt>
                <c:pt idx="16">
                  <c:v>4.0720000000000001</c:v>
                </c:pt>
                <c:pt idx="17">
                  <c:v>4.3220000000000001</c:v>
                </c:pt>
                <c:pt idx="18">
                  <c:v>4.5720000000000001</c:v>
                </c:pt>
                <c:pt idx="19">
                  <c:v>4.8220000000000001</c:v>
                </c:pt>
                <c:pt idx="20">
                  <c:v>5.0720000000000001</c:v>
                </c:pt>
                <c:pt idx="21">
                  <c:v>5.3220000000000001</c:v>
                </c:pt>
                <c:pt idx="22">
                  <c:v>5.5720000000000001</c:v>
                </c:pt>
                <c:pt idx="23">
                  <c:v>5.93</c:v>
                </c:pt>
                <c:pt idx="24">
                  <c:v>6.18</c:v>
                </c:pt>
                <c:pt idx="25">
                  <c:v>6.43</c:v>
                </c:pt>
                <c:pt idx="26">
                  <c:v>6.68</c:v>
                </c:pt>
                <c:pt idx="27">
                  <c:v>6.93</c:v>
                </c:pt>
                <c:pt idx="28">
                  <c:v>7.18</c:v>
                </c:pt>
                <c:pt idx="29">
                  <c:v>7.43</c:v>
                </c:pt>
                <c:pt idx="30">
                  <c:v>7.68</c:v>
                </c:pt>
                <c:pt idx="31">
                  <c:v>7.93</c:v>
                </c:pt>
                <c:pt idx="32">
                  <c:v>8.18</c:v>
                </c:pt>
                <c:pt idx="33">
                  <c:v>8.5</c:v>
                </c:pt>
                <c:pt idx="34">
                  <c:v>8.75</c:v>
                </c:pt>
                <c:pt idx="35">
                  <c:v>9</c:v>
                </c:pt>
                <c:pt idx="36">
                  <c:v>9.25</c:v>
                </c:pt>
                <c:pt idx="37">
                  <c:v>9.5</c:v>
                </c:pt>
                <c:pt idx="38">
                  <c:v>9.75</c:v>
                </c:pt>
                <c:pt idx="39">
                  <c:v>10</c:v>
                </c:pt>
                <c:pt idx="40">
                  <c:v>10.25</c:v>
                </c:pt>
                <c:pt idx="41">
                  <c:v>10.5</c:v>
                </c:pt>
                <c:pt idx="42">
                  <c:v>10.75</c:v>
                </c:pt>
                <c:pt idx="43">
                  <c:v>11</c:v>
                </c:pt>
                <c:pt idx="44">
                  <c:v>11.25</c:v>
                </c:pt>
                <c:pt idx="45">
                  <c:v>11.5</c:v>
                </c:pt>
              </c:numCache>
            </c:numRef>
          </c:xVal>
          <c:yVal>
            <c:numRef>
              <c:f>Burnrate!$P$9:$P$54</c:f>
              <c:numCache>
                <c:formatCode>General</c:formatCode>
                <c:ptCount val="46"/>
                <c:pt idx="0">
                  <c:v>2.1325053799737348</c:v>
                </c:pt>
                <c:pt idx="1">
                  <c:v>3.7612688985091727</c:v>
                </c:pt>
                <c:pt idx="2">
                  <c:v>5.7777967355870876</c:v>
                </c:pt>
                <c:pt idx="3">
                  <c:v>7.6036003680458659</c:v>
                </c:pt>
                <c:pt idx="4">
                  <c:v>7.5509061978369258</c:v>
                </c:pt>
                <c:pt idx="5">
                  <c:v>7.5366320912941802</c:v>
                </c:pt>
                <c:pt idx="6">
                  <c:v>7.5249348438442505</c:v>
                </c:pt>
                <c:pt idx="7">
                  <c:v>7.5150272244598799</c:v>
                </c:pt>
                <c:pt idx="8">
                  <c:v>7.5064351188758884</c:v>
                </c:pt>
                <c:pt idx="9">
                  <c:v>7.4988508095539634</c:v>
                </c:pt>
                <c:pt idx="10">
                  <c:v>7.3583290655181441</c:v>
                </c:pt>
                <c:pt idx="11">
                  <c:v>7.8433945471532729</c:v>
                </c:pt>
                <c:pt idx="12">
                  <c:v>8.3152250095321865</c:v>
                </c:pt>
                <c:pt idx="13">
                  <c:v>8.7752187637091339</c:v>
                </c:pt>
                <c:pt idx="14">
                  <c:v>9.2245329836184613</c:v>
                </c:pt>
                <c:pt idx="15">
                  <c:v>9.6641391797676466</c:v>
                </c:pt>
                <c:pt idx="16">
                  <c:v>10.094863127774543</c:v>
                </c:pt>
                <c:pt idx="17">
                  <c:v>10.517414293326143</c:v>
                </c:pt>
                <c:pt idx="18">
                  <c:v>10.932407963195997</c:v>
                </c:pt>
                <c:pt idx="19">
                  <c:v>11.340382189469967</c:v>
                </c:pt>
                <c:pt idx="20">
                  <c:v>11.741810967849634</c:v>
                </c:pt>
                <c:pt idx="21">
                  <c:v>12.137114630927718</c:v>
                </c:pt>
                <c:pt idx="22">
                  <c:v>12.526668147844054</c:v>
                </c:pt>
                <c:pt idx="23">
                  <c:v>13.217360622834429</c:v>
                </c:pt>
                <c:pt idx="24">
                  <c:v>13.136774539884957</c:v>
                </c:pt>
                <c:pt idx="25">
                  <c:v>13.059847161795481</c:v>
                </c:pt>
                <c:pt idx="26">
                  <c:v>12.986279488740509</c:v>
                </c:pt>
                <c:pt idx="27">
                  <c:v>12.915807022080093</c:v>
                </c:pt>
                <c:pt idx="28">
                  <c:v>12.848194703751872</c:v>
                </c:pt>
                <c:pt idx="29">
                  <c:v>12.783232745506083</c:v>
                </c:pt>
                <c:pt idx="30">
                  <c:v>12.720733167280462</c:v>
                </c:pt>
                <c:pt idx="31">
                  <c:v>12.660526905315331</c:v>
                </c:pt>
                <c:pt idx="32">
                  <c:v>12.602461381483874</c:v>
                </c:pt>
                <c:pt idx="33">
                  <c:v>12.531042318830446</c:v>
                </c:pt>
                <c:pt idx="34">
                  <c:v>12.447445669176275</c:v>
                </c:pt>
                <c:pt idx="35">
                  <c:v>12.603297815275388</c:v>
                </c:pt>
                <c:pt idx="36">
                  <c:v>12.756751208083816</c:v>
                </c:pt>
                <c:pt idx="37">
                  <c:v>12.907906140183</c:v>
                </c:pt>
                <c:pt idx="38">
                  <c:v>13.056856199302223</c:v>
                </c:pt>
                <c:pt idx="39">
                  <c:v>13.203688875937655</c:v>
                </c:pt>
                <c:pt idx="40">
                  <c:v>13.348486102178473</c:v>
                </c:pt>
                <c:pt idx="41">
                  <c:v>13.491324731007724</c:v>
                </c:pt>
                <c:pt idx="42">
                  <c:v>13.632276963907207</c:v>
                </c:pt>
                <c:pt idx="43">
                  <c:v>13.771410733408681</c:v>
                </c:pt>
                <c:pt idx="44">
                  <c:v>13.908790046249266</c:v>
                </c:pt>
                <c:pt idx="45">
                  <c:v>14.044475291969215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46-44AF-B87A-04615ABCF5E3}"/>
            </c:ext>
          </c:extLst>
        </c:ser>
        <c:ser>
          <c:idx val="1"/>
          <c:order val="1"/>
          <c:tx>
            <c:v>KNSB fine</c:v>
          </c:tx>
          <c:spPr>
            <a:ln w="19050">
              <a:solidFill>
                <a:srgbClr val="7030A0"/>
              </a:solidFill>
              <a:prstDash val="solid"/>
            </a:ln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Burnrate!$U$9:$U$83</c:f>
              <c:numCache>
                <c:formatCode>General</c:formatCode>
                <c:ptCount val="75"/>
                <c:pt idx="0">
                  <c:v>2.5961439795794132</c:v>
                </c:pt>
                <c:pt idx="1">
                  <c:v>4.5095242519879797</c:v>
                </c:pt>
                <c:pt idx="2">
                  <c:v>6.0172969584618192</c:v>
                </c:pt>
                <c:pt idx="3">
                  <c:v>7.3244229711811482</c:v>
                </c:pt>
                <c:pt idx="4">
                  <c:v>8.5038132745340107</c:v>
                </c:pt>
                <c:pt idx="5">
                  <c:v>9.3740448526367466</c:v>
                </c:pt>
                <c:pt idx="6">
                  <c:v>8.8939071755279144</c:v>
                </c:pt>
                <c:pt idx="7">
                  <c:v>8.5023135353635624</c:v>
                </c:pt>
                <c:pt idx="8">
                  <c:v>8.1740270219434006</c:v>
                </c:pt>
                <c:pt idx="9">
                  <c:v>7.8929886040141852</c:v>
                </c:pt>
                <c:pt idx="10">
                  <c:v>7.7102095237583672</c:v>
                </c:pt>
                <c:pt idx="11">
                  <c:v>7.801213608674356</c:v>
                </c:pt>
                <c:pt idx="12">
                  <c:v>7.7925632490984515</c:v>
                </c:pt>
                <c:pt idx="13">
                  <c:v>7.7846019298594484</c:v>
                </c:pt>
                <c:pt idx="14">
                  <c:v>7.7772284917136059</c:v>
                </c:pt>
                <c:pt idx="15">
                  <c:v>7.7703625013564839</c:v>
                </c:pt>
                <c:pt idx="16">
                  <c:v>7.7639389539880135</c:v>
                </c:pt>
                <c:pt idx="17">
                  <c:v>7.7579045664627335</c:v>
                </c:pt>
                <c:pt idx="18">
                  <c:v>7.7522151204058236</c:v>
                </c:pt>
                <c:pt idx="19">
                  <c:v>7.7468335175651957</c:v>
                </c:pt>
                <c:pt idx="20">
                  <c:v>7.7417283299614903</c:v>
                </c:pt>
                <c:pt idx="21">
                  <c:v>7.7368727010922083</c:v>
                </c:pt>
                <c:pt idx="22">
                  <c:v>7.7322435009134436</c:v>
                </c:pt>
                <c:pt idx="23">
                  <c:v>7.7278206673804695</c:v>
                </c:pt>
                <c:pt idx="24">
                  <c:v>7.723586687220636</c:v>
                </c:pt>
                <c:pt idx="25">
                  <c:v>7.7172784893185353</c:v>
                </c:pt>
                <c:pt idx="26">
                  <c:v>8.1393047534918015</c:v>
                </c:pt>
                <c:pt idx="27">
                  <c:v>8.3005486392322965</c:v>
                </c:pt>
                <c:pt idx="28">
                  <c:v>8.4591190785716908</c:v>
                </c:pt>
                <c:pt idx="29">
                  <c:v>8.6151510103659632</c:v>
                </c:pt>
                <c:pt idx="30">
                  <c:v>8.7687682925235677</c:v>
                </c:pt>
                <c:pt idx="31">
                  <c:v>8.9200849400797466</c:v>
                </c:pt>
                <c:pt idx="32">
                  <c:v>9.069206190561534</c:v>
                </c:pt>
                <c:pt idx="33">
                  <c:v>9.2162294252424335</c:v>
                </c:pt>
                <c:pt idx="34">
                  <c:v>9.3612449694474318</c:v>
                </c:pt>
                <c:pt idx="35">
                  <c:v>9.5043367907911236</c:v>
                </c:pt>
                <c:pt idx="36">
                  <c:v>9.6455831108406453</c:v>
                </c:pt>
                <c:pt idx="37">
                  <c:v>9.7850569429885326</c:v>
                </c:pt>
                <c:pt idx="38">
                  <c:v>9.9228265671455205</c:v>
                </c:pt>
                <c:pt idx="39">
                  <c:v>10.05895595010481</c:v>
                </c:pt>
                <c:pt idx="40">
                  <c:v>10.193505118998692</c:v>
                </c:pt>
                <c:pt idx="41">
                  <c:v>10.326530494098591</c:v>
                </c:pt>
                <c:pt idx="42">
                  <c:v>10.458085186247397</c:v>
                </c:pt>
                <c:pt idx="43">
                  <c:v>10.58821926341796</c:v>
                </c:pt>
                <c:pt idx="44">
                  <c:v>10.716979990231412</c:v>
                </c:pt>
                <c:pt idx="45">
                  <c:v>10.84441204371837</c:v>
                </c:pt>
                <c:pt idx="46">
                  <c:v>10.970557708144641</c:v>
                </c:pt>
                <c:pt idx="47">
                  <c:v>10.932488733891011</c:v>
                </c:pt>
                <c:pt idx="48">
                  <c:v>10.946926612745623</c:v>
                </c:pt>
                <c:pt idx="49">
                  <c:v>10.961090363496956</c:v>
                </c:pt>
                <c:pt idx="50">
                  <c:v>10.97499053683531</c:v>
                </c:pt>
                <c:pt idx="51">
                  <c:v>10.988637079627617</c:v>
                </c:pt>
                <c:pt idx="52">
                  <c:v>11.0020393803598</c:v>
                </c:pt>
                <c:pt idx="53">
                  <c:v>11.015206310370765</c:v>
                </c:pt>
                <c:pt idx="54">
                  <c:v>11.028146261338042</c:v>
                </c:pt>
                <c:pt idx="55">
                  <c:v>11.040867179417527</c:v>
                </c:pt>
                <c:pt idx="56">
                  <c:v>11.053376596390002</c:v>
                </c:pt>
                <c:pt idx="57">
                  <c:v>11.065681658124634</c:v>
                </c:pt>
                <c:pt idx="58">
                  <c:v>11.077789150632556</c:v>
                </c:pt>
                <c:pt idx="59">
                  <c:v>11.089705523951828</c:v>
                </c:pt>
                <c:pt idx="60">
                  <c:v>11.101436914077221</c:v>
                </c:pt>
                <c:pt idx="61">
                  <c:v>11.112989163124192</c:v>
                </c:pt>
                <c:pt idx="62">
                  <c:v>11.124367837895285</c:v>
                </c:pt>
                <c:pt idx="63">
                  <c:v>11.135578246998753</c:v>
                </c:pt>
                <c:pt idx="64">
                  <c:v>11.146625456653096</c:v>
                </c:pt>
                <c:pt idx="65">
                  <c:v>11.157514305296953</c:v>
                </c:pt>
                <c:pt idx="66">
                  <c:v>11.168249417111291</c:v>
                </c:pt>
                <c:pt idx="67">
                  <c:v>11.178835214549855</c:v>
                </c:pt>
                <c:pt idx="68">
                  <c:v>11.189275929964063</c:v>
                </c:pt>
                <c:pt idx="69">
                  <c:v>11.19957561639991</c:v>
                </c:pt>
                <c:pt idx="70">
                  <c:v>11.209738157636787</c:v>
                </c:pt>
                <c:pt idx="71">
                  <c:v>11.219767277531348</c:v>
                </c:pt>
                <c:pt idx="72">
                  <c:v>11.22966654872347</c:v>
                </c:pt>
                <c:pt idx="73">
                  <c:v>11.239439400755961</c:v>
                </c:pt>
                <c:pt idx="74">
                  <c:v>11.249089127654859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B46-44AF-B87A-04615ABCF5E3}"/>
            </c:ext>
          </c:extLst>
        </c:ser>
        <c:ser>
          <c:idx val="2"/>
          <c:order val="2"/>
          <c:tx>
            <c:v>KNSB/KNER Coarse</c:v>
          </c:tx>
          <c:spPr>
            <a:ln w="19050">
              <a:solidFill>
                <a:srgbClr val="0070C0"/>
              </a:solidFill>
            </a:ln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Burnrate!$X$9:$X$83</c:f>
              <c:numCache>
                <c:formatCode>General</c:formatCode>
                <c:ptCount val="75"/>
                <c:pt idx="0">
                  <c:v>3.1146140765372103</c:v>
                </c:pt>
                <c:pt idx="1">
                  <c:v>3.7831631063172546</c:v>
                </c:pt>
                <c:pt idx="2">
                  <c:v>4.1876611638803078</c:v>
                </c:pt>
                <c:pt idx="3">
                  <c:v>4.4878351897905322</c:v>
                </c:pt>
                <c:pt idx="4">
                  <c:v>4.7301144132054924</c:v>
                </c:pt>
                <c:pt idx="5">
                  <c:v>4.8936121159802841</c:v>
                </c:pt>
                <c:pt idx="6">
                  <c:v>5.0771267720387012</c:v>
                </c:pt>
                <c:pt idx="7">
                  <c:v>5.2397501080146469</c:v>
                </c:pt>
                <c:pt idx="8">
                  <c:v>5.3862260238248547</c:v>
                </c:pt>
                <c:pt idx="9">
                  <c:v>5.5198044312655083</c:v>
                </c:pt>
                <c:pt idx="10">
                  <c:v>5.6111042914110296</c:v>
                </c:pt>
                <c:pt idx="11">
                  <c:v>5.7274833168357899</c:v>
                </c:pt>
                <c:pt idx="12">
                  <c:v>5.8360357294929761</c:v>
                </c:pt>
                <c:pt idx="13">
                  <c:v>5.937868048236747</c:v>
                </c:pt>
                <c:pt idx="14">
                  <c:v>6.0338603202130594</c:v>
                </c:pt>
                <c:pt idx="15">
                  <c:v>6.1247248523620117</c:v>
                </c:pt>
                <c:pt idx="16">
                  <c:v>6.2110469116140763</c:v>
                </c:pt>
                <c:pt idx="17">
                  <c:v>6.2933136860522163</c:v>
                </c:pt>
                <c:pt idx="18">
                  <c:v>6.371935369505298</c:v>
                </c:pt>
                <c:pt idx="19">
                  <c:v>6.4472608211874141</c:v>
                </c:pt>
                <c:pt idx="20">
                  <c:v>6.5195894024173873</c:v>
                </c:pt>
                <c:pt idx="21">
                  <c:v>6.589180064357417</c:v>
                </c:pt>
                <c:pt idx="22">
                  <c:v>6.6562584231512005</c:v>
                </c:pt>
                <c:pt idx="23">
                  <c:v>6.7210223376619975</c:v>
                </c:pt>
                <c:pt idx="24">
                  <c:v>6.7836463568428407</c:v>
                </c:pt>
                <c:pt idx="25">
                  <c:v>6.8780986019197048</c:v>
                </c:pt>
                <c:pt idx="26">
                  <c:v>6.9358913427372242</c:v>
                </c:pt>
                <c:pt idx="27">
                  <c:v>6.9920255211013549</c:v>
                </c:pt>
                <c:pt idx="28">
                  <c:v>7.0466059172433386</c:v>
                </c:pt>
                <c:pt idx="29">
                  <c:v>7.0997273261921308</c:v>
                </c:pt>
                <c:pt idx="30">
                  <c:v>7.1514758088742738</c:v>
                </c:pt>
                <c:pt idx="31">
                  <c:v>7.2019297513263716</c:v>
                </c:pt>
                <c:pt idx="32">
                  <c:v>7.2511607665049107</c:v>
                </c:pt>
                <c:pt idx="33">
                  <c:v>7.2992344661271771</c:v>
                </c:pt>
                <c:pt idx="34">
                  <c:v>7.3462111245320374</c:v>
                </c:pt>
                <c:pt idx="35">
                  <c:v>7.3921462523092965</c:v>
                </c:pt>
                <c:pt idx="36">
                  <c:v>7.4370910941186619</c:v>
                </c:pt>
                <c:pt idx="37">
                  <c:v>7.4810930624882701</c:v>
                </c:pt>
                <c:pt idx="38">
                  <c:v>7.5241961172882137</c:v>
                </c:pt>
                <c:pt idx="39">
                  <c:v>7.566441098895984</c:v>
                </c:pt>
                <c:pt idx="40">
                  <c:v>7.6078660217174825</c:v>
                </c:pt>
                <c:pt idx="41">
                  <c:v>7.6485063336296886</c:v>
                </c:pt>
                <c:pt idx="42">
                  <c:v>7.6883951460161137</c:v>
                </c:pt>
                <c:pt idx="43">
                  <c:v>7.7275634383324352</c:v>
                </c:pt>
                <c:pt idx="44">
                  <c:v>7.7660402405353262</c:v>
                </c:pt>
                <c:pt idx="45">
                  <c:v>7.8038527962071509</c:v>
                </c:pt>
                <c:pt idx="46">
                  <c:v>7.8410267087931862</c:v>
                </c:pt>
                <c:pt idx="47">
                  <c:v>7.8793120581569127</c:v>
                </c:pt>
                <c:pt idx="48">
                  <c:v>7.9152519394326157</c:v>
                </c:pt>
                <c:pt idx="49">
                  <c:v>7.9506223873730706</c:v>
                </c:pt>
                <c:pt idx="50">
                  <c:v>7.9854435818622189</c:v>
                </c:pt>
                <c:pt idx="51">
                  <c:v>8.0197346076317295</c:v>
                </c:pt>
                <c:pt idx="52">
                  <c:v>8.0535135335288697</c:v>
                </c:pt>
                <c:pt idx="53">
                  <c:v>8.0867974846651229</c:v>
                </c:pt>
                <c:pt idx="54">
                  <c:v>8.1196027082045017</c:v>
                </c:pt>
                <c:pt idx="55">
                  <c:v>8.1519446334572692</c:v>
                </c:pt>
                <c:pt idx="56">
                  <c:v>8.18383792686455</c:v>
                </c:pt>
                <c:pt idx="57">
                  <c:v>8.2152965423899076</c:v>
                </c:pt>
                <c:pt idx="58">
                  <c:v>8.2463337677738693</c:v>
                </c:pt>
                <c:pt idx="59">
                  <c:v>8.2769622670551541</c:v>
                </c:pt>
                <c:pt idx="60">
                  <c:v>8.3071941197169767</c:v>
                </c:pt>
                <c:pt idx="61">
                  <c:v>8.3370408567769818</c:v>
                </c:pt>
                <c:pt idx="62">
                  <c:v>8.3665134941047885</c:v>
                </c:pt>
                <c:pt idx="63">
                  <c:v>8.3956225632205825</c:v>
                </c:pt>
                <c:pt idx="64">
                  <c:v>8.4243781398014583</c:v>
                </c:pt>
                <c:pt idx="65">
                  <c:v>8.4527898700986448</c:v>
                </c:pt>
                <c:pt idx="66">
                  <c:v>8.4808669954479772</c:v>
                </c:pt>
                <c:pt idx="67">
                  <c:v>8.5086183750375515</c:v>
                </c:pt>
                <c:pt idx="68">
                  <c:v>8.5360525070802016</c:v>
                </c:pt>
                <c:pt idx="69">
                  <c:v>8.563177548524024</c:v>
                </c:pt>
                <c:pt idx="70">
                  <c:v>8.5900013334212488</c:v>
                </c:pt>
                <c:pt idx="71">
                  <c:v>8.6165313900643685</c:v>
                </c:pt>
                <c:pt idx="72">
                  <c:v>8.6427749569881502</c:v>
                </c:pt>
                <c:pt idx="73">
                  <c:v>8.6687389979270772</c:v>
                </c:pt>
                <c:pt idx="74">
                  <c:v>8.6944302158095503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B46-44AF-B87A-04615ABCF5E3}"/>
            </c:ext>
          </c:extLst>
        </c:ser>
        <c:ser>
          <c:idx val="3"/>
          <c:order val="3"/>
          <c:tx>
            <c:v>KNSU</c:v>
          </c:tx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Burnrate!$AA$9:$AA$83</c:f>
              <c:numCache>
                <c:formatCode>General</c:formatCode>
                <c:ptCount val="75"/>
                <c:pt idx="0">
                  <c:v>4.0063235406169513</c:v>
                </c:pt>
                <c:pt idx="1">
                  <c:v>5.3112863117496252</c:v>
                </c:pt>
                <c:pt idx="2">
                  <c:v>6.154157302027957</c:v>
                </c:pt>
                <c:pt idx="3">
                  <c:v>6.8039853892487088</c:v>
                </c:pt>
                <c:pt idx="4">
                  <c:v>7.3430038203476196</c:v>
                </c:pt>
                <c:pt idx="5">
                  <c:v>7.7138769158553897</c:v>
                </c:pt>
                <c:pt idx="6">
                  <c:v>8.1368437956329398</c:v>
                </c:pt>
                <c:pt idx="7">
                  <c:v>8.5174619489981307</c:v>
                </c:pt>
                <c:pt idx="8">
                  <c:v>8.8648726296577909</c:v>
                </c:pt>
                <c:pt idx="9">
                  <c:v>9.1854242404966282</c:v>
                </c:pt>
                <c:pt idx="10">
                  <c:v>9.4065412024390511</c:v>
                </c:pt>
                <c:pt idx="11">
                  <c:v>9.6907507955007954</c:v>
                </c:pt>
                <c:pt idx="12">
                  <c:v>9.9582009066836878</c:v>
                </c:pt>
                <c:pt idx="13">
                  <c:v>10.211138208716385</c:v>
                </c:pt>
                <c:pt idx="14">
                  <c:v>10.451364245048202</c:v>
                </c:pt>
                <c:pt idx="15">
                  <c:v>10.680348243691963</c:v>
                </c:pt>
                <c:pt idx="16">
                  <c:v>10.899305898790347</c:v>
                </c:pt>
                <c:pt idx="17">
                  <c:v>11.109255829876441</c:v>
                </c:pt>
                <c:pt idx="18">
                  <c:v>11.311060959363074</c:v>
                </c:pt>
                <c:pt idx="19">
                  <c:v>11.505459435177105</c:v>
                </c:pt>
                <c:pt idx="20">
                  <c:v>11.693088141181613</c:v>
                </c:pt>
                <c:pt idx="21">
                  <c:v>11.874500847160288</c:v>
                </c:pt>
                <c:pt idx="22">
                  <c:v>12.050182413095706</c:v>
                </c:pt>
                <c:pt idx="23">
                  <c:v>12.220560042775332</c:v>
                </c:pt>
                <c:pt idx="24">
                  <c:v>12.38601229914714</c:v>
                </c:pt>
                <c:pt idx="25">
                  <c:v>12.636856219276774</c:v>
                </c:pt>
                <c:pt idx="26">
                  <c:v>12.791108275097109</c:v>
                </c:pt>
                <c:pt idx="27">
                  <c:v>12.94148832547007</c:v>
                </c:pt>
                <c:pt idx="28">
                  <c:v>13.088227790813562</c:v>
                </c:pt>
                <c:pt idx="29">
                  <c:v>13.231536786637625</c:v>
                </c:pt>
                <c:pt idx="30">
                  <c:v>13.371606727397856</c:v>
                </c:pt>
                <c:pt idx="31">
                  <c:v>13.508612538615981</c:v>
                </c:pt>
                <c:pt idx="32">
                  <c:v>13.642714546571433</c:v>
                </c:pt>
                <c:pt idx="33">
                  <c:v>13.774060100882698</c:v>
                </c:pt>
                <c:pt idx="34">
                  <c:v>13.902784974461726</c:v>
                </c:pt>
                <c:pt idx="35">
                  <c:v>14.029014576860025</c:v>
                </c:pt>
                <c:pt idx="36">
                  <c:v>14.15286501036107</c:v>
                </c:pt>
                <c:pt idx="37">
                  <c:v>14.274443992889061</c:v>
                </c:pt>
                <c:pt idx="38">
                  <c:v>14.393851667584638</c:v>
                </c:pt>
                <c:pt idx="39">
                  <c:v>14.511181315507365</c:v>
                </c:pt>
                <c:pt idx="40">
                  <c:v>14.626519985183409</c:v>
                </c:pt>
                <c:pt idx="41">
                  <c:v>14.739949050487544</c:v>
                </c:pt>
                <c:pt idx="42">
                  <c:v>14.851544706526093</c:v>
                </c:pt>
                <c:pt idx="43">
                  <c:v>14.961378411689379</c:v>
                </c:pt>
                <c:pt idx="44">
                  <c:v>15.069517282805291</c:v>
                </c:pt>
                <c:pt idx="45">
                  <c:v>15.17602444929908</c:v>
                </c:pt>
                <c:pt idx="46">
                  <c:v>15.280959371408951</c:v>
                </c:pt>
                <c:pt idx="47">
                  <c:v>15.389265924804342</c:v>
                </c:pt>
                <c:pt idx="48">
                  <c:v>15.491153061205791</c:v>
                </c:pt>
                <c:pt idx="49">
                  <c:v>15.591629364312524</c:v>
                </c:pt>
                <c:pt idx="50">
                  <c:v>15.6907420980202</c:v>
                </c:pt>
                <c:pt idx="51">
                  <c:v>15.788536050167133</c:v>
                </c:pt>
                <c:pt idx="52">
                  <c:v>15.885053707226641</c:v>
                </c:pt>
                <c:pt idx="53">
                  <c:v>15.980335413620324</c:v>
                </c:pt>
                <c:pt idx="54">
                  <c:v>16.074419517265053</c:v>
                </c:pt>
                <c:pt idx="55">
                  <c:v>16.167342502771259</c:v>
                </c:pt>
                <c:pt idx="56">
                  <c:v>16.259139113541448</c:v>
                </c:pt>
                <c:pt idx="57">
                  <c:v>16.349842463871937</c:v>
                </c:pt>
                <c:pt idx="58">
                  <c:v>16.439484142034068</c:v>
                </c:pt>
                <c:pt idx="59">
                  <c:v>16.528094305200984</c:v>
                </c:pt>
                <c:pt idx="60">
                  <c:v>16.615701766989869</c:v>
                </c:pt>
                <c:pt idx="61">
                  <c:v>16.702334078305423</c:v>
                </c:pt>
                <c:pt idx="62">
                  <c:v>16.788017602096723</c:v>
                </c:pt>
                <c:pt idx="63">
                  <c:v>16.87277758257477</c:v>
                </c:pt>
                <c:pt idx="64">
                  <c:v>16.956638209381165</c:v>
                </c:pt>
                <c:pt idx="65">
                  <c:v>17.039622677148028</c:v>
                </c:pt>
                <c:pt idx="66">
                  <c:v>17.121753240844736</c:v>
                </c:pt>
                <c:pt idx="67">
                  <c:v>17.203051267267902</c:v>
                </c:pt>
                <c:pt idx="68">
                  <c:v>17.28353728299594</c:v>
                </c:pt>
                <c:pt idx="69">
                  <c:v>17.363231019098606</c:v>
                </c:pt>
                <c:pt idx="70">
                  <c:v>17.442151452864127</c:v>
                </c:pt>
                <c:pt idx="71">
                  <c:v>17.520316846782137</c:v>
                </c:pt>
                <c:pt idx="72">
                  <c:v>17.597744784998241</c:v>
                </c:pt>
                <c:pt idx="73">
                  <c:v>17.674452207436644</c:v>
                </c:pt>
                <c:pt idx="74">
                  <c:v>17.750455441769379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B46-44AF-B87A-04615ABCF5E3}"/>
            </c:ext>
          </c:extLst>
        </c:ser>
        <c:ser>
          <c:idx val="4"/>
          <c:order val="4"/>
          <c:tx>
            <c:v>KNER Coarse</c:v>
          </c:tx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Burnrate!$AD$9:$AD$83</c:f>
              <c:numCache>
                <c:formatCode>General</c:formatCode>
                <c:ptCount val="75"/>
                <c:pt idx="0">
                  <c:v>1.1705073303177296</c:v>
                </c:pt>
                <c:pt idx="1">
                  <c:v>1.6669443061951288</c:v>
                </c:pt>
                <c:pt idx="2">
                  <c:v>2.0050852910630397</c:v>
                </c:pt>
                <c:pt idx="3">
                  <c:v>2.2740350358343679</c:v>
                </c:pt>
                <c:pt idx="4">
                  <c:v>2.502158816479831</c:v>
                </c:pt>
                <c:pt idx="5">
                  <c:v>2.6616283381672599</c:v>
                </c:pt>
                <c:pt idx="6">
                  <c:v>2.8458850077329401</c:v>
                </c:pt>
                <c:pt idx="7">
                  <c:v>3.0137895695176322</c:v>
                </c:pt>
                <c:pt idx="8">
                  <c:v>3.1687197595398047</c:v>
                </c:pt>
                <c:pt idx="9">
                  <c:v>3.3130476405669254</c:v>
                </c:pt>
                <c:pt idx="10">
                  <c:v>3.4133560332957864</c:v>
                </c:pt>
                <c:pt idx="11">
                  <c:v>3.5431666180067785</c:v>
                </c:pt>
                <c:pt idx="12">
                  <c:v>3.6662090804915897</c:v>
                </c:pt>
                <c:pt idx="13">
                  <c:v>3.7833498443975704</c:v>
                </c:pt>
                <c:pt idx="14">
                  <c:v>3.8952883413514137</c:v>
                </c:pt>
                <c:pt idx="15">
                  <c:v>4.002598522988575</c:v>
                </c:pt>
                <c:pt idx="16">
                  <c:v>4.1057580328790628</c:v>
                </c:pt>
                <c:pt idx="17">
                  <c:v>4.2051692348090439</c:v>
                </c:pt>
                <c:pt idx="18">
                  <c:v>4.3011747076556706</c:v>
                </c:pt>
                <c:pt idx="19">
                  <c:v>4.3940688841132829</c:v>
                </c:pt>
                <c:pt idx="20">
                  <c:v>4.4841069419350692</c:v>
                </c:pt>
                <c:pt idx="21">
                  <c:v>4.5715116989344065</c:v>
                </c:pt>
                <c:pt idx="22">
                  <c:v>4.6564790321090843</c:v>
                </c:pt>
                <c:pt idx="23">
                  <c:v>4.7391821884610827</c:v>
                </c:pt>
                <c:pt idx="24">
                  <c:v>4.819775251764181</c:v>
                </c:pt>
                <c:pt idx="25">
                  <c:v>4.9424846520138512</c:v>
                </c:pt>
                <c:pt idx="26">
                  <c:v>5.0182511202694222</c:v>
                </c:pt>
                <c:pt idx="27">
                  <c:v>5.0923394178357002</c:v>
                </c:pt>
                <c:pt idx="28">
                  <c:v>5.1648451506439796</c:v>
                </c:pt>
                <c:pt idx="29">
                  <c:v>5.2358553768711609</c:v>
                </c:pt>
                <c:pt idx="30">
                  <c:v>5.3054496300473195</c:v>
                </c:pt>
                <c:pt idx="31">
                  <c:v>5.3737007907047829</c:v>
                </c:pt>
                <c:pt idx="32">
                  <c:v>5.4406758330164502</c:v>
                </c:pt>
                <c:pt idx="33">
                  <c:v>5.5064364675921631</c:v>
                </c:pt>
                <c:pt idx="34">
                  <c:v>5.5710396975007379</c:v>
                </c:pt>
                <c:pt idx="35">
                  <c:v>5.6345383013730448</c:v>
                </c:pt>
                <c:pt idx="36">
                  <c:v>5.6969812549062393</c:v>
                </c:pt>
                <c:pt idx="37">
                  <c:v>5.7584141000737281</c:v>
                </c:pt>
                <c:pt idx="38">
                  <c:v>5.8188792697324221</c:v>
                </c:pt>
                <c:pt idx="39">
                  <c:v>5.8784163740195217</c:v>
                </c:pt>
                <c:pt idx="40">
                  <c:v>5.9370624538782817</c:v>
                </c:pt>
                <c:pt idx="41">
                  <c:v>5.9948522061941407</c:v>
                </c:pt>
                <c:pt idx="42">
                  <c:v>6.0518181843196643</c:v>
                </c:pt>
                <c:pt idx="43">
                  <c:v>6.1079909771877627</c:v>
                </c:pt>
                <c:pt idx="44">
                  <c:v>6.1633993697335185</c:v>
                </c:pt>
                <c:pt idx="45">
                  <c:v>6.2180704869466865</c:v>
                </c:pt>
                <c:pt idx="46">
                  <c:v>6.2720299235442489</c:v>
                </c:pt>
                <c:pt idx="47">
                  <c:v>6.3278218658739025</c:v>
                </c:pt>
                <c:pt idx="48">
                  <c:v>6.3803980788639256</c:v>
                </c:pt>
                <c:pt idx="49">
                  <c:v>6.4323323319313559</c:v>
                </c:pt>
                <c:pt idx="50">
                  <c:v>6.4836451115017439</c:v>
                </c:pt>
                <c:pt idx="51">
                  <c:v>6.5343558623541309</c:v>
                </c:pt>
                <c:pt idx="52">
                  <c:v>6.5844830595512249</c:v>
                </c:pt>
                <c:pt idx="53">
                  <c:v>6.6340442741419654</c:v>
                </c:pt>
                <c:pt idx="54">
                  <c:v>6.683056233280726</c:v>
                </c:pt>
                <c:pt idx="55">
                  <c:v>6.7315348753303219</c:v>
                </c:pt>
                <c:pt idx="56">
                  <c:v>6.7794954004493073</c:v>
                </c:pt>
                <c:pt idx="57">
                  <c:v>6.8269523171061817</c:v>
                </c:pt>
                <c:pt idx="58">
                  <c:v>6.8739194849129204</c:v>
                </c:pt>
                <c:pt idx="59">
                  <c:v>6.9204101541263778</c:v>
                </c:pt>
                <c:pt idx="60">
                  <c:v>6.9664370021279289</c:v>
                </c:pt>
                <c:pt idx="61">
                  <c:v>7.0120121671581304</c:v>
                </c:pt>
                <c:pt idx="62">
                  <c:v>7.057147279553841</c:v>
                </c:pt>
                <c:pt idx="63">
                  <c:v>7.1018534907093276</c:v>
                </c:pt>
                <c:pt idx="64">
                  <c:v>7.1461414999601116</c:v>
                </c:pt>
                <c:pt idx="65">
                  <c:v>7.1900215795681497</c:v>
                </c:pt>
                <c:pt idx="66">
                  <c:v>7.2335035979691371</c:v>
                </c:pt>
                <c:pt idx="67">
                  <c:v>7.2765970414268999</c:v>
                </c:pt>
                <c:pt idx="68">
                  <c:v>7.3193110342258034</c:v>
                </c:pt>
                <c:pt idx="69">
                  <c:v>7.3616543575196065</c:v>
                </c:pt>
                <c:pt idx="70">
                  <c:v>7.4036354669440323</c:v>
                </c:pt>
                <c:pt idx="71">
                  <c:v>7.4452625090904112</c:v>
                </c:pt>
                <c:pt idx="72">
                  <c:v>7.4865433369287784</c:v>
                </c:pt>
                <c:pt idx="73">
                  <c:v>7.5274855242609071</c:v>
                </c:pt>
                <c:pt idx="74">
                  <c:v>7.5680963792765219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B46-44AF-B87A-04615ABCF5E3}"/>
            </c:ext>
          </c:extLst>
        </c:ser>
        <c:ser>
          <c:idx val="5"/>
          <c:order val="5"/>
          <c:tx>
            <c:v>KNFR</c:v>
          </c:tx>
          <c:spPr>
            <a:ln w="25400">
              <a:solidFill>
                <a:schemeClr val="accent6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Burnrate!$AJ$9:$AJ$83</c:f>
              <c:numCache>
                <c:formatCode>General</c:formatCode>
                <c:ptCount val="75"/>
                <c:pt idx="0">
                  <c:v>4.1972690333403282</c:v>
                </c:pt>
                <c:pt idx="1">
                  <c:v>2.7249881072410118</c:v>
                </c:pt>
                <c:pt idx="2">
                  <c:v>5.8757864446362271</c:v>
                </c:pt>
                <c:pt idx="3">
                  <c:v>6.3566923165906974</c:v>
                </c:pt>
                <c:pt idx="4">
                  <c:v>6.7480729027969204</c:v>
                </c:pt>
                <c:pt idx="5">
                  <c:v>7.013747120498742</c:v>
                </c:pt>
                <c:pt idx="6">
                  <c:v>7.3133913440034917</c:v>
                </c:pt>
                <c:pt idx="7">
                  <c:v>7.5801630853860091</c:v>
                </c:pt>
                <c:pt idx="8">
                  <c:v>7.8214156508743988</c:v>
                </c:pt>
                <c:pt idx="9">
                  <c:v>8.0422074505158729</c:v>
                </c:pt>
                <c:pt idx="10">
                  <c:v>8.1935378614209071</c:v>
                </c:pt>
                <c:pt idx="11">
                  <c:v>8.3869239653624046</c:v>
                </c:pt>
                <c:pt idx="12">
                  <c:v>8.5677885359303758</c:v>
                </c:pt>
                <c:pt idx="13">
                  <c:v>8.7378741404185103</c:v>
                </c:pt>
                <c:pt idx="14">
                  <c:v>8.8985701392664716</c:v>
                </c:pt>
                <c:pt idx="15">
                  <c:v>9.051003655134167</c:v>
                </c:pt>
                <c:pt idx="16">
                  <c:v>9.1961027603038037</c:v>
                </c:pt>
                <c:pt idx="17">
                  <c:v>9.3346415362260817</c:v>
                </c:pt>
                <c:pt idx="18">
                  <c:v>9.4672729442092223</c:v>
                </c:pt>
                <c:pt idx="19">
                  <c:v>9.5945532846241601</c:v>
                </c:pt>
                <c:pt idx="20">
                  <c:v>9.7169607177155495</c:v>
                </c:pt>
                <c:pt idx="21">
                  <c:v>9.8349095068547836</c:v>
                </c:pt>
                <c:pt idx="22">
                  <c:v>9.9487611249664454</c:v>
                </c:pt>
                <c:pt idx="23">
                  <c:v>10.058833023504658</c:v>
                </c:pt>
                <c:pt idx="24">
                  <c:v>10.165405634324063</c:v>
                </c:pt>
                <c:pt idx="25">
                  <c:v>10.326396627737143</c:v>
                </c:pt>
                <c:pt idx="26">
                  <c:v>10.425051640599454</c:v>
                </c:pt>
                <c:pt idx="27">
                  <c:v>10.520982792737936</c:v>
                </c:pt>
                <c:pt idx="28">
                  <c:v>10.614359355674466</c:v>
                </c:pt>
                <c:pt idx="29">
                  <c:v>10.705334635668097</c:v>
                </c:pt>
                <c:pt idx="30">
                  <c:v>10.794047959220769</c:v>
                </c:pt>
                <c:pt idx="31">
                  <c:v>10.880626355817851</c:v>
                </c:pt>
                <c:pt idx="32">
                  <c:v>10.965185992058132</c:v>
                </c:pt>
                <c:pt idx="33">
                  <c:v>11.047833400298872</c:v>
                </c:pt>
                <c:pt idx="34">
                  <c:v>11.128666536416029</c:v>
                </c:pt>
                <c:pt idx="35">
                  <c:v>11.207775694634545</c:v>
                </c:pt>
                <c:pt idx="36">
                  <c:v>11.285244302163202</c:v>
                </c:pt>
                <c:pt idx="37">
                  <c:v>11.361149612237483</c:v>
                </c:pt>
                <c:pt idx="38">
                  <c:v>11.435563310882092</c:v>
                </c:pt>
                <c:pt idx="39">
                  <c:v>11.50855205006471</c:v>
                </c:pt>
                <c:pt idx="40">
                  <c:v>11.580177917782205</c:v>
                </c:pt>
                <c:pt idx="41">
                  <c:v>11.650498853891351</c:v>
                </c:pt>
                <c:pt idx="42">
                  <c:v>11.719569019084915</c:v>
                </c:pt>
                <c:pt idx="43">
                  <c:v>11.78743912325632</c:v>
                </c:pt>
                <c:pt idx="44">
                  <c:v>11.854156718541505</c:v>
                </c:pt>
                <c:pt idx="45">
                  <c:v>11.919766461536112</c:v>
                </c:pt>
                <c:pt idx="46">
                  <c:v>11.984310348528084</c:v>
                </c:pt>
                <c:pt idx="47">
                  <c:v>12.050827617659314</c:v>
                </c:pt>
                <c:pt idx="48">
                  <c:v>12.113309974915285</c:v>
                </c:pt>
                <c:pt idx="49">
                  <c:v>12.174840143736873</c:v>
                </c:pt>
                <c:pt idx="50">
                  <c:v>12.235451309528322</c:v>
                </c:pt>
                <c:pt idx="51">
                  <c:v>12.29517487564703</c:v>
                </c:pt>
                <c:pt idx="52">
                  <c:v>12.354040591402779</c:v>
                </c:pt>
                <c:pt idx="53">
                  <c:v>12.412076668629981</c:v>
                </c:pt>
                <c:pt idx="54">
                  <c:v>12.46930988804499</c:v>
                </c:pt>
                <c:pt idx="55">
                  <c:v>12.525765696452495</c:v>
                </c:pt>
                <c:pt idx="56">
                  <c:v>12.581468295737162</c:v>
                </c:pt>
                <c:pt idx="57">
                  <c:v>12.636440724466194</c:v>
                </c:pt>
                <c:pt idx="58">
                  <c:v>12.690704932832819</c:v>
                </c:pt>
                <c:pt idx="59">
                  <c:v>12.744281851587347</c:v>
                </c:pt>
                <c:pt idx="60">
                  <c:v>12.797191455530086</c:v>
                </c:pt>
                <c:pt idx="61">
                  <c:v>12.849452822076939</c:v>
                </c:pt>
                <c:pt idx="62">
                  <c:v>12.901084185353186</c:v>
                </c:pt>
                <c:pt idx="63">
                  <c:v>12.952102986222215</c:v>
                </c:pt>
                <c:pt idx="64">
                  <c:v>13.002525918613269</c:v>
                </c:pt>
                <c:pt idx="65">
                  <c:v>13.052368972474545</c:v>
                </c:pt>
                <c:pt idx="66">
                  <c:v>13.101647473644753</c:v>
                </c:pt>
                <c:pt idx="67">
                  <c:v>13.150376120906746</c:v>
                </c:pt>
                <c:pt idx="68">
                  <c:v>13.198569020460795</c:v>
                </c:pt>
                <c:pt idx="69">
                  <c:v>13.246239718031903</c:v>
                </c:pt>
                <c:pt idx="70">
                  <c:v>13.293401228804905</c:v>
                </c:pt>
                <c:pt idx="71">
                  <c:v>13.340066065362763</c:v>
                </c:pt>
                <c:pt idx="72">
                  <c:v>13.386246263787081</c:v>
                </c:pt>
                <c:pt idx="73">
                  <c:v>13.431953408065175</c:v>
                </c:pt>
                <c:pt idx="74">
                  <c:v>13.477198652934886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B46-44AF-B87A-04615ABCF5E3}"/>
            </c:ext>
          </c:extLst>
        </c:ser>
        <c:ser>
          <c:idx val="6"/>
          <c:order val="6"/>
          <c:tx>
            <c:v>KNPSB</c:v>
          </c:tx>
          <c:spPr>
            <a:ln w="25400"/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Burnrate!$AG$9:$AG$83</c:f>
              <c:numCache>
                <c:formatCode>General</c:formatCode>
                <c:ptCount val="75"/>
                <c:pt idx="0">
                  <c:v>1.5642130193513473</c:v>
                </c:pt>
                <c:pt idx="1">
                  <c:v>2.7249881072410118</c:v>
                </c:pt>
                <c:pt idx="2">
                  <c:v>3.6416405487216759</c:v>
                </c:pt>
                <c:pt idx="3">
                  <c:v>4.4373126292294538</c:v>
                </c:pt>
                <c:pt idx="4">
                  <c:v>5.1558805653125406</c:v>
                </c:pt>
                <c:pt idx="5">
                  <c:v>5.6810673304710848</c:v>
                </c:pt>
                <c:pt idx="6">
                  <c:v>6.3105866731279221</c:v>
                </c:pt>
                <c:pt idx="7">
                  <c:v>6.904874555942639</c:v>
                </c:pt>
                <c:pt idx="8">
                  <c:v>7.4702668576959486</c:v>
                </c:pt>
                <c:pt idx="9">
                  <c:v>8.01135467453026</c:v>
                </c:pt>
                <c:pt idx="10">
                  <c:v>8.3954425955308736</c:v>
                </c:pt>
                <c:pt idx="11">
                  <c:v>8.9021165022776234</c:v>
                </c:pt>
                <c:pt idx="12">
                  <c:v>9.3922479475190634</c:v>
                </c:pt>
                <c:pt idx="13">
                  <c:v>9.8676697988229947</c:v>
                </c:pt>
                <c:pt idx="14">
                  <c:v>10.329889818849496</c:v>
                </c:pt>
                <c:pt idx="15">
                  <c:v>10.780166988144853</c:v>
                </c:pt>
                <c:pt idx="16">
                  <c:v>11.219566096126943</c:v>
                </c:pt>
                <c:pt idx="17">
                  <c:v>11.648997742109536</c:v>
                </c:pt>
                <c:pt idx="18">
                  <c:v>12.069248263561752</c:v>
                </c:pt>
                <c:pt idx="19">
                  <c:v>12.481002539659375</c:v>
                </c:pt>
                <c:pt idx="20">
                  <c:v>12.884861647272995</c:v>
                </c:pt>
                <c:pt idx="21">
                  <c:v>13.281356727501089</c:v>
                </c:pt>
                <c:pt idx="22">
                  <c:v>13.670960015615663</c:v>
                </c:pt>
                <c:pt idx="23">
                  <c:v>14.05409371572029</c:v>
                </c:pt>
                <c:pt idx="24">
                  <c:v>14.431137215583565</c:v>
                </c:pt>
                <c:pt idx="25">
                  <c:v>15.012142113684396</c:v>
                </c:pt>
                <c:pt idx="26">
                  <c:v>15.375022237708167</c:v>
                </c:pt>
                <c:pt idx="27">
                  <c:v>15.732898040730188</c:v>
                </c:pt>
                <c:pt idx="28">
                  <c:v>16.08601499643903</c:v>
                </c:pt>
                <c:pt idx="29">
                  <c:v>16.434598476510683</c:v>
                </c:pt>
                <c:pt idx="30">
                  <c:v>16.778856013022484</c:v>
                </c:pt>
                <c:pt idx="31">
                  <c:v>17.118979241345706</c:v>
                </c:pt>
                <c:pt idx="32">
                  <c:v>17.455145577236557</c:v>
                </c:pt>
                <c:pt idx="33">
                  <c:v>17.787519671456163</c:v>
                </c:pt>
                <c:pt idx="34">
                  <c:v>18.116254677117375</c:v>
                </c:pt>
                <c:pt idx="35">
                  <c:v>18.441493358539184</c:v>
                </c:pt>
                <c:pt idx="36">
                  <c:v>18.76336906528817</c:v>
                </c:pt>
                <c:pt idx="37">
                  <c:v>19.082006591003598</c:v>
                </c:pt>
                <c:pt idx="38">
                  <c:v>19.397522933312143</c:v>
                </c:pt>
                <c:pt idx="39">
                  <c:v>19.710027968471358</c:v>
                </c:pt>
                <c:pt idx="40">
                  <c:v>20.019625052205637</c:v>
                </c:pt>
                <c:pt idx="41">
                  <c:v>20.326411556414772</c:v>
                </c:pt>
                <c:pt idx="42">
                  <c:v>20.630479349965263</c:v>
                </c:pt>
                <c:pt idx="43">
                  <c:v>20.931915230556509</c:v>
                </c:pt>
                <c:pt idx="44">
                  <c:v>21.230801313640502</c:v>
                </c:pt>
                <c:pt idx="45">
                  <c:v>21.527215383526293</c:v>
                </c:pt>
                <c:pt idx="46">
                  <c:v>21.821231211089057</c:v>
                </c:pt>
                <c:pt idx="47">
                  <c:v>22.126751803130642</c:v>
                </c:pt>
                <c:pt idx="48">
                  <c:v>22.41607172837162</c:v>
                </c:pt>
                <c:pt idx="49">
                  <c:v>22.703196336569555</c:v>
                </c:pt>
                <c:pt idx="50">
                  <c:v>22.988185839509619</c:v>
                </c:pt>
                <c:pt idx="51">
                  <c:v>23.271097649655964</c:v>
                </c:pt>
                <c:pt idx="52">
                  <c:v>23.551986561614953</c:v>
                </c:pt>
                <c:pt idx="53">
                  <c:v>23.830904918633717</c:v>
                </c:pt>
                <c:pt idx="54">
                  <c:v>24.107902765622388</c:v>
                </c:pt>
                <c:pt idx="55">
                  <c:v>24.383027990015837</c:v>
                </c:pt>
                <c:pt idx="56">
                  <c:v>24.65632645164137</c:v>
                </c:pt>
                <c:pt idx="57">
                  <c:v>24.927842102628137</c:v>
                </c:pt>
                <c:pt idx="58">
                  <c:v>25.197617098280411</c:v>
                </c:pt>
                <c:pt idx="59">
                  <c:v>25.465691899737347</c:v>
                </c:pt>
                <c:pt idx="60">
                  <c:v>25.732105369154297</c:v>
                </c:pt>
                <c:pt idx="61">
                  <c:v>25.996894858064262</c:v>
                </c:pt>
                <c:pt idx="62">
                  <c:v>26.260096289510134</c:v>
                </c:pt>
                <c:pt idx="63">
                  <c:v>26.521744234478859</c:v>
                </c:pt>
                <c:pt idx="64">
                  <c:v>26.781871983115582</c:v>
                </c:pt>
                <c:pt idx="65">
                  <c:v>27.040511611149185</c:v>
                </c:pt>
                <c:pt idx="66">
                  <c:v>27.297694041918795</c:v>
                </c:pt>
                <c:pt idx="67">
                  <c:v>27.553449104354016</c:v>
                </c:pt>
                <c:pt idx="68">
                  <c:v>27.80780558722828</c:v>
                </c:pt>
                <c:pt idx="69">
                  <c:v>28.060791289975612</c:v>
                </c:pt>
                <c:pt idx="70">
                  <c:v>28.312433070334297</c:v>
                </c:pt>
                <c:pt idx="71">
                  <c:v>28.562756889057564</c:v>
                </c:pt>
                <c:pt idx="72">
                  <c:v>28.811787851910161</c:v>
                </c:pt>
                <c:pt idx="73">
                  <c:v>29.059550249150206</c:v>
                </c:pt>
                <c:pt idx="74">
                  <c:v>29.306067592679206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B46-44AF-B87A-04615ABCF5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664779648"/>
        <c:axId val="-664768224"/>
      </c:scatterChart>
      <c:valAx>
        <c:axId val="-664779648"/>
        <c:scaling>
          <c:orientation val="minMax"/>
          <c:max val="12"/>
        </c:scaling>
        <c:delete val="0"/>
        <c:axPos val="b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Pressure  (MPa)</a:t>
                </a:r>
              </a:p>
            </c:rich>
          </c:tx>
          <c:layout>
            <c:manualLayout>
              <c:xMode val="edge"/>
              <c:yMode val="edge"/>
              <c:x val="0.26369252671541055"/>
              <c:y val="0.9109485051742269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664768224"/>
        <c:crosses val="autoZero"/>
        <c:crossBetween val="midCat"/>
        <c:majorUnit val="2"/>
      </c:valAx>
      <c:valAx>
        <c:axId val="-664768224"/>
        <c:scaling>
          <c:orientation val="minMax"/>
          <c:max val="30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900"/>
                  <a:t>Burn rate  (mm/s)</a:t>
                </a:r>
              </a:p>
            </c:rich>
          </c:tx>
          <c:layout>
            <c:manualLayout>
              <c:xMode val="edge"/>
              <c:yMode val="edge"/>
              <c:x val="3.8539616141732284E-2"/>
              <c:y val="0.2166662248027077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66477964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6073479096362953"/>
          <c:y val="8.7544738725841093E-2"/>
          <c:w val="0.32367067397825278"/>
          <c:h val="0.5320037646809301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0.png"/><Relationship Id="rId3" Type="http://schemas.openxmlformats.org/officeDocument/2006/relationships/image" Target="../media/image3.png"/><Relationship Id="rId7" Type="http://schemas.openxmlformats.org/officeDocument/2006/relationships/image" Target="../media/image7.emf"/><Relationship Id="rId12" Type="http://schemas.openxmlformats.org/officeDocument/2006/relationships/chart" Target="../charts/chart5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6.png"/><Relationship Id="rId11" Type="http://schemas.openxmlformats.org/officeDocument/2006/relationships/chart" Target="../charts/chart4.xml"/><Relationship Id="rId5" Type="http://schemas.openxmlformats.org/officeDocument/2006/relationships/image" Target="../media/image5.png"/><Relationship Id="rId10" Type="http://schemas.openxmlformats.org/officeDocument/2006/relationships/image" Target="../media/image9.png"/><Relationship Id="rId4" Type="http://schemas.openxmlformats.org/officeDocument/2006/relationships/image" Target="../media/image4.png"/><Relationship Id="rId9" Type="http://schemas.openxmlformats.org/officeDocument/2006/relationships/chart" Target="../charts/chart3.xml"/><Relationship Id="rId14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.png"/><Relationship Id="rId2" Type="http://schemas.openxmlformats.org/officeDocument/2006/relationships/image" Target="../media/image14.png"/><Relationship Id="rId1" Type="http://schemas.openxmlformats.org/officeDocument/2006/relationships/chart" Target="../charts/chart14.xml"/><Relationship Id="rId6" Type="http://schemas.openxmlformats.org/officeDocument/2006/relationships/image" Target="../media/image17.png"/><Relationship Id="rId5" Type="http://schemas.openxmlformats.org/officeDocument/2006/relationships/image" Target="../media/image16.png"/><Relationship Id="rId4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4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21.emf"/><Relationship Id="rId2" Type="http://schemas.openxmlformats.org/officeDocument/2006/relationships/image" Target="../media/image20.emf"/><Relationship Id="rId1" Type="http://schemas.openxmlformats.org/officeDocument/2006/relationships/image" Target="../media/image19.emf"/><Relationship Id="rId6" Type="http://schemas.openxmlformats.org/officeDocument/2006/relationships/image" Target="../media/image24.emf"/><Relationship Id="rId5" Type="http://schemas.openxmlformats.org/officeDocument/2006/relationships/image" Target="../media/image23.emf"/><Relationship Id="rId4" Type="http://schemas.openxmlformats.org/officeDocument/2006/relationships/image" Target="../media/image2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318390</xdr:colOff>
      <xdr:row>2</xdr:row>
      <xdr:rowOff>18588</xdr:rowOff>
    </xdr:from>
    <xdr:to>
      <xdr:col>23</xdr:col>
      <xdr:colOff>255716</xdr:colOff>
      <xdr:row>50</xdr:row>
      <xdr:rowOff>148308</xdr:rowOff>
    </xdr:to>
    <xdr:pic>
      <xdr:nvPicPr>
        <xdr:cNvPr id="2" name="Imagen 1" descr="Pin by Alma Ro on Space | Rocket engine, Apollo space program, Blueprints">
          <a:extLst>
            <a:ext uri="{FF2B5EF4-FFF2-40B4-BE49-F238E27FC236}">
              <a16:creationId xmlns:a16="http://schemas.microsoft.com/office/drawing/2014/main" id="{94CD42FF-7416-4AFF-8B3A-1106042874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47299" y="341861"/>
          <a:ext cx="8504053" cy="809608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64770</xdr:colOff>
      <xdr:row>8</xdr:row>
      <xdr:rowOff>42862</xdr:rowOff>
    </xdr:from>
    <xdr:ext cx="4977519" cy="33813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83E415E-EE23-7CA1-8E6D-3F0E695CFA6A}"/>
                </a:ext>
              </a:extLst>
            </xdr:cNvPr>
            <xdr:cNvSpPr txBox="1"/>
          </xdr:nvSpPr>
          <xdr:spPr>
            <a:xfrm>
              <a:off x="4091268" y="1297921"/>
              <a:ext cx="4970079" cy="33813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naryPr>
                      <m:sub/>
                      <m:sup/>
                      <m:e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𝐹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𝑧</m:t>
                            </m:r>
                          </m:sub>
                        </m:s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=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𝑇h𝑟𝑢𝑠𝑡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𝐺𝑟𝑎𝑣𝑖𝑡𝑦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𝐷𝑟𝑎𝑔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=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𝑚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∆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𝑣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𝑧</m:t>
                            </m:r>
                          </m:sub>
                        </m:sSub>
                      </m:e>
                    </m:nary>
                    <m:r>
                      <a:rPr lang="es-MX" sz="1100" b="0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𝑤h𝑒𝑟𝑒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 ∆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𝑣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𝑧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𝑑𝑒𝑝𝑒𝑛𝑑𝑠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𝑜𝑛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𝑚𝑜𝑡𝑜𝑟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𝑡h𝑟𝑢𝑠𝑡</m:t>
                    </m:r>
                  </m:oMath>
                </m:oMathPara>
              </a14:m>
              <a:endParaRPr lang="es-MX" sz="1100" b="0"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83E415E-EE23-7CA1-8E6D-3F0E695CFA6A}"/>
                </a:ext>
              </a:extLst>
            </xdr:cNvPr>
            <xdr:cNvSpPr txBox="1"/>
          </xdr:nvSpPr>
          <xdr:spPr>
            <a:xfrm>
              <a:off x="4091268" y="1297921"/>
              <a:ext cx="4970079" cy="33813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n-US" sz="1100" i="0">
                  <a:latin typeface="Cambria Math" panose="02040503050406030204" pitchFamily="18" charset="0"/>
                </a:rPr>
                <a:t>∑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▒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〖</a:t>
              </a:r>
              <a:r>
                <a:rPr lang="es-MX" sz="1100" b="0" i="0">
                  <a:latin typeface="Cambria Math" panose="02040503050406030204" pitchFamily="18" charset="0"/>
                </a:rPr>
                <a:t>𝐹_𝑧=𝑇ℎ𝑟𝑢𝑠𝑡−𝐺𝑟𝑎𝑣𝑖𝑡𝑦−𝐷𝑟𝑎𝑔=𝑚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∆𝑣_𝑧 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〗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s-MX" sz="1100" b="0" i="0">
                  <a:latin typeface="Cambria Math" panose="02040503050406030204" pitchFamily="18" charset="0"/>
                </a:rPr>
                <a:t> 𝑤ℎ𝑒𝑟𝑒 ∆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𝑣_𝑧  𝑑𝑒𝑝𝑒𝑛𝑑𝑠 𝑜𝑛 𝑚𝑜𝑡𝑜𝑟 𝑡ℎ𝑟𝑢𝑠𝑡</a:t>
              </a:r>
              <a:endParaRPr lang="es-MX" sz="1100" b="0"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1127760</xdr:colOff>
          <xdr:row>39</xdr:row>
          <xdr:rowOff>144780</xdr:rowOff>
        </xdr:from>
        <xdr:to>
          <xdr:col>3</xdr:col>
          <xdr:colOff>99060</xdr:colOff>
          <xdr:row>42</xdr:row>
          <xdr:rowOff>0</xdr:rowOff>
        </xdr:to>
        <xdr:sp macro="" textlink="">
          <xdr:nvSpPr>
            <xdr:cNvPr id="3750925" name="Button 13" hidden="1">
              <a:extLst>
                <a:ext uri="{63B3BB69-23CF-44E3-9099-C40C66FF867C}">
                  <a14:compatExt spid="_x0000_s3750925"/>
                </a:ext>
                <a:ext uri="{FF2B5EF4-FFF2-40B4-BE49-F238E27FC236}">
                  <a16:creationId xmlns:a16="http://schemas.microsoft.com/office/drawing/2014/main" id="{00000000-0008-0000-0100-00000D3C3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Estimate</a:t>
              </a:r>
            </a:p>
          </xdr:txBody>
        </xdr:sp>
        <xdr:clientData fPrintsWithSheet="0"/>
      </xdr:twoCellAnchor>
    </mc:Choice>
    <mc:Fallback/>
  </mc:AlternateContent>
  <xdr:oneCellAnchor>
    <xdr:from>
      <xdr:col>14</xdr:col>
      <xdr:colOff>83820</xdr:colOff>
      <xdr:row>8</xdr:row>
      <xdr:rowOff>61912</xdr:rowOff>
    </xdr:from>
    <xdr:ext cx="125906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344492EA-BC41-CD33-3D29-F91D4E7D0513}"/>
                </a:ext>
              </a:extLst>
            </xdr:cNvPr>
            <xdr:cNvSpPr txBox="1"/>
          </xdr:nvSpPr>
          <xdr:spPr>
            <a:xfrm>
              <a:off x="12352020" y="1433512"/>
              <a:ext cx="125906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𝑣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𝑣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∆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𝑎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+∆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e>
                    </m:d>
                  </m:oMath>
                </m:oMathPara>
              </a14:m>
              <a:endParaRPr lang="es-MX" sz="1100" b="0"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344492EA-BC41-CD33-3D29-F91D4E7D0513}"/>
                </a:ext>
              </a:extLst>
            </xdr:cNvPr>
            <xdr:cNvSpPr txBox="1"/>
          </xdr:nvSpPr>
          <xdr:spPr>
            <a:xfrm>
              <a:off x="12352020" y="1433512"/>
              <a:ext cx="125906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𝑣=𝑣_0+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∆𝑎(𝑡+∆𝑡)</a:t>
              </a:r>
              <a:endParaRPr lang="es-MX" sz="1100" b="0"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xdr:oneCellAnchor>
    <xdr:from>
      <xdr:col>14</xdr:col>
      <xdr:colOff>57150</xdr:colOff>
      <xdr:row>11</xdr:row>
      <xdr:rowOff>150495</xdr:rowOff>
    </xdr:from>
    <xdr:ext cx="2159758" cy="31688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2FC99793-D7ED-C6E2-95FF-7FA7A9C870BA}"/>
                </a:ext>
              </a:extLst>
            </xdr:cNvPr>
            <xdr:cNvSpPr txBox="1"/>
          </xdr:nvSpPr>
          <xdr:spPr>
            <a:xfrm>
              <a:off x="12325350" y="2036445"/>
              <a:ext cx="2159758" cy="3168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h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𝑣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(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𝑡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+∆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𝑡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)+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1</m:t>
                        </m:r>
                      </m:num>
                      <m:den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2</m:t>
                        </m:r>
                      </m:den>
                    </m:f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∆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𝑎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+∆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e>
                    </m:d>
                  </m:oMath>
                </m:oMathPara>
              </a14:m>
              <a:endParaRPr lang="es-MX" sz="1100" b="0"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2FC99793-D7ED-C6E2-95FF-7FA7A9C870BA}"/>
                </a:ext>
              </a:extLst>
            </xdr:cNvPr>
            <xdr:cNvSpPr txBox="1"/>
          </xdr:nvSpPr>
          <xdr:spPr>
            <a:xfrm>
              <a:off x="12325350" y="2036445"/>
              <a:ext cx="2159758" cy="3168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ℎ=ℎ_0+𝑣_0 (𝑡+∆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𝑡)+</a:t>
              </a:r>
              <a:r>
                <a:rPr lang="es-MX" sz="1100" b="0" i="0">
                  <a:latin typeface="Cambria Math" panose="02040503050406030204" pitchFamily="18" charset="0"/>
                </a:rPr>
                <a:t>1/2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∆𝑎(𝑡+∆𝑡)</a:t>
              </a:r>
              <a:endParaRPr lang="es-MX" sz="1100" b="0"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39</xdr:row>
          <xdr:rowOff>137160</xdr:rowOff>
        </xdr:from>
        <xdr:to>
          <xdr:col>1</xdr:col>
          <xdr:colOff>937260</xdr:colOff>
          <xdr:row>41</xdr:row>
          <xdr:rowOff>144780</xdr:rowOff>
        </xdr:to>
        <xdr:sp macro="" textlink="">
          <xdr:nvSpPr>
            <xdr:cNvPr id="3751263" name="Button 351" hidden="1">
              <a:extLst>
                <a:ext uri="{63B3BB69-23CF-44E3-9099-C40C66FF867C}">
                  <a14:compatExt spid="_x0000_s3751263"/>
                </a:ext>
                <a:ext uri="{FF2B5EF4-FFF2-40B4-BE49-F238E27FC236}">
                  <a16:creationId xmlns:a16="http://schemas.microsoft.com/office/drawing/2014/main" id="{00000000-0008-0000-0100-00005F3D3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480060</xdr:colOff>
      <xdr:row>29</xdr:row>
      <xdr:rowOff>68580</xdr:rowOff>
    </xdr:from>
    <xdr:to>
      <xdr:col>13</xdr:col>
      <xdr:colOff>304800</xdr:colOff>
      <xdr:row>38</xdr:row>
      <xdr:rowOff>2540</xdr:rowOff>
    </xdr:to>
    <xdr:pic>
      <xdr:nvPicPr>
        <xdr:cNvPr id="7380271" name="Picture 3">
          <a:extLst>
            <a:ext uri="{FF2B5EF4-FFF2-40B4-BE49-F238E27FC236}">
              <a16:creationId xmlns:a16="http://schemas.microsoft.com/office/drawing/2014/main" id="{A2AF755F-6EA6-6C2E-A769-106DFD01E6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1620" y="5044440"/>
          <a:ext cx="2499360" cy="1447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9617</xdr:colOff>
      <xdr:row>20</xdr:row>
      <xdr:rowOff>155303</xdr:rowOff>
    </xdr:from>
    <xdr:to>
      <xdr:col>9</xdr:col>
      <xdr:colOff>576037</xdr:colOff>
      <xdr:row>42</xdr:row>
      <xdr:rowOff>132987</xdr:rowOff>
    </xdr:to>
    <xdr:graphicFrame macro="">
      <xdr:nvGraphicFramePr>
        <xdr:cNvPr id="8208926" name="Chart 1">
          <a:extLst>
            <a:ext uri="{FF2B5EF4-FFF2-40B4-BE49-F238E27FC236}">
              <a16:creationId xmlns:a16="http://schemas.microsoft.com/office/drawing/2014/main" id="{68E634A7-8D33-11A0-D23F-6B9721EA69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13</xdr:col>
      <xdr:colOff>142875</xdr:colOff>
      <xdr:row>2</xdr:row>
      <xdr:rowOff>98107</xdr:rowOff>
    </xdr:from>
    <xdr:ext cx="2033606" cy="55730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20E2004A-3AFC-9417-5EB4-8E7FC4687C65}"/>
                </a:ext>
              </a:extLst>
            </xdr:cNvPr>
            <xdr:cNvSpPr txBox="1"/>
          </xdr:nvSpPr>
          <xdr:spPr>
            <a:xfrm>
              <a:off x="8834438" y="423862"/>
              <a:ext cx="2041028" cy="564357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p>
                      <m:sSup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begChr m:val="["/>
                            <m:endChr m:val="]"/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  <m:t>𝐾</m:t>
                                </m:r>
                              </m:e>
                              <m:sub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  <m:t>𝑛</m:t>
                                </m:r>
                              </m:sub>
                            </m:sSub>
                            <m:f>
                              <m:f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  <m:t>𝑎</m:t>
                                </m:r>
                              </m:num>
                              <m:den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𝛼</m:t>
                                </m:r>
                              </m:den>
                            </m:f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𝜌</m:t>
                            </m:r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 </m:t>
                            </m:r>
                            <m:sSup>
                              <m:sSup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𝑐</m:t>
                                </m:r>
                              </m:e>
                              <m:sup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e>
                        </m:d>
                      </m:e>
                      <m:sup>
                        <m:f>
                          <m:f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1</m:t>
                            </m:r>
                          </m:num>
                          <m:den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1−</m:t>
                            </m:r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𝑛</m:t>
                            </m:r>
                          </m:den>
                        </m:f>
                      </m:sup>
                    </m:sSup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3" name="TextBox 2"/>
            <xdr:cNvSpPr txBox="1"/>
          </xdr:nvSpPr>
          <xdr:spPr>
            <a:xfrm xmlns:a="http://schemas.openxmlformats.org/drawingml/2006/main">
              <a:off x="8834438" y="423862"/>
              <a:ext cx="2041028" cy="56435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chemeClr val="bg1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none" lIns="0" tIns="0" rIns="0" bIns="0" rtlCol="0" anchor="t">
              <a:no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𝑃_0=[𝐾_𝑛  𝑎/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𝛼 𝜌 𝑐^∗ ]^(1/(1−𝑛))  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11</xdr:col>
      <xdr:colOff>69532</xdr:colOff>
      <xdr:row>19</xdr:row>
      <xdr:rowOff>69532</xdr:rowOff>
    </xdr:from>
    <xdr:ext cx="932379" cy="183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C203FA68-38DE-D64E-7FBB-3CF9021885BA}"/>
                </a:ext>
              </a:extLst>
            </xdr:cNvPr>
            <xdr:cNvSpPr txBox="1"/>
          </xdr:nvSpPr>
          <xdr:spPr>
            <a:xfrm>
              <a:off x="7015162" y="2986087"/>
              <a:ext cx="909638" cy="183127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𝑇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𝐶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𝑓</m:t>
                        </m:r>
                      </m:sub>
                    </m:sSub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sub>
                    </m:sSub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C203FA68-38DE-D64E-7FBB-3CF9021885BA}"/>
                </a:ext>
              </a:extLst>
            </xdr:cNvPr>
            <xdr:cNvSpPr txBox="1"/>
          </xdr:nvSpPr>
          <xdr:spPr>
            <a:xfrm>
              <a:off x="7015162" y="2986087"/>
              <a:ext cx="909638" cy="183127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𝑇=𝐶_𝑓 𝑃_0 𝐴_𝑡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12</xdr:col>
      <xdr:colOff>161925</xdr:colOff>
      <xdr:row>18</xdr:row>
      <xdr:rowOff>33336</xdr:rowOff>
    </xdr:from>
    <xdr:ext cx="976623" cy="34657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7ACE0750-A5E7-0B5F-3EFD-D84D4E74D89E}"/>
                </a:ext>
              </a:extLst>
            </xdr:cNvPr>
            <xdr:cNvSpPr txBox="1"/>
          </xdr:nvSpPr>
          <xdr:spPr>
            <a:xfrm>
              <a:off x="8091488" y="3033711"/>
              <a:ext cx="969168" cy="346570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𝐾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𝑛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𝐴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𝐴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5" name="TextBox 4"/>
            <xdr:cNvSpPr txBox="1"/>
          </xdr:nvSpPr>
          <xdr:spPr>
            <a:xfrm xmlns:a="http://schemas.openxmlformats.org/drawingml/2006/main">
              <a:off x="8091488" y="3033711"/>
              <a:ext cx="969168" cy="346570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chemeClr val="bg1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square" lIns="0" tIns="0" rIns="0" bIns="0" rtlCol="0" anchor="t">
              <a:sp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𝐾_𝑛=𝐴_𝑏/𝐴_𝑡 </a:t>
              </a:r>
              <a:endParaRPr lang="en-US" sz="1100"/>
            </a:p>
          </xdr:txBody>
        </xdr:sp>
      </mc:Fallback>
    </mc:AlternateContent>
    <xdr:clientData/>
  </xdr:oneCellAnchor>
  <xdr:twoCellAnchor>
    <xdr:from>
      <xdr:col>0</xdr:col>
      <xdr:colOff>435064</xdr:colOff>
      <xdr:row>43</xdr:row>
      <xdr:rowOff>3084</xdr:rowOff>
    </xdr:from>
    <xdr:to>
      <xdr:col>10</xdr:col>
      <xdr:colOff>251458</xdr:colOff>
      <xdr:row>63</xdr:row>
      <xdr:rowOff>128269</xdr:rowOff>
    </xdr:to>
    <xdr:graphicFrame macro="">
      <xdr:nvGraphicFramePr>
        <xdr:cNvPr id="8208930" name="Chart 1">
          <a:extLst>
            <a:ext uri="{FF2B5EF4-FFF2-40B4-BE49-F238E27FC236}">
              <a16:creationId xmlns:a16="http://schemas.microsoft.com/office/drawing/2014/main" id="{FEFD4790-6202-32A4-D55E-7781B91E1B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7</xdr:col>
      <xdr:colOff>144780</xdr:colOff>
      <xdr:row>141</xdr:row>
      <xdr:rowOff>160020</xdr:rowOff>
    </xdr:from>
    <xdr:to>
      <xdr:col>11</xdr:col>
      <xdr:colOff>212912</xdr:colOff>
      <xdr:row>162</xdr:row>
      <xdr:rowOff>116169</xdr:rowOff>
    </xdr:to>
    <xdr:pic>
      <xdr:nvPicPr>
        <xdr:cNvPr id="8208931" name="Picture 5">
          <a:extLst>
            <a:ext uri="{FF2B5EF4-FFF2-40B4-BE49-F238E27FC236}">
              <a16:creationId xmlns:a16="http://schemas.microsoft.com/office/drawing/2014/main" id="{7D95A3B4-EE8B-6930-1F54-10B5D835F1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94860" y="14653260"/>
          <a:ext cx="2834640" cy="35280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11</xdr:col>
      <xdr:colOff>609600</xdr:colOff>
      <xdr:row>163</xdr:row>
      <xdr:rowOff>106680</xdr:rowOff>
    </xdr:from>
    <xdr:to>
      <xdr:col>17</xdr:col>
      <xdr:colOff>289560</xdr:colOff>
      <xdr:row>178</xdr:row>
      <xdr:rowOff>106680</xdr:rowOff>
    </xdr:to>
    <xdr:grpSp>
      <xdr:nvGrpSpPr>
        <xdr:cNvPr id="8208932" name="Group 9">
          <a:extLst>
            <a:ext uri="{FF2B5EF4-FFF2-40B4-BE49-F238E27FC236}">
              <a16:creationId xmlns:a16="http://schemas.microsoft.com/office/drawing/2014/main" id="{227A2B81-BB30-4B56-84A9-46337B02F9F8}"/>
            </a:ext>
          </a:extLst>
        </xdr:cNvPr>
        <xdr:cNvGrpSpPr>
          <a:grpSpLocks/>
        </xdr:cNvGrpSpPr>
      </xdr:nvGrpSpPr>
      <xdr:grpSpPr bwMode="auto">
        <a:xfrm>
          <a:off x="7942729" y="28291715"/>
          <a:ext cx="4610549" cy="2554941"/>
          <a:chOff x="7358063" y="13204033"/>
          <a:chExt cx="4062294" cy="2500311"/>
        </a:xfrm>
      </xdr:grpSpPr>
      <xdr:grpSp>
        <xdr:nvGrpSpPr>
          <xdr:cNvPr id="8208941" name="Group 7">
            <a:extLst>
              <a:ext uri="{FF2B5EF4-FFF2-40B4-BE49-F238E27FC236}">
                <a16:creationId xmlns:a16="http://schemas.microsoft.com/office/drawing/2014/main" id="{4F660C9E-2C7E-F527-6D16-39D2E3192EA1}"/>
              </a:ext>
            </a:extLst>
          </xdr:cNvPr>
          <xdr:cNvGrpSpPr>
            <a:grpSpLocks/>
          </xdr:cNvGrpSpPr>
        </xdr:nvGrpSpPr>
        <xdr:grpSpPr bwMode="auto">
          <a:xfrm>
            <a:off x="7358063" y="13204033"/>
            <a:ext cx="4058216" cy="1366950"/>
            <a:chOff x="7762875" y="10239376"/>
            <a:chExt cx="4058216" cy="1366950"/>
          </a:xfrm>
        </xdr:grpSpPr>
        <xdr:pic>
          <xdr:nvPicPr>
            <xdr:cNvPr id="8208943" name="Picture 3">
              <a:extLst>
                <a:ext uri="{FF2B5EF4-FFF2-40B4-BE49-F238E27FC236}">
                  <a16:creationId xmlns:a16="http://schemas.microsoft.com/office/drawing/2014/main" id="{C497A231-8F45-E2FE-99A6-D9BD58CB7517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7762875" y="10787062"/>
              <a:ext cx="4058216" cy="819264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pic>
          <xdr:nvPicPr>
            <xdr:cNvPr id="8208944" name="Picture 6">
              <a:extLst>
                <a:ext uri="{FF2B5EF4-FFF2-40B4-BE49-F238E27FC236}">
                  <a16:creationId xmlns:a16="http://schemas.microsoft.com/office/drawing/2014/main" id="{0557775A-96CB-20C1-61CE-B26C7FF36279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7834313" y="10239376"/>
              <a:ext cx="3966176" cy="522674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</xdr:grpSp>
      <xdr:pic>
        <xdr:nvPicPr>
          <xdr:cNvPr id="8208942" name="Picture 8">
            <a:extLst>
              <a:ext uri="{FF2B5EF4-FFF2-40B4-BE49-F238E27FC236}">
                <a16:creationId xmlns:a16="http://schemas.microsoft.com/office/drawing/2014/main" id="{A171A7DC-EE1B-5605-2EFE-637F27B84B6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7453313" y="14576158"/>
            <a:ext cx="3967044" cy="112818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167640</xdr:colOff>
          <xdr:row>15</xdr:row>
          <xdr:rowOff>45720</xdr:rowOff>
        </xdr:from>
        <xdr:to>
          <xdr:col>17</xdr:col>
          <xdr:colOff>114299</xdr:colOff>
          <xdr:row>18</xdr:row>
          <xdr:rowOff>152400</xdr:rowOff>
        </xdr:to>
        <xdr:pic>
          <xdr:nvPicPr>
            <xdr:cNvPr id="8208933" name="Picture 12">
              <a:extLst>
                <a:ext uri="{FF2B5EF4-FFF2-40B4-BE49-F238E27FC236}">
                  <a16:creationId xmlns:a16="http://schemas.microsoft.com/office/drawing/2014/main" id="{BD8ECC1B-7D7B-6E1C-3FB6-FF2CBB2F782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lass!$C$13:$F$15" spid="_x0000_s8209142"/>
                </a:ext>
              </a:extLst>
            </xdr:cNvPicPr>
          </xdr:nvPicPr>
          <xdr:blipFill>
            <a:blip xmlns:r="http://schemas.openxmlformats.org/officeDocument/2006/relationships" r:embed="rId7"/>
            <a:srcRect/>
            <a:stretch>
              <a:fillRect/>
            </a:stretch>
          </xdr:blipFill>
          <xdr:spPr bwMode="auto">
            <a:xfrm>
              <a:off x="9555480" y="2575560"/>
              <a:ext cx="2484120" cy="60960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twoCellAnchor>
    </mc:Choice>
    <mc:Fallback/>
  </mc:AlternateContent>
  <xdr:oneCellAnchor>
    <xdr:from>
      <xdr:col>14</xdr:col>
      <xdr:colOff>300513</xdr:colOff>
      <xdr:row>29</xdr:row>
      <xdr:rowOff>92155</xdr:rowOff>
    </xdr:from>
    <xdr:ext cx="118796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id="{642985C7-92FC-43DB-F6B2-0BF54BB40287}"/>
                </a:ext>
              </a:extLst>
            </xdr:cNvPr>
            <xdr:cNvSpPr txBox="1"/>
          </xdr:nvSpPr>
          <xdr:spPr>
            <a:xfrm>
              <a:off x="9532143" y="4751785"/>
              <a:ext cx="1195388" cy="172227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=2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𝑟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𝑑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1" name="TextBox 10"/>
            <xdr:cNvSpPr txBox="1"/>
          </xdr:nvSpPr>
          <xdr:spPr>
            <a:xfrm xmlns:a="http://schemas.openxmlformats.org/drawingml/2006/main">
              <a:off x="9532143" y="4751785"/>
              <a:ext cx="1195388" cy="17222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square" lIns="0" tIns="0" rIns="0" bIns="0" rtlCol="0" anchor="t">
              <a:sp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𝐷_0=2𝑟𝑡_𝑏+𝑑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14</xdr:col>
      <xdr:colOff>321944</xdr:colOff>
      <xdr:row>31</xdr:row>
      <xdr:rowOff>22622</xdr:rowOff>
    </xdr:from>
    <xdr:ext cx="1187963" cy="31579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id="{C7025894-6CA2-4565-5504-DFF616342D90}"/>
                </a:ext>
              </a:extLst>
            </xdr:cNvPr>
            <xdr:cNvSpPr txBox="1"/>
          </xdr:nvSpPr>
          <xdr:spPr>
            <a:xfrm>
              <a:off x="9553574" y="5023247"/>
              <a:ext cx="1195388" cy="315792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𝐿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0</m:t>
                            </m:r>
                          </m:sub>
                        </m:sSub>
                      </m:num>
                      <m:den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den>
                    </m:f>
                    <m:r>
                      <a:rPr lang="es-MX" sz="1100" b="0" i="1">
                        <a:latin typeface="Cambria Math" panose="02040503050406030204" pitchFamily="18" charset="0"/>
                      </a:rPr>
                      <m:t>&lt;4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id="{C7025894-6CA2-4565-5504-DFF616342D90}"/>
                </a:ext>
              </a:extLst>
            </xdr:cNvPr>
            <xdr:cNvSpPr txBox="1"/>
          </xdr:nvSpPr>
          <xdr:spPr>
            <a:xfrm>
              <a:off x="9553574" y="5023247"/>
              <a:ext cx="1195388" cy="315792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𝐿_0/𝐷&lt;4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16</xdr:col>
      <xdr:colOff>169067</xdr:colOff>
      <xdr:row>29</xdr:row>
      <xdr:rowOff>79772</xdr:rowOff>
    </xdr:from>
    <xdr:ext cx="1195388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6" name="TextBox 15">
              <a:extLst>
                <a:ext uri="{FF2B5EF4-FFF2-40B4-BE49-F238E27FC236}">
                  <a16:creationId xmlns:a16="http://schemas.microsoft.com/office/drawing/2014/main" id="{E06EB8E1-64D7-928E-C3D2-874088558901}"/>
                </a:ext>
              </a:extLst>
            </xdr:cNvPr>
            <xdr:cNvSpPr txBox="1"/>
          </xdr:nvSpPr>
          <xdr:spPr>
            <a:xfrm>
              <a:off x="10872786" y="4747022"/>
              <a:ext cx="1195388" cy="172227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𝐿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=0.5(3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𝐷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𝑑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6" name="TextBox 15"/>
            <xdr:cNvSpPr txBox="1"/>
          </xdr:nvSpPr>
          <xdr:spPr>
            <a:xfrm xmlns:a="http://schemas.openxmlformats.org/drawingml/2006/main">
              <a:off x="10872786" y="4747022"/>
              <a:ext cx="1195388" cy="17222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square" lIns="0" tIns="0" rIns="0" bIns="0" rtlCol="0" anchor="t">
              <a:sp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𝐿_0=0.5(3𝐷+𝑑_0)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16</xdr:col>
      <xdr:colOff>151923</xdr:colOff>
      <xdr:row>31</xdr:row>
      <xdr:rowOff>94060</xdr:rowOff>
    </xdr:from>
    <xdr:ext cx="1203051" cy="18005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7" name="TextBox 16">
              <a:extLst>
                <a:ext uri="{FF2B5EF4-FFF2-40B4-BE49-F238E27FC236}">
                  <a16:creationId xmlns:a16="http://schemas.microsoft.com/office/drawing/2014/main" id="{5A965C78-7EEC-DDCD-28E1-88EE2646A28C}"/>
                </a:ext>
              </a:extLst>
            </xdr:cNvPr>
            <xdr:cNvSpPr txBox="1"/>
          </xdr:nvSpPr>
          <xdr:spPr>
            <a:xfrm>
              <a:off x="10863262" y="5094685"/>
              <a:ext cx="1195388" cy="172227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𝑑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−2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𝑟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7" name="TextBox 16"/>
            <xdr:cNvSpPr txBox="1"/>
          </xdr:nvSpPr>
          <xdr:spPr>
            <a:xfrm xmlns:a="http://schemas.openxmlformats.org/drawingml/2006/main">
              <a:off x="10863262" y="5094685"/>
              <a:ext cx="1195388" cy="17222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square" lIns="0" tIns="0" rIns="0" bIns="0" rtlCol="0" anchor="t">
              <a:sp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𝑑=𝐷_0−2𝑟𝑡_𝑏</a:t>
              </a:r>
              <a:endParaRPr lang="en-US" sz="1100"/>
            </a:p>
          </xdr:txBody>
        </xdr:sp>
      </mc:Fallback>
    </mc:AlternateContent>
    <xdr:clientData/>
  </xdr:oneCellAnchor>
  <xdr:twoCellAnchor editAs="oneCell">
    <xdr:from>
      <xdr:col>12</xdr:col>
      <xdr:colOff>243840</xdr:colOff>
      <xdr:row>179</xdr:row>
      <xdr:rowOff>129540</xdr:rowOff>
    </xdr:from>
    <xdr:to>
      <xdr:col>15</xdr:col>
      <xdr:colOff>342901</xdr:colOff>
      <xdr:row>187</xdr:row>
      <xdr:rowOff>114300</xdr:rowOff>
    </xdr:to>
    <xdr:pic>
      <xdr:nvPicPr>
        <xdr:cNvPr id="8208938" name="Picture 17">
          <a:extLst>
            <a:ext uri="{FF2B5EF4-FFF2-40B4-BE49-F238E27FC236}">
              <a16:creationId xmlns:a16="http://schemas.microsoft.com/office/drawing/2014/main" id="{EA1D9F23-51A9-CF4E-E433-F3658D57962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75320" y="21008340"/>
          <a:ext cx="2636520" cy="1325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19</xdr:col>
      <xdr:colOff>15240</xdr:colOff>
      <xdr:row>2</xdr:row>
      <xdr:rowOff>15240</xdr:rowOff>
    </xdr:from>
    <xdr:to>
      <xdr:col>26</xdr:col>
      <xdr:colOff>15240</xdr:colOff>
      <xdr:row>18</xdr:row>
      <xdr:rowOff>99060</xdr:rowOff>
    </xdr:to>
    <xdr:graphicFrame macro="">
      <xdr:nvGraphicFramePr>
        <xdr:cNvPr id="8208939" name="Chart 1">
          <a:extLst>
            <a:ext uri="{FF2B5EF4-FFF2-40B4-BE49-F238E27FC236}">
              <a16:creationId xmlns:a16="http://schemas.microsoft.com/office/drawing/2014/main" id="{3C6443C4-158B-3A2E-36A3-62C7BA3B84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19</xdr:col>
      <xdr:colOff>495300</xdr:colOff>
      <xdr:row>47</xdr:row>
      <xdr:rowOff>7620</xdr:rowOff>
    </xdr:from>
    <xdr:to>
      <xdr:col>30</xdr:col>
      <xdr:colOff>154941</xdr:colOff>
      <xdr:row>50</xdr:row>
      <xdr:rowOff>0</xdr:rowOff>
    </xdr:to>
    <xdr:pic>
      <xdr:nvPicPr>
        <xdr:cNvPr id="8208940" name="Imagen 5">
          <a:extLst>
            <a:ext uri="{FF2B5EF4-FFF2-40B4-BE49-F238E27FC236}">
              <a16:creationId xmlns:a16="http://schemas.microsoft.com/office/drawing/2014/main" id="{A8B7AE0F-EF82-F343-7439-48920AE9A8F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462760" y="8023860"/>
          <a:ext cx="6583680" cy="5029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21</xdr:col>
      <xdr:colOff>26276</xdr:colOff>
      <xdr:row>33</xdr:row>
      <xdr:rowOff>5255</xdr:rowOff>
    </xdr:from>
    <xdr:ext cx="1305037" cy="183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4266E27A-C24B-4097-B26C-8DE5055070FE}"/>
                </a:ext>
              </a:extLst>
            </xdr:cNvPr>
            <xdr:cNvSpPr txBox="1"/>
          </xdr:nvSpPr>
          <xdr:spPr>
            <a:xfrm>
              <a:off x="15418676" y="5621195"/>
              <a:ext cx="1305037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𝑏𝑓𝑖𝑛𝑎𝑙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(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L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−2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t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4266E27A-C24B-4097-B26C-8DE5055070FE}"/>
                </a:ext>
              </a:extLst>
            </xdr:cNvPr>
            <xdr:cNvSpPr txBox="1"/>
          </xdr:nvSpPr>
          <xdr:spPr>
            <a:xfrm>
              <a:off x="15418676" y="5621195"/>
              <a:ext cx="1305037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𝐴_𝑏𝑓𝑖𝑛𝑎𝑙=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𝜋D(L−2t)</a:t>
              </a:r>
              <a:endParaRPr lang="es-MX" sz="1100"/>
            </a:p>
          </xdr:txBody>
        </xdr:sp>
      </mc:Fallback>
    </mc:AlternateContent>
    <xdr:clientData/>
  </xdr:oneCellAnchor>
  <xdr:oneCellAnchor>
    <xdr:from>
      <xdr:col>21</xdr:col>
      <xdr:colOff>52551</xdr:colOff>
      <xdr:row>34</xdr:row>
      <xdr:rowOff>47296</xdr:rowOff>
    </xdr:from>
    <xdr:ext cx="1442511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CuadroTexto 7">
              <a:extLst>
                <a:ext uri="{FF2B5EF4-FFF2-40B4-BE49-F238E27FC236}">
                  <a16:creationId xmlns:a16="http://schemas.microsoft.com/office/drawing/2014/main" id="{12ED1988-341E-432B-ACF0-C1475CCB520C}"/>
                </a:ext>
              </a:extLst>
            </xdr:cNvPr>
            <xdr:cNvSpPr txBox="1"/>
          </xdr:nvSpPr>
          <xdr:spPr>
            <a:xfrm>
              <a:off x="15444951" y="5838496"/>
              <a:ext cx="144251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𝑏𝑐𝑜𝑛𝑠𝑡𝑎𝑛𝑡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L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(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8" name="CuadroTexto 7">
              <a:extLst>
                <a:ext uri="{FF2B5EF4-FFF2-40B4-BE49-F238E27FC236}">
                  <a16:creationId xmlns:a16="http://schemas.microsoft.com/office/drawing/2014/main" id="{12ED1988-341E-432B-ACF0-C1475CCB520C}"/>
                </a:ext>
              </a:extLst>
            </xdr:cNvPr>
            <xdr:cNvSpPr txBox="1"/>
          </xdr:nvSpPr>
          <xdr:spPr>
            <a:xfrm>
              <a:off x="15444951" y="5838496"/>
              <a:ext cx="144251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𝐴_𝑏𝑐𝑜𝑛𝑠𝑡𝑎𝑛𝑡=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𝜋L(D+d)</a:t>
              </a:r>
              <a:endParaRPr lang="es-MX" sz="1100"/>
            </a:p>
          </xdr:txBody>
        </xdr:sp>
      </mc:Fallback>
    </mc:AlternateContent>
    <xdr:clientData/>
  </xdr:oneCellAnchor>
  <xdr:oneCellAnchor>
    <xdr:from>
      <xdr:col>21</xdr:col>
      <xdr:colOff>0</xdr:colOff>
      <xdr:row>30</xdr:row>
      <xdr:rowOff>0</xdr:rowOff>
    </xdr:from>
    <xdr:ext cx="2921826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CuadroTexto 8">
              <a:extLst>
                <a:ext uri="{FF2B5EF4-FFF2-40B4-BE49-F238E27FC236}">
                  <a16:creationId xmlns:a16="http://schemas.microsoft.com/office/drawing/2014/main" id="{1AD2E974-0AAE-48BE-A5D6-A35751F74138}"/>
                </a:ext>
              </a:extLst>
            </xdr:cNvPr>
            <xdr:cNvSpPr txBox="1"/>
          </xdr:nvSpPr>
          <xdr:spPr>
            <a:xfrm>
              <a:off x="15392400" y="5143500"/>
              <a:ext cx="2921826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𝑏𝑚𝑎𝑥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𝑏𝑖𝑛𝑖𝑡𝑖𝑎𝑙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=0.5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𝜋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sSup>
                          <m:sSup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𝐷</m:t>
                            </m:r>
                          </m:e>
                          <m:sup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sSup>
                          <m:sSup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𝑑</m:t>
                            </m:r>
                          </m:e>
                          <m:sup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</m:e>
                    </m:d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L</m:t>
                    </m:r>
                    <m:d>
                      <m:d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D</m:t>
                        </m:r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d</m:t>
                        </m:r>
                      </m:e>
                    </m:d>
                  </m:oMath>
                </m:oMathPara>
              </a14:m>
              <a:endParaRPr lang="es-MX" sz="1100" b="0">
                <a:solidFill>
                  <a:schemeClr val="tx1"/>
                </a:solidFill>
                <a:effectLst/>
                <a:ea typeface="+mn-ea"/>
                <a:cs typeface="+mn-cs"/>
              </a:endParaRPr>
            </a:p>
          </xdr:txBody>
        </xdr:sp>
      </mc:Choice>
      <mc:Fallback xmlns="">
        <xdr:sp macro="" textlink="">
          <xdr:nvSpPr>
            <xdr:cNvPr id="9" name="CuadroTexto 8">
              <a:extLst>
                <a:ext uri="{FF2B5EF4-FFF2-40B4-BE49-F238E27FC236}">
                  <a16:creationId xmlns:a16="http://schemas.microsoft.com/office/drawing/2014/main" id="{1AD2E974-0AAE-48BE-A5D6-A35751F74138}"/>
                </a:ext>
              </a:extLst>
            </xdr:cNvPr>
            <xdr:cNvSpPr txBox="1"/>
          </xdr:nvSpPr>
          <xdr:spPr>
            <a:xfrm>
              <a:off x="15392400" y="5143500"/>
              <a:ext cx="2921826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𝐴_𝑏𝑚𝑎𝑥=𝐴_𝑏𝑖𝑛𝑖𝑡𝑖𝑎𝑙=0.5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𝜋(𝐷^2−𝑑^2 )+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𝜋L(D+d)</a:t>
              </a:r>
              <a:endParaRPr lang="es-MX" sz="1100" b="0">
                <a:solidFill>
                  <a:schemeClr val="tx1"/>
                </a:solidFill>
                <a:effectLst/>
                <a:ea typeface="+mn-ea"/>
                <a:cs typeface="+mn-cs"/>
              </a:endParaRPr>
            </a:p>
          </xdr:txBody>
        </xdr:sp>
      </mc:Fallback>
    </mc:AlternateContent>
    <xdr:clientData/>
  </xdr:oneCellAnchor>
  <xdr:oneCellAnchor>
    <xdr:from>
      <xdr:col>21</xdr:col>
      <xdr:colOff>24634</xdr:colOff>
      <xdr:row>31</xdr:row>
      <xdr:rowOff>7516</xdr:rowOff>
    </xdr:from>
    <xdr:ext cx="3004990" cy="183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CuadroTexto 9">
              <a:extLst>
                <a:ext uri="{FF2B5EF4-FFF2-40B4-BE49-F238E27FC236}">
                  <a16:creationId xmlns:a16="http://schemas.microsoft.com/office/drawing/2014/main" id="{3A325E8B-BF49-41E4-AD02-FB9C5BFAA902}"/>
                </a:ext>
              </a:extLst>
            </xdr:cNvPr>
            <xdr:cNvSpPr txBox="1"/>
          </xdr:nvSpPr>
          <xdr:spPr>
            <a:xfrm>
              <a:off x="15417034" y="5322466"/>
              <a:ext cx="3004990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𝑏𝑓𝑖𝑛𝑎𝑙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d>
                      <m:d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D</m:t>
                        </m:r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d</m:t>
                        </m:r>
                      </m:e>
                    </m:d>
                    <m:d>
                      <m:d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L</m:t>
                        </m:r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t</m:t>
                        </m:r>
                      </m:e>
                    </m:d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   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where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t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=0.5(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10" name="CuadroTexto 9">
              <a:extLst>
                <a:ext uri="{FF2B5EF4-FFF2-40B4-BE49-F238E27FC236}">
                  <a16:creationId xmlns:a16="http://schemas.microsoft.com/office/drawing/2014/main" id="{3A325E8B-BF49-41E4-AD02-FB9C5BFAA902}"/>
                </a:ext>
              </a:extLst>
            </xdr:cNvPr>
            <xdr:cNvSpPr txBox="1"/>
          </xdr:nvSpPr>
          <xdr:spPr>
            <a:xfrm>
              <a:off x="15417034" y="5322466"/>
              <a:ext cx="3004990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𝐴_𝑏𝑓𝑖𝑛𝑎𝑙=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𝜋(D+d)(L−t)     where t=0.5(D−d)</a:t>
              </a:r>
              <a:endParaRPr lang="es-MX" sz="1100"/>
            </a:p>
          </xdr:txBody>
        </xdr:sp>
      </mc:Fallback>
    </mc:AlternateContent>
    <xdr:clientData/>
  </xdr:oneCellAnchor>
  <xdr:oneCellAnchor>
    <xdr:from>
      <xdr:col>21</xdr:col>
      <xdr:colOff>29889</xdr:colOff>
      <xdr:row>32</xdr:row>
      <xdr:rowOff>22161</xdr:rowOff>
    </xdr:from>
    <xdr:ext cx="2514343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" name="CuadroTexto 11">
              <a:extLst>
                <a:ext uri="{FF2B5EF4-FFF2-40B4-BE49-F238E27FC236}">
                  <a16:creationId xmlns:a16="http://schemas.microsoft.com/office/drawing/2014/main" id="{845B76EA-7BF8-464C-BED4-366A792AD02D}"/>
                </a:ext>
              </a:extLst>
            </xdr:cNvPr>
            <xdr:cNvSpPr txBox="1"/>
          </xdr:nvSpPr>
          <xdr:spPr>
            <a:xfrm>
              <a:off x="15422289" y="5508561"/>
              <a:ext cx="2514343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𝑏𝑚𝑎𝑥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𝑏𝑖𝑛𝑖𝑡𝑖𝑎𝑙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=05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d>
                      <m:d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sSup>
                          <m:sSupPr>
                            <m:ctrlP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𝐷</m:t>
                            </m:r>
                          </m:e>
                          <m:sup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p>
                        <m: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sSup>
                          <m:sSupPr>
                            <m:ctrlP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𝑑</m:t>
                            </m:r>
                          </m:e>
                          <m:sup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p>
                      </m:e>
                    </m:d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dL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12" name="CuadroTexto 11">
              <a:extLst>
                <a:ext uri="{FF2B5EF4-FFF2-40B4-BE49-F238E27FC236}">
                  <a16:creationId xmlns:a16="http://schemas.microsoft.com/office/drawing/2014/main" id="{845B76EA-7BF8-464C-BED4-366A792AD02D}"/>
                </a:ext>
              </a:extLst>
            </xdr:cNvPr>
            <xdr:cNvSpPr txBox="1"/>
          </xdr:nvSpPr>
          <xdr:spPr>
            <a:xfrm>
              <a:off x="15422289" y="5508561"/>
              <a:ext cx="2514343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𝐴_𝑏𝑚𝑎𝑥=𝐴_𝑏𝑖𝑛𝑖𝑡𝑖𝑎𝑙=05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𝜋(𝐷^2−𝑑^2 )+𝜋dL</a:t>
              </a:r>
              <a:endParaRPr lang="es-MX" sz="1100"/>
            </a:p>
          </xdr:txBody>
        </xdr:sp>
      </mc:Fallback>
    </mc:AlternateContent>
    <xdr:clientData/>
  </xdr:oneCellAnchor>
  <xdr:twoCellAnchor>
    <xdr:from>
      <xdr:col>0</xdr:col>
      <xdr:colOff>435248</xdr:colOff>
      <xdr:row>67</xdr:row>
      <xdr:rowOff>2540</xdr:rowOff>
    </xdr:from>
    <xdr:to>
      <xdr:col>10</xdr:col>
      <xdr:colOff>240212</xdr:colOff>
      <xdr:row>87</xdr:row>
      <xdr:rowOff>117203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F0E25EA3-551A-4E16-938D-C96AC7862C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oneCellAnchor>
    <xdr:from>
      <xdr:col>8</xdr:col>
      <xdr:colOff>67235</xdr:colOff>
      <xdr:row>126</xdr:row>
      <xdr:rowOff>56029</xdr:rowOff>
    </xdr:from>
    <xdr:ext cx="184731" cy="264560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4863353" y="2037229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0</xdr:col>
      <xdr:colOff>367552</xdr:colOff>
      <xdr:row>107</xdr:row>
      <xdr:rowOff>20171</xdr:rowOff>
    </xdr:from>
    <xdr:to>
      <xdr:col>9</xdr:col>
      <xdr:colOff>524434</xdr:colOff>
      <xdr:row>129</xdr:row>
      <xdr:rowOff>100852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pSpPr/>
      </xdr:nvGrpSpPr>
      <xdr:grpSpPr>
        <a:xfrm>
          <a:off x="367552" y="18550218"/>
          <a:ext cx="5912223" cy="3908610"/>
          <a:chOff x="367552" y="17221200"/>
          <a:chExt cx="5748617" cy="3666564"/>
        </a:xfrm>
      </xdr:grpSpPr>
      <xdr:graphicFrame macro="">
        <xdr:nvGraphicFramePr>
          <xdr:cNvPr id="20" name="Gráfico 19">
            <a:extLst>
              <a:ext uri="{FF2B5EF4-FFF2-40B4-BE49-F238E27FC236}">
                <a16:creationId xmlns:a16="http://schemas.microsoft.com/office/drawing/2014/main" id="{8C92CC32-CDCC-D484-2AB7-4C0E7B312DAC}"/>
              </a:ext>
            </a:extLst>
          </xdr:cNvPr>
          <xdr:cNvGraphicFramePr/>
        </xdr:nvGraphicFramePr>
        <xdr:xfrm>
          <a:off x="367552" y="17221200"/>
          <a:ext cx="5748617" cy="366656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2"/>
          </a:graphicData>
        </a:graphic>
      </xdr:graphicFrame>
      <xdr:sp macro="" textlink="$G$103">
        <xdr:nvSpPr>
          <xdr:cNvPr id="13" name="TextBox 12">
            <a:extLst>
              <a:ext uri="{FF2B5EF4-FFF2-40B4-BE49-F238E27FC236}">
                <a16:creationId xmlns:a16="http://schemas.microsoft.com/office/drawing/2014/main" id="{00000000-0008-0000-0200-00000D000000}"/>
              </a:ext>
            </a:extLst>
          </xdr:cNvPr>
          <xdr:cNvSpPr txBox="1"/>
        </xdr:nvSpPr>
        <xdr:spPr>
          <a:xfrm>
            <a:off x="4964206" y="20069734"/>
            <a:ext cx="762000" cy="37178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fld id="{1C9F0F68-CAFC-45CF-BB4C-53254A6A6E7D}" type="TxLink">
              <a:rPr lang="en-US" sz="1000" b="0" i="0" u="none" strike="noStrike">
                <a:solidFill>
                  <a:sysClr val="windowText" lastClr="000000"/>
                </a:solidFill>
                <a:latin typeface="Arial"/>
                <a:cs typeface="Arial"/>
              </a:rPr>
              <a:pPr/>
              <a:t>All labels are in mm</a:t>
            </a:fld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 editAs="oneCell">
    <xdr:from>
      <xdr:col>2</xdr:col>
      <xdr:colOff>134472</xdr:colOff>
      <xdr:row>130</xdr:row>
      <xdr:rowOff>33617</xdr:rowOff>
    </xdr:from>
    <xdr:to>
      <xdr:col>5</xdr:col>
      <xdr:colOff>481854</xdr:colOff>
      <xdr:row>138</xdr:row>
      <xdr:rowOff>82884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266266" y="20977411"/>
          <a:ext cx="2409264" cy="1304326"/>
        </a:xfrm>
        <a:prstGeom prst="rect">
          <a:avLst/>
        </a:prstGeom>
      </xdr:spPr>
    </xdr:pic>
    <xdr:clientData/>
  </xdr:twoCellAnchor>
  <xdr:twoCellAnchor editAs="oneCell">
    <xdr:from>
      <xdr:col>5</xdr:col>
      <xdr:colOff>564205</xdr:colOff>
      <xdr:row>129</xdr:row>
      <xdr:rowOff>123263</xdr:rowOff>
    </xdr:from>
    <xdr:to>
      <xdr:col>8</xdr:col>
      <xdr:colOff>770877</xdr:colOff>
      <xdr:row>140</xdr:row>
      <xdr:rowOff>150614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3757881" y="20910175"/>
          <a:ext cx="1809114" cy="1753057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114300</xdr:colOff>
      <xdr:row>13</xdr:row>
      <xdr:rowOff>144780</xdr:rowOff>
    </xdr:from>
    <xdr:to>
      <xdr:col>12</xdr:col>
      <xdr:colOff>144780</xdr:colOff>
      <xdr:row>30</xdr:row>
      <xdr:rowOff>121920</xdr:rowOff>
    </xdr:to>
    <xdr:graphicFrame macro="">
      <xdr:nvGraphicFramePr>
        <xdr:cNvPr id="6081310" name="Chart 2">
          <a:extLst>
            <a:ext uri="{FF2B5EF4-FFF2-40B4-BE49-F238E27FC236}">
              <a16:creationId xmlns:a16="http://schemas.microsoft.com/office/drawing/2014/main" id="{4D559494-CB59-D513-902B-6CA7CF8C5C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7</xdr:col>
      <xdr:colOff>274320</xdr:colOff>
      <xdr:row>31</xdr:row>
      <xdr:rowOff>137160</xdr:rowOff>
    </xdr:from>
    <xdr:to>
      <xdr:col>8</xdr:col>
      <xdr:colOff>160020</xdr:colOff>
      <xdr:row>33</xdr:row>
      <xdr:rowOff>22860</xdr:rowOff>
    </xdr:to>
    <xdr:grpSp>
      <xdr:nvGrpSpPr>
        <xdr:cNvPr id="6081311" name="Group 29">
          <a:extLst>
            <a:ext uri="{FF2B5EF4-FFF2-40B4-BE49-F238E27FC236}">
              <a16:creationId xmlns:a16="http://schemas.microsoft.com/office/drawing/2014/main" id="{C8A88BAD-C427-FE01-1964-1B2EC7F16C91}"/>
            </a:ext>
          </a:extLst>
        </xdr:cNvPr>
        <xdr:cNvGrpSpPr>
          <a:grpSpLocks/>
        </xdr:cNvGrpSpPr>
      </xdr:nvGrpSpPr>
      <xdr:grpSpPr bwMode="auto">
        <a:xfrm>
          <a:off x="5006340" y="5562600"/>
          <a:ext cx="510540" cy="281940"/>
          <a:chOff x="433" y="641"/>
          <a:chExt cx="95" cy="49"/>
        </a:xfrm>
      </xdr:grpSpPr>
      <xdr:sp macro="" textlink="">
        <xdr:nvSpPr>
          <xdr:cNvPr id="6081312" name="Freeform 26">
            <a:extLst>
              <a:ext uri="{FF2B5EF4-FFF2-40B4-BE49-F238E27FC236}">
                <a16:creationId xmlns:a16="http://schemas.microsoft.com/office/drawing/2014/main" id="{416AFC2A-AE16-BEFC-8767-E6ACB4CFF493}"/>
              </a:ext>
            </a:extLst>
          </xdr:cNvPr>
          <xdr:cNvSpPr>
            <a:spLocks/>
          </xdr:cNvSpPr>
        </xdr:nvSpPr>
        <xdr:spPr bwMode="auto">
          <a:xfrm>
            <a:off x="433" y="64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  <xdr:sp macro="" textlink="">
        <xdr:nvSpPr>
          <xdr:cNvPr id="6081313" name="Freeform 27">
            <a:extLst>
              <a:ext uri="{FF2B5EF4-FFF2-40B4-BE49-F238E27FC236}">
                <a16:creationId xmlns:a16="http://schemas.microsoft.com/office/drawing/2014/main" id="{D5C25182-3F7D-BAB6-4EA0-9FAAC7F30868}"/>
              </a:ext>
            </a:extLst>
          </xdr:cNvPr>
          <xdr:cNvSpPr>
            <a:spLocks/>
          </xdr:cNvSpPr>
        </xdr:nvSpPr>
        <xdr:spPr bwMode="auto">
          <a:xfrm flipV="1">
            <a:off x="433" y="66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251460</xdr:colOff>
          <xdr:row>31</xdr:row>
          <xdr:rowOff>60960</xdr:rowOff>
        </xdr:from>
        <xdr:to>
          <xdr:col>9</xdr:col>
          <xdr:colOff>594360</xdr:colOff>
          <xdr:row>33</xdr:row>
          <xdr:rowOff>106680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Click to solve </a:t>
              </a:r>
              <a:r>
                <a:rPr lang="es-MX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(1)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0.01063</cdr:x>
      <cdr:y>0.01123</cdr:y>
    </cdr:from>
    <cdr:to>
      <cdr:x>0.38636</cdr:x>
      <cdr:y>0.07554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33656" y="27946"/>
          <a:ext cx="1230144" cy="221657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" lastClr="FFFFFF">
              <a:shade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7620</xdr:colOff>
      <xdr:row>23</xdr:row>
      <xdr:rowOff>7620</xdr:rowOff>
    </xdr:from>
    <xdr:to>
      <xdr:col>14</xdr:col>
      <xdr:colOff>601980</xdr:colOff>
      <xdr:row>42</xdr:row>
      <xdr:rowOff>68580</xdr:rowOff>
    </xdr:to>
    <xdr:graphicFrame macro="">
      <xdr:nvGraphicFramePr>
        <xdr:cNvPr id="6717625" name="Chart 2">
          <a:extLst>
            <a:ext uri="{FF2B5EF4-FFF2-40B4-BE49-F238E27FC236}">
              <a16:creationId xmlns:a16="http://schemas.microsoft.com/office/drawing/2014/main" id="{876824E6-426F-7FCA-A919-A4394DA915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16585</xdr:colOff>
      <xdr:row>3</xdr:row>
      <xdr:rowOff>7620</xdr:rowOff>
    </xdr:from>
    <xdr:to>
      <xdr:col>14</xdr:col>
      <xdr:colOff>610945</xdr:colOff>
      <xdr:row>22</xdr:row>
      <xdr:rowOff>30480</xdr:rowOff>
    </xdr:to>
    <xdr:graphicFrame macro="">
      <xdr:nvGraphicFramePr>
        <xdr:cNvPr id="6717626" name="Chart 5">
          <a:extLst>
            <a:ext uri="{FF2B5EF4-FFF2-40B4-BE49-F238E27FC236}">
              <a16:creationId xmlns:a16="http://schemas.microsoft.com/office/drawing/2014/main" id="{4D4EBFE2-D603-0578-5D29-5B3C54CE89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510540</xdr:colOff>
      <xdr:row>0</xdr:row>
      <xdr:rowOff>38100</xdr:rowOff>
    </xdr:from>
    <xdr:to>
      <xdr:col>12</xdr:col>
      <xdr:colOff>335280</xdr:colOff>
      <xdr:row>16</xdr:row>
      <xdr:rowOff>99060</xdr:rowOff>
    </xdr:to>
    <xdr:graphicFrame macro="">
      <xdr:nvGraphicFramePr>
        <xdr:cNvPr id="7384514" name="Chart 3">
          <a:extLst>
            <a:ext uri="{FF2B5EF4-FFF2-40B4-BE49-F238E27FC236}">
              <a16:creationId xmlns:a16="http://schemas.microsoft.com/office/drawing/2014/main" id="{6FD65B98-BFAA-1662-EB7A-72768BA5E9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13</xdr:col>
      <xdr:colOff>60960</xdr:colOff>
      <xdr:row>0</xdr:row>
      <xdr:rowOff>38100</xdr:rowOff>
    </xdr:from>
    <xdr:to>
      <xdr:col>18</xdr:col>
      <xdr:colOff>167640</xdr:colOff>
      <xdr:row>16</xdr:row>
      <xdr:rowOff>106680</xdr:rowOff>
    </xdr:to>
    <xdr:graphicFrame macro="">
      <xdr:nvGraphicFramePr>
        <xdr:cNvPr id="7384515" name="Chart 4">
          <a:extLst>
            <a:ext uri="{FF2B5EF4-FFF2-40B4-BE49-F238E27FC236}">
              <a16:creationId xmlns:a16="http://schemas.microsoft.com/office/drawing/2014/main" id="{F721CD73-8795-9A20-91DC-DDCC074A25F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3</xdr:col>
      <xdr:colOff>381000</xdr:colOff>
      <xdr:row>21</xdr:row>
      <xdr:rowOff>99060</xdr:rowOff>
    </xdr:from>
    <xdr:to>
      <xdr:col>4</xdr:col>
      <xdr:colOff>167640</xdr:colOff>
      <xdr:row>23</xdr:row>
      <xdr:rowOff>30480</xdr:rowOff>
    </xdr:to>
    <xdr:grpSp>
      <xdr:nvGrpSpPr>
        <xdr:cNvPr id="7384516" name="Group 1848">
          <a:extLst>
            <a:ext uri="{FF2B5EF4-FFF2-40B4-BE49-F238E27FC236}">
              <a16:creationId xmlns:a16="http://schemas.microsoft.com/office/drawing/2014/main" id="{08B67D13-4546-DCA4-32BA-AC3BEF7DA226}"/>
            </a:ext>
          </a:extLst>
        </xdr:cNvPr>
        <xdr:cNvGrpSpPr>
          <a:grpSpLocks/>
        </xdr:cNvGrpSpPr>
      </xdr:nvGrpSpPr>
      <xdr:grpSpPr bwMode="auto">
        <a:xfrm>
          <a:off x="1833282" y="3684942"/>
          <a:ext cx="512782" cy="272079"/>
          <a:chOff x="433" y="641"/>
          <a:chExt cx="95" cy="49"/>
        </a:xfrm>
      </xdr:grpSpPr>
      <xdr:sp macro="" textlink="">
        <xdr:nvSpPr>
          <xdr:cNvPr id="7384518" name="Freeform 1849">
            <a:extLst>
              <a:ext uri="{FF2B5EF4-FFF2-40B4-BE49-F238E27FC236}">
                <a16:creationId xmlns:a16="http://schemas.microsoft.com/office/drawing/2014/main" id="{754DE380-7956-2041-EEBF-33167AA2EAD5}"/>
              </a:ext>
            </a:extLst>
          </xdr:cNvPr>
          <xdr:cNvSpPr>
            <a:spLocks/>
          </xdr:cNvSpPr>
        </xdr:nvSpPr>
        <xdr:spPr bwMode="auto">
          <a:xfrm>
            <a:off x="433" y="64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  <xdr:sp macro="" textlink="">
        <xdr:nvSpPr>
          <xdr:cNvPr id="7384519" name="Freeform 1850">
            <a:extLst>
              <a:ext uri="{FF2B5EF4-FFF2-40B4-BE49-F238E27FC236}">
                <a16:creationId xmlns:a16="http://schemas.microsoft.com/office/drawing/2014/main" id="{47D6B53C-5380-3625-9E6B-FB50B885BDA6}"/>
              </a:ext>
            </a:extLst>
          </xdr:cNvPr>
          <xdr:cNvSpPr>
            <a:spLocks/>
          </xdr:cNvSpPr>
        </xdr:nvSpPr>
        <xdr:spPr bwMode="auto">
          <a:xfrm flipV="1">
            <a:off x="433" y="66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</xdr:grpSp>
    <xdr:clientData/>
  </xdr:twoCellAnchor>
  <xdr:twoCellAnchor>
    <xdr:from>
      <xdr:col>13</xdr:col>
      <xdr:colOff>93980</xdr:colOff>
      <xdr:row>0</xdr:row>
      <xdr:rowOff>89535</xdr:rowOff>
    </xdr:from>
    <xdr:to>
      <xdr:col>15</xdr:col>
      <xdr:colOff>80017</xdr:colOff>
      <xdr:row>1</xdr:row>
      <xdr:rowOff>126227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B82B66BD-A726-DF25-6B09-1FD38796D1E7}"/>
            </a:ext>
          </a:extLst>
        </xdr:cNvPr>
        <xdr:cNvSpPr txBox="1"/>
      </xdr:nvSpPr>
      <xdr:spPr>
        <a:xfrm>
          <a:off x="7904480" y="72390"/>
          <a:ext cx="1205237" cy="20447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213360</xdr:colOff>
          <xdr:row>21</xdr:row>
          <xdr:rowOff>22860</xdr:rowOff>
        </xdr:from>
        <xdr:to>
          <xdr:col>5</xdr:col>
          <xdr:colOff>601980</xdr:colOff>
          <xdr:row>23</xdr:row>
          <xdr:rowOff>106680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5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Click to solve </a:t>
              </a:r>
              <a:r>
                <a:rPr lang="es-MX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(2)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304800</xdr:colOff>
          <xdr:row>21</xdr:row>
          <xdr:rowOff>38100</xdr:rowOff>
        </xdr:from>
        <xdr:to>
          <xdr:col>8</xdr:col>
          <xdr:colOff>617220</xdr:colOff>
          <xdr:row>23</xdr:row>
          <xdr:rowOff>121920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5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Click to solve </a:t>
              </a:r>
              <a:r>
                <a:rPr lang="es-MX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(3)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0.00925</cdr:x>
      <cdr:y>0.01304</cdr:y>
    </cdr:from>
    <cdr:to>
      <cdr:x>0.4316</cdr:x>
      <cdr:y>0.07879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27005" y="30422"/>
          <a:ext cx="1281095" cy="210878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" lastClr="FFFFFF">
              <a:shade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533400</xdr:colOff>
      <xdr:row>0</xdr:row>
      <xdr:rowOff>30480</xdr:rowOff>
    </xdr:from>
    <xdr:to>
      <xdr:col>13</xdr:col>
      <xdr:colOff>83820</xdr:colOff>
      <xdr:row>19</xdr:row>
      <xdr:rowOff>68580</xdr:rowOff>
    </xdr:to>
    <xdr:graphicFrame macro="">
      <xdr:nvGraphicFramePr>
        <xdr:cNvPr id="7387511" name="Chart 2">
          <a:extLst>
            <a:ext uri="{FF2B5EF4-FFF2-40B4-BE49-F238E27FC236}">
              <a16:creationId xmlns:a16="http://schemas.microsoft.com/office/drawing/2014/main" id="{5E28E901-0E6D-7A41-49E7-C7B810DB28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13</xdr:col>
      <xdr:colOff>175260</xdr:colOff>
      <xdr:row>0</xdr:row>
      <xdr:rowOff>30480</xdr:rowOff>
    </xdr:from>
    <xdr:to>
      <xdr:col>18</xdr:col>
      <xdr:colOff>182880</xdr:colOff>
      <xdr:row>19</xdr:row>
      <xdr:rowOff>76200</xdr:rowOff>
    </xdr:to>
    <xdr:graphicFrame macro="">
      <xdr:nvGraphicFramePr>
        <xdr:cNvPr id="7387512" name="Chart 3">
          <a:extLst>
            <a:ext uri="{FF2B5EF4-FFF2-40B4-BE49-F238E27FC236}">
              <a16:creationId xmlns:a16="http://schemas.microsoft.com/office/drawing/2014/main" id="{94F8EE44-DC76-D153-8ED8-7E18A66366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3</xdr:col>
      <xdr:colOff>358140</xdr:colOff>
      <xdr:row>20</xdr:row>
      <xdr:rowOff>99060</xdr:rowOff>
    </xdr:from>
    <xdr:to>
      <xdr:col>4</xdr:col>
      <xdr:colOff>205740</xdr:colOff>
      <xdr:row>22</xdr:row>
      <xdr:rowOff>30480</xdr:rowOff>
    </xdr:to>
    <xdr:grpSp>
      <xdr:nvGrpSpPr>
        <xdr:cNvPr id="7387513" name="Group 21">
          <a:extLst>
            <a:ext uri="{FF2B5EF4-FFF2-40B4-BE49-F238E27FC236}">
              <a16:creationId xmlns:a16="http://schemas.microsoft.com/office/drawing/2014/main" id="{C69F2775-6AF7-FFFC-2BCF-3FC5C9F65D2E}"/>
            </a:ext>
          </a:extLst>
        </xdr:cNvPr>
        <xdr:cNvGrpSpPr>
          <a:grpSpLocks/>
        </xdr:cNvGrpSpPr>
      </xdr:nvGrpSpPr>
      <xdr:grpSpPr bwMode="auto">
        <a:xfrm>
          <a:off x="1990997" y="3430089"/>
          <a:ext cx="511629" cy="257991"/>
          <a:chOff x="433" y="641"/>
          <a:chExt cx="95" cy="49"/>
        </a:xfrm>
      </xdr:grpSpPr>
      <xdr:sp macro="" textlink="">
        <xdr:nvSpPr>
          <xdr:cNvPr id="7387514" name="Freeform 22">
            <a:extLst>
              <a:ext uri="{FF2B5EF4-FFF2-40B4-BE49-F238E27FC236}">
                <a16:creationId xmlns:a16="http://schemas.microsoft.com/office/drawing/2014/main" id="{51513E4F-A91B-5A2D-779A-F12DA8C204A7}"/>
              </a:ext>
            </a:extLst>
          </xdr:cNvPr>
          <xdr:cNvSpPr>
            <a:spLocks/>
          </xdr:cNvSpPr>
        </xdr:nvSpPr>
        <xdr:spPr bwMode="auto">
          <a:xfrm>
            <a:off x="433" y="64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  <xdr:sp macro="" textlink="">
        <xdr:nvSpPr>
          <xdr:cNvPr id="7387515" name="Freeform 23">
            <a:extLst>
              <a:ext uri="{FF2B5EF4-FFF2-40B4-BE49-F238E27FC236}">
                <a16:creationId xmlns:a16="http://schemas.microsoft.com/office/drawing/2014/main" id="{E4101316-2C74-1565-4C93-DD39A3BEBADA}"/>
              </a:ext>
            </a:extLst>
          </xdr:cNvPr>
          <xdr:cNvSpPr>
            <a:spLocks/>
          </xdr:cNvSpPr>
        </xdr:nvSpPr>
        <xdr:spPr bwMode="auto">
          <a:xfrm flipV="1">
            <a:off x="433" y="66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297180</xdr:colOff>
          <xdr:row>20</xdr:row>
          <xdr:rowOff>0</xdr:rowOff>
        </xdr:from>
        <xdr:to>
          <xdr:col>5</xdr:col>
          <xdr:colOff>746760</xdr:colOff>
          <xdr:row>22</xdr:row>
          <xdr:rowOff>160020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6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Solve 4</a:t>
              </a:r>
              <a:r>
                <a:rPr lang="es-MX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 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0.00673</cdr:x>
      <cdr:y>0.00966</cdr:y>
    </cdr:from>
    <cdr:to>
      <cdr:x>0.38465</cdr:x>
      <cdr:y>0.06713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20841" y="25750"/>
          <a:ext cx="1224384" cy="212901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" lastClr="FFFFFF">
              <a:shade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0.00748</cdr:x>
      <cdr:y>0.00585</cdr:y>
    </cdr:from>
    <cdr:to>
      <cdr:x>0.40133</cdr:x>
      <cdr:y>0.0634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22860" y="15240"/>
          <a:ext cx="1211580" cy="213360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" lastClr="FFFFFF">
              <a:shade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381000</xdr:colOff>
      <xdr:row>17</xdr:row>
      <xdr:rowOff>22860</xdr:rowOff>
    </xdr:from>
    <xdr:to>
      <xdr:col>5</xdr:col>
      <xdr:colOff>853440</xdr:colOff>
      <xdr:row>34</xdr:row>
      <xdr:rowOff>121920</xdr:rowOff>
    </xdr:to>
    <xdr:graphicFrame macro="">
      <xdr:nvGraphicFramePr>
        <xdr:cNvPr id="7390433" name="Chart 4">
          <a:extLst>
            <a:ext uri="{FF2B5EF4-FFF2-40B4-BE49-F238E27FC236}">
              <a16:creationId xmlns:a16="http://schemas.microsoft.com/office/drawing/2014/main" id="{5D87260E-40F6-81ED-CD25-25DBC6408C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482600</xdr:colOff>
      <xdr:row>33</xdr:row>
      <xdr:rowOff>0</xdr:rowOff>
    </xdr:from>
    <xdr:to>
      <xdr:col>3</xdr:col>
      <xdr:colOff>354321</xdr:colOff>
      <xdr:row>34</xdr:row>
      <xdr:rowOff>139700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D2CB7867-79C7-831B-0BCD-DB907A3E749E}"/>
            </a:ext>
          </a:extLst>
        </xdr:cNvPr>
        <xdr:cNvSpPr txBox="1"/>
      </xdr:nvSpPr>
      <xdr:spPr>
        <a:xfrm>
          <a:off x="876300" y="5699760"/>
          <a:ext cx="1104900" cy="3200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000"/>
            <a:t>entrance plane</a:t>
          </a:r>
        </a:p>
      </xdr:txBody>
    </xdr:sp>
    <xdr:clientData/>
  </xdr:twoCellAnchor>
  <xdr:twoCellAnchor editAs="oneCell">
    <xdr:from>
      <xdr:col>5</xdr:col>
      <xdr:colOff>899160</xdr:colOff>
      <xdr:row>17</xdr:row>
      <xdr:rowOff>0</xdr:rowOff>
    </xdr:from>
    <xdr:to>
      <xdr:col>12</xdr:col>
      <xdr:colOff>22860</xdr:colOff>
      <xdr:row>34</xdr:row>
      <xdr:rowOff>144780</xdr:rowOff>
    </xdr:to>
    <xdr:pic>
      <xdr:nvPicPr>
        <xdr:cNvPr id="7390435" name="Picture 103">
          <a:extLst>
            <a:ext uri="{FF2B5EF4-FFF2-40B4-BE49-F238E27FC236}">
              <a16:creationId xmlns:a16="http://schemas.microsoft.com/office/drawing/2014/main" id="{A3C70C0C-1CB6-B0C1-FC2B-90D347FB14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22520" y="2849880"/>
          <a:ext cx="4251960" cy="29946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484504</xdr:colOff>
      <xdr:row>2</xdr:row>
      <xdr:rowOff>27940</xdr:rowOff>
    </xdr:from>
    <xdr:to>
      <xdr:col>13</xdr:col>
      <xdr:colOff>406400</xdr:colOff>
      <xdr:row>19</xdr:row>
      <xdr:rowOff>157480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52B478BC-6639-8A3E-9F3B-2105BFC5969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</xdr:col>
      <xdr:colOff>888897</xdr:colOff>
      <xdr:row>41</xdr:row>
      <xdr:rowOff>23316</xdr:rowOff>
    </xdr:from>
    <xdr:to>
      <xdr:col>11</xdr:col>
      <xdr:colOff>449321</xdr:colOff>
      <xdr:row>56</xdr:row>
      <xdr:rowOff>80010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9C730F36-D3F1-5D4C-8387-2A1F33905D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676239" y="6746278"/>
          <a:ext cx="4045614" cy="2516314"/>
        </a:xfrm>
        <a:prstGeom prst="rect">
          <a:avLst/>
        </a:prstGeom>
      </xdr:spPr>
    </xdr:pic>
    <xdr:clientData/>
  </xdr:twoCellAnchor>
  <xdr:twoCellAnchor editAs="oneCell">
    <xdr:from>
      <xdr:col>11</xdr:col>
      <xdr:colOff>663943</xdr:colOff>
      <xdr:row>41</xdr:row>
      <xdr:rowOff>51585</xdr:rowOff>
    </xdr:from>
    <xdr:to>
      <xdr:col>16</xdr:col>
      <xdr:colOff>212175</xdr:colOff>
      <xdr:row>56</xdr:row>
      <xdr:rowOff>97757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2A8702A9-7C26-32D7-61B8-1607C31E23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936475" y="6774547"/>
          <a:ext cx="4033422" cy="2505792"/>
        </a:xfrm>
        <a:prstGeom prst="rect">
          <a:avLst/>
        </a:prstGeom>
      </xdr:spPr>
    </xdr:pic>
    <xdr:clientData/>
  </xdr:twoCellAnchor>
  <xdr:oneCellAnchor>
    <xdr:from>
      <xdr:col>8</xdr:col>
      <xdr:colOff>537989</xdr:colOff>
      <xdr:row>20</xdr:row>
      <xdr:rowOff>123564</xdr:rowOff>
    </xdr:from>
    <xdr:ext cx="2466829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C3E9C273-2595-D8A1-2123-95FF2B0F70B0}"/>
                </a:ext>
              </a:extLst>
            </xdr:cNvPr>
            <xdr:cNvSpPr txBox="1"/>
          </xdr:nvSpPr>
          <xdr:spPr>
            <a:xfrm>
              <a:off x="8143048" y="3410623"/>
              <a:ext cx="246682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𝑊𝑒𝑖𝑔h𝑡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𝑔𝑟</m:t>
                        </m:r>
                      </m:e>
                    </m:d>
                    <m:r>
                      <a:rPr lang="es-MX" sz="1100" b="0" i="1">
                        <a:latin typeface="Cambria Math" panose="02040503050406030204" pitchFamily="18" charset="0"/>
                      </a:rPr>
                      <m:t>=10.51∗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𝐸𝑋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𝑟𝑎𝑡𝑖𝑜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+70.54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C3E9C273-2595-D8A1-2123-95FF2B0F70B0}"/>
                </a:ext>
              </a:extLst>
            </xdr:cNvPr>
            <xdr:cNvSpPr txBox="1"/>
          </xdr:nvSpPr>
          <xdr:spPr>
            <a:xfrm>
              <a:off x="8143048" y="3410623"/>
              <a:ext cx="246682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𝑊𝑒𝑖𝑔ℎ𝑡(𝑔𝑟)=10.51∗𝐸𝑋𝑃_𝑟𝑎𝑡𝑖𝑜+70.54</a:t>
              </a:r>
              <a:endParaRPr lang="es-MX" sz="1100"/>
            </a:p>
          </xdr:txBody>
        </xdr:sp>
      </mc:Fallback>
    </mc:AlternateContent>
    <xdr:clientData/>
  </xdr:oneCellAnchor>
  <xdr:twoCellAnchor>
    <xdr:from>
      <xdr:col>14</xdr:col>
      <xdr:colOff>29936</xdr:colOff>
      <xdr:row>20</xdr:row>
      <xdr:rowOff>5923</xdr:rowOff>
    </xdr:from>
    <xdr:to>
      <xdr:col>20</xdr:col>
      <xdr:colOff>717176</xdr:colOff>
      <xdr:row>39</xdr:row>
      <xdr:rowOff>134470</xdr:rowOff>
    </xdr:to>
    <xdr:grpSp>
      <xdr:nvGrpSpPr>
        <xdr:cNvPr id="12" name="Grupo 11">
          <a:extLst>
            <a:ext uri="{FF2B5EF4-FFF2-40B4-BE49-F238E27FC236}">
              <a16:creationId xmlns:a16="http://schemas.microsoft.com/office/drawing/2014/main" id="{CD37BBA8-5645-5129-0A49-046D563EFEF2}"/>
            </a:ext>
          </a:extLst>
        </xdr:cNvPr>
        <xdr:cNvGrpSpPr/>
      </xdr:nvGrpSpPr>
      <xdr:grpSpPr>
        <a:xfrm>
          <a:off x="12777107" y="3271637"/>
          <a:ext cx="5814412" cy="3230976"/>
          <a:chOff x="11351453" y="3332595"/>
          <a:chExt cx="4544571" cy="2760073"/>
        </a:xfrm>
      </xdr:grpSpPr>
      <xdr:graphicFrame macro="">
        <xdr:nvGraphicFramePr>
          <xdr:cNvPr id="6" name="Gráfico 5">
            <a:extLst>
              <a:ext uri="{FF2B5EF4-FFF2-40B4-BE49-F238E27FC236}">
                <a16:creationId xmlns:a16="http://schemas.microsoft.com/office/drawing/2014/main" id="{3F0A7DE1-887E-12B8-480B-B118FE1D7BC7}"/>
              </a:ext>
            </a:extLst>
          </xdr:cNvPr>
          <xdr:cNvGraphicFramePr/>
        </xdr:nvGraphicFramePr>
        <xdr:xfrm>
          <a:off x="11351453" y="3332595"/>
          <a:ext cx="4544571" cy="276007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cxnSp macro="">
        <xdr:nvCxnSpPr>
          <xdr:cNvPr id="10" name="Conector recto 9">
            <a:extLst>
              <a:ext uri="{FF2B5EF4-FFF2-40B4-BE49-F238E27FC236}">
                <a16:creationId xmlns:a16="http://schemas.microsoft.com/office/drawing/2014/main" id="{607BAEA8-4A62-2762-55DB-767F6F545EC5}"/>
              </a:ext>
            </a:extLst>
          </xdr:cNvPr>
          <xdr:cNvCxnSpPr/>
        </xdr:nvCxnSpPr>
        <xdr:spPr bwMode="auto">
          <a:xfrm flipV="1">
            <a:off x="12874977" y="3824049"/>
            <a:ext cx="0" cy="1720776"/>
          </a:xfrm>
          <a:prstGeom prst="line">
            <a:avLst/>
          </a:prstGeom>
          <a:solidFill>
            <a:srgbClr val="FFFFFF"/>
          </a:solidFill>
          <a:ln w="19050" cap="flat" cmpd="sng" algn="ctr">
            <a:solidFill>
              <a:srgbClr val="00B050"/>
            </a:solidFill>
            <a:prstDash val="dash"/>
            <a:round/>
            <a:headEnd type="none" w="med" len="med"/>
            <a:tailEnd type="none" w="med" len="med"/>
          </a:ln>
          <a:effectLst/>
        </xdr:spPr>
      </xdr:cxnSp>
    </xdr:grpSp>
    <xdr:clientData/>
  </xdr:twoCellAnchor>
  <xdr:twoCellAnchor editAs="oneCell">
    <xdr:from>
      <xdr:col>11</xdr:col>
      <xdr:colOff>621097</xdr:colOff>
      <xdr:row>56</xdr:row>
      <xdr:rowOff>115597</xdr:rowOff>
    </xdr:from>
    <xdr:to>
      <xdr:col>16</xdr:col>
      <xdr:colOff>767681</xdr:colOff>
      <xdr:row>74</xdr:row>
      <xdr:rowOff>20765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EC66955D-A453-81B3-6BF3-7070C457D9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0893629" y="9298179"/>
          <a:ext cx="4631774" cy="2856713"/>
        </a:xfrm>
        <a:prstGeom prst="rect">
          <a:avLst/>
        </a:prstGeom>
      </xdr:spPr>
    </xdr:pic>
    <xdr:clientData/>
  </xdr:twoCellAnchor>
  <xdr:twoCellAnchor editAs="oneCell">
    <xdr:from>
      <xdr:col>6</xdr:col>
      <xdr:colOff>534209</xdr:colOff>
      <xdr:row>56</xdr:row>
      <xdr:rowOff>109457</xdr:rowOff>
    </xdr:from>
    <xdr:to>
      <xdr:col>11</xdr:col>
      <xdr:colOff>599419</xdr:colOff>
      <xdr:row>73</xdr:row>
      <xdr:rowOff>153373</xdr:rowOff>
    </xdr:to>
    <xdr:pic>
      <xdr:nvPicPr>
        <xdr:cNvPr id="16" name="Imagen 15">
          <a:extLst>
            <a:ext uri="{FF2B5EF4-FFF2-40B4-BE49-F238E27FC236}">
              <a16:creationId xmlns:a16="http://schemas.microsoft.com/office/drawing/2014/main" id="{E8CB0D12-D107-B877-E153-1C1453DAB2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321551" y="9292039"/>
          <a:ext cx="4550400" cy="2831486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408940</xdr:colOff>
      <xdr:row>40</xdr:row>
      <xdr:rowOff>136392</xdr:rowOff>
    </xdr:from>
    <xdr:to>
      <xdr:col>10</xdr:col>
      <xdr:colOff>225091</xdr:colOff>
      <xdr:row>53</xdr:row>
      <xdr:rowOff>2744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21E5B58D-BC13-2B83-D41B-1F2E6E07F5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234940" y="4428992"/>
          <a:ext cx="2979721" cy="2019002"/>
        </a:xfrm>
        <a:prstGeom prst="rect">
          <a:avLst/>
        </a:prstGeom>
      </xdr:spPr>
    </xdr:pic>
    <xdr:clientData/>
  </xdr:twoCellAnchor>
  <xdr:oneCellAnchor>
    <xdr:from>
      <xdr:col>3</xdr:col>
      <xdr:colOff>318546</xdr:colOff>
      <xdr:row>50</xdr:row>
      <xdr:rowOff>58495</xdr:rowOff>
    </xdr:from>
    <xdr:ext cx="1282531" cy="183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0AEB0927-1532-1D9F-2F5A-D1F7EF588826}"/>
                </a:ext>
              </a:extLst>
            </xdr:cNvPr>
            <xdr:cNvSpPr txBox="1"/>
          </xdr:nvSpPr>
          <xdr:spPr>
            <a:xfrm>
              <a:off x="2731546" y="7783083"/>
              <a:ext cx="1282531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𝑓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𝑎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𝜎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𝑣</m:t>
                        </m:r>
                      </m:sub>
                    </m:sSub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𝑏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𝑑</m:t>
                        </m:r>
                      </m:e>
                    </m:d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𝑚𝑖𝑛</m:t>
                        </m:r>
                      </m:sub>
                    </m:sSub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0AEB0927-1532-1D9F-2F5A-D1F7EF588826}"/>
                </a:ext>
              </a:extLst>
            </xdr:cNvPr>
            <xdr:cNvSpPr txBox="1"/>
          </xdr:nvSpPr>
          <xdr:spPr>
            <a:xfrm>
              <a:off x="2731546" y="7783083"/>
              <a:ext cx="1282531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𝑃_𝑓=𝑎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𝜎_𝑣 (𝑏−𝑑) 𝑡_𝑚𝑖𝑛</a:t>
              </a:r>
              <a:endParaRPr lang="es-MX" sz="1100"/>
            </a:p>
          </xdr:txBody>
        </xdr:sp>
      </mc:Fallback>
    </mc:AlternateContent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68580</xdr:colOff>
      <xdr:row>173</xdr:row>
      <xdr:rowOff>129540</xdr:rowOff>
    </xdr:from>
    <xdr:to>
      <xdr:col>14</xdr:col>
      <xdr:colOff>121920</xdr:colOff>
      <xdr:row>190</xdr:row>
      <xdr:rowOff>91440</xdr:rowOff>
    </xdr:to>
    <xdr:graphicFrame macro="">
      <xdr:nvGraphicFramePr>
        <xdr:cNvPr id="6634773" name="Chart 1">
          <a:extLst>
            <a:ext uri="{FF2B5EF4-FFF2-40B4-BE49-F238E27FC236}">
              <a16:creationId xmlns:a16="http://schemas.microsoft.com/office/drawing/2014/main" id="{BE4750EA-F793-7C05-9D55-BBC22CFFAF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68580</xdr:colOff>
      <xdr:row>191</xdr:row>
      <xdr:rowOff>30480</xdr:rowOff>
    </xdr:from>
    <xdr:to>
      <xdr:col>14</xdr:col>
      <xdr:colOff>106680</xdr:colOff>
      <xdr:row>207</xdr:row>
      <xdr:rowOff>160020</xdr:rowOff>
    </xdr:to>
    <xdr:graphicFrame macro="">
      <xdr:nvGraphicFramePr>
        <xdr:cNvPr id="6634774" name="Chart 2">
          <a:extLst>
            <a:ext uri="{FF2B5EF4-FFF2-40B4-BE49-F238E27FC236}">
              <a16:creationId xmlns:a16="http://schemas.microsoft.com/office/drawing/2014/main" id="{617905CF-770F-E4AF-E48F-A1828F5E23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68580</xdr:colOff>
      <xdr:row>208</xdr:row>
      <xdr:rowOff>99060</xdr:rowOff>
    </xdr:from>
    <xdr:to>
      <xdr:col>8</xdr:col>
      <xdr:colOff>495300</xdr:colOff>
      <xdr:row>225</xdr:row>
      <xdr:rowOff>0</xdr:rowOff>
    </xdr:to>
    <xdr:graphicFrame macro="">
      <xdr:nvGraphicFramePr>
        <xdr:cNvPr id="6634775" name="Chart 3">
          <a:extLst>
            <a:ext uri="{FF2B5EF4-FFF2-40B4-BE49-F238E27FC236}">
              <a16:creationId xmlns:a16="http://schemas.microsoft.com/office/drawing/2014/main" id="{13212BFE-D5B5-8AB8-2848-C07D4196109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60960</xdr:colOff>
      <xdr:row>225</xdr:row>
      <xdr:rowOff>91440</xdr:rowOff>
    </xdr:from>
    <xdr:to>
      <xdr:col>8</xdr:col>
      <xdr:colOff>487680</xdr:colOff>
      <xdr:row>241</xdr:row>
      <xdr:rowOff>160020</xdr:rowOff>
    </xdr:to>
    <xdr:graphicFrame macro="">
      <xdr:nvGraphicFramePr>
        <xdr:cNvPr id="6634776" name="Chart 4">
          <a:extLst>
            <a:ext uri="{FF2B5EF4-FFF2-40B4-BE49-F238E27FC236}">
              <a16:creationId xmlns:a16="http://schemas.microsoft.com/office/drawing/2014/main" id="{88E81F0D-BC60-5904-593C-0FC6013EF5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60960</xdr:colOff>
          <xdr:row>20</xdr:row>
          <xdr:rowOff>30480</xdr:rowOff>
        </xdr:from>
        <xdr:to>
          <xdr:col>19</xdr:col>
          <xdr:colOff>365760</xdr:colOff>
          <xdr:row>23</xdr:row>
          <xdr:rowOff>175260</xdr:rowOff>
        </xdr:to>
        <xdr:sp macro="" textlink="">
          <xdr:nvSpPr>
            <xdr:cNvPr id="7426056" name="Picture 1" hidden="1">
              <a:extLst>
                <a:ext uri="{63B3BB69-23CF-44E3-9099-C40C66FF867C}">
                  <a14:compatExt spid="_x0000_s7426056"/>
                </a:ext>
                <a:ext uri="{FF2B5EF4-FFF2-40B4-BE49-F238E27FC236}">
                  <a16:creationId xmlns:a16="http://schemas.microsoft.com/office/drawing/2014/main" id="{00000000-0008-0000-0C00-000008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3</xdr:row>
          <xdr:rowOff>30480</xdr:rowOff>
        </xdr:from>
        <xdr:to>
          <xdr:col>19</xdr:col>
          <xdr:colOff>342900</xdr:colOff>
          <xdr:row>6</xdr:row>
          <xdr:rowOff>160020</xdr:rowOff>
        </xdr:to>
        <xdr:sp macro="" textlink="">
          <xdr:nvSpPr>
            <xdr:cNvPr id="7426057" name="Picture 2" hidden="1">
              <a:extLst>
                <a:ext uri="{63B3BB69-23CF-44E3-9099-C40C66FF867C}">
                  <a14:compatExt spid="_x0000_s7426057"/>
                </a:ext>
                <a:ext uri="{FF2B5EF4-FFF2-40B4-BE49-F238E27FC236}">
                  <a16:creationId xmlns:a16="http://schemas.microsoft.com/office/drawing/2014/main" id="{00000000-0008-0000-0C00-000009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7</xdr:row>
          <xdr:rowOff>68580</xdr:rowOff>
        </xdr:from>
        <xdr:to>
          <xdr:col>19</xdr:col>
          <xdr:colOff>342900</xdr:colOff>
          <xdr:row>10</xdr:row>
          <xdr:rowOff>160020</xdr:rowOff>
        </xdr:to>
        <xdr:sp macro="" textlink="">
          <xdr:nvSpPr>
            <xdr:cNvPr id="7426058" name="Picture 3" hidden="1">
              <a:extLst>
                <a:ext uri="{63B3BB69-23CF-44E3-9099-C40C66FF867C}">
                  <a14:compatExt spid="_x0000_s7426058"/>
                </a:ext>
                <a:ext uri="{FF2B5EF4-FFF2-40B4-BE49-F238E27FC236}">
                  <a16:creationId xmlns:a16="http://schemas.microsoft.com/office/drawing/2014/main" id="{00000000-0008-0000-0C00-00000A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45720</xdr:colOff>
          <xdr:row>11</xdr:row>
          <xdr:rowOff>106680</xdr:rowOff>
        </xdr:from>
        <xdr:to>
          <xdr:col>19</xdr:col>
          <xdr:colOff>350520</xdr:colOff>
          <xdr:row>15</xdr:row>
          <xdr:rowOff>68580</xdr:rowOff>
        </xdr:to>
        <xdr:sp macro="" textlink="">
          <xdr:nvSpPr>
            <xdr:cNvPr id="7426059" name="Picture 4" hidden="1">
              <a:extLst>
                <a:ext uri="{63B3BB69-23CF-44E3-9099-C40C66FF867C}">
                  <a14:compatExt spid="_x0000_s7426059"/>
                </a:ext>
                <a:ext uri="{FF2B5EF4-FFF2-40B4-BE49-F238E27FC236}">
                  <a16:creationId xmlns:a16="http://schemas.microsoft.com/office/drawing/2014/main" id="{00000000-0008-0000-0C00-00000B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45720</xdr:colOff>
          <xdr:row>15</xdr:row>
          <xdr:rowOff>144780</xdr:rowOff>
        </xdr:from>
        <xdr:to>
          <xdr:col>19</xdr:col>
          <xdr:colOff>350520</xdr:colOff>
          <xdr:row>19</xdr:row>
          <xdr:rowOff>106680</xdr:rowOff>
        </xdr:to>
        <xdr:sp macro="" textlink="">
          <xdr:nvSpPr>
            <xdr:cNvPr id="7426060" name="Picture 5" hidden="1">
              <a:extLst>
                <a:ext uri="{63B3BB69-23CF-44E3-9099-C40C66FF867C}">
                  <a14:compatExt spid="_x0000_s7426060"/>
                </a:ext>
                <a:ext uri="{FF2B5EF4-FFF2-40B4-BE49-F238E27FC236}">
                  <a16:creationId xmlns:a16="http://schemas.microsoft.com/office/drawing/2014/main" id="{00000000-0008-0000-0C00-00000C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60960</xdr:colOff>
          <xdr:row>24</xdr:row>
          <xdr:rowOff>76200</xdr:rowOff>
        </xdr:from>
        <xdr:to>
          <xdr:col>19</xdr:col>
          <xdr:colOff>365760</xdr:colOff>
          <xdr:row>27</xdr:row>
          <xdr:rowOff>160020</xdr:rowOff>
        </xdr:to>
        <xdr:sp macro="" textlink="">
          <xdr:nvSpPr>
            <xdr:cNvPr id="7426061" name="Picture 6" hidden="1">
              <a:extLst>
                <a:ext uri="{63B3BB69-23CF-44E3-9099-C40C66FF867C}">
                  <a14:compatExt spid="_x0000_s7426061"/>
                </a:ext>
                <a:ext uri="{FF2B5EF4-FFF2-40B4-BE49-F238E27FC236}">
                  <a16:creationId xmlns:a16="http://schemas.microsoft.com/office/drawing/2014/main" id="{00000000-0008-0000-0C00-00000D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8</xdr:col>
      <xdr:colOff>0</xdr:colOff>
      <xdr:row>3</xdr:row>
      <xdr:rowOff>76200</xdr:rowOff>
    </xdr:from>
    <xdr:to>
      <xdr:col>14</xdr:col>
      <xdr:colOff>251460</xdr:colOff>
      <xdr:row>19</xdr:row>
      <xdr:rowOff>68580</xdr:rowOff>
    </xdr:to>
    <xdr:graphicFrame macro="">
      <xdr:nvGraphicFramePr>
        <xdr:cNvPr id="7426133" name="Chart 1">
          <a:extLst>
            <a:ext uri="{FF2B5EF4-FFF2-40B4-BE49-F238E27FC236}">
              <a16:creationId xmlns:a16="http://schemas.microsoft.com/office/drawing/2014/main" id="{AEC815BA-1B25-0B48-6478-059A5A6C5D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236220</xdr:colOff>
      <xdr:row>18</xdr:row>
      <xdr:rowOff>0</xdr:rowOff>
    </xdr:from>
    <xdr:to>
      <xdr:col>9</xdr:col>
      <xdr:colOff>556260</xdr:colOff>
      <xdr:row>30</xdr:row>
      <xdr:rowOff>121920</xdr:rowOff>
    </xdr:to>
    <xdr:graphicFrame macro="">
      <xdr:nvGraphicFramePr>
        <xdr:cNvPr id="7394454" name="Chart 1">
          <a:extLst>
            <a:ext uri="{FF2B5EF4-FFF2-40B4-BE49-F238E27FC236}">
              <a16:creationId xmlns:a16="http://schemas.microsoft.com/office/drawing/2014/main" id="{B47E2674-B029-899E-F17E-BF206FDAD36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251460</xdr:colOff>
      <xdr:row>31</xdr:row>
      <xdr:rowOff>60960</xdr:rowOff>
    </xdr:from>
    <xdr:to>
      <xdr:col>9</xdr:col>
      <xdr:colOff>571500</xdr:colOff>
      <xdr:row>44</xdr:row>
      <xdr:rowOff>22860</xdr:rowOff>
    </xdr:to>
    <xdr:graphicFrame macro="">
      <xdr:nvGraphicFramePr>
        <xdr:cNvPr id="7394455" name="Chart 2">
          <a:extLst>
            <a:ext uri="{FF2B5EF4-FFF2-40B4-BE49-F238E27FC236}">
              <a16:creationId xmlns:a16="http://schemas.microsoft.com/office/drawing/2014/main" id="{9BEDFB1B-AE3B-3216-A467-A902326429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7620</xdr:rowOff>
    </xdr:from>
    <xdr:to>
      <xdr:col>3</xdr:col>
      <xdr:colOff>655320</xdr:colOff>
      <xdr:row>7</xdr:row>
      <xdr:rowOff>22860</xdr:rowOff>
    </xdr:to>
    <xdr:pic>
      <xdr:nvPicPr>
        <xdr:cNvPr id="6061104" name="Picture 2">
          <a:extLst>
            <a:ext uri="{FF2B5EF4-FFF2-40B4-BE49-F238E27FC236}">
              <a16:creationId xmlns:a16="http://schemas.microsoft.com/office/drawing/2014/main" id="{413DC1F6-5261-58C3-D276-3F9ED71B9D2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8120" y="175260"/>
          <a:ext cx="1943100" cy="1028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281940</xdr:colOff>
      <xdr:row>33</xdr:row>
      <xdr:rowOff>60960</xdr:rowOff>
    </xdr:from>
    <xdr:to>
      <xdr:col>12</xdr:col>
      <xdr:colOff>137160</xdr:colOff>
      <xdr:row>46</xdr:row>
      <xdr:rowOff>121920</xdr:rowOff>
    </xdr:to>
    <xdr:graphicFrame macro="">
      <xdr:nvGraphicFramePr>
        <xdr:cNvPr id="7397451" name="Chart 1">
          <a:extLst>
            <a:ext uri="{FF2B5EF4-FFF2-40B4-BE49-F238E27FC236}">
              <a16:creationId xmlns:a16="http://schemas.microsoft.com/office/drawing/2014/main" id="{2F7EB996-32CE-D8FD-DC38-EFAAA6EAB8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MSOFFICE\EXCEL\BATES3_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leonardo.valadez\OneDrive%20-%20frisa\01%20CODIGOS\RocketMotor\casing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alcs"/>
      <sheetName val="class"/>
      <sheetName val="Perf"/>
      <sheetName val="Press"/>
      <sheetName val="Burnrate"/>
    </sheetNames>
    <sheetDataSet>
      <sheetData sheetId="0" refreshError="1">
        <row r="25">
          <cell r="F25">
            <v>7.8909999999999982</v>
          </cell>
        </row>
      </sheetData>
      <sheetData sheetId="1" refreshError="1"/>
      <sheetData sheetId="2" refreshError="1"/>
      <sheetData sheetId="3" refreshError="1"/>
      <sheetData sheetId="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troduction"/>
      <sheetName val="Analysis"/>
      <sheetName val="Material Properties"/>
      <sheetName val="Elevated Temperatures"/>
      <sheetName val="Equations"/>
      <sheetName val="Revisions"/>
    </sheetNames>
    <sheetDataSet>
      <sheetData sheetId="0"/>
      <sheetData sheetId="1">
        <row r="25">
          <cell r="P25">
            <v>0.5</v>
          </cell>
          <cell r="Q25">
            <v>2.048</v>
          </cell>
        </row>
        <row r="26">
          <cell r="P26">
            <v>0.6</v>
          </cell>
          <cell r="Q26">
            <v>1.7350000000000001</v>
          </cell>
        </row>
        <row r="32">
          <cell r="P32">
            <v>0.7</v>
          </cell>
          <cell r="Q32">
            <v>1.5269999999999999</v>
          </cell>
        </row>
        <row r="33">
          <cell r="P33">
            <v>0.79999999999999993</v>
          </cell>
          <cell r="Q33">
            <v>1.379</v>
          </cell>
        </row>
        <row r="34">
          <cell r="P34">
            <v>0.89999999999999991</v>
          </cell>
          <cell r="Q34">
            <v>1.254</v>
          </cell>
        </row>
        <row r="35">
          <cell r="P35">
            <v>0.99999999999999989</v>
          </cell>
          <cell r="Q35">
            <v>1.153</v>
          </cell>
        </row>
      </sheetData>
      <sheetData sheetId="2"/>
      <sheetData sheetId="3">
        <row r="22">
          <cell r="R22">
            <v>80</v>
          </cell>
          <cell r="S22">
            <v>100</v>
          </cell>
          <cell r="T22">
            <v>100</v>
          </cell>
          <cell r="V22">
            <v>80</v>
          </cell>
          <cell r="W22">
            <v>100</v>
          </cell>
          <cell r="X22">
            <v>100</v>
          </cell>
        </row>
        <row r="23">
          <cell r="R23">
            <v>200</v>
          </cell>
          <cell r="S23">
            <v>95</v>
          </cell>
          <cell r="T23">
            <v>92.5</v>
          </cell>
          <cell r="V23">
            <v>200</v>
          </cell>
          <cell r="W23">
            <v>94.2</v>
          </cell>
          <cell r="X23">
            <v>92.2</v>
          </cell>
        </row>
        <row r="24">
          <cell r="R24">
            <v>400</v>
          </cell>
          <cell r="S24">
            <v>87</v>
          </cell>
          <cell r="T24">
            <v>86</v>
          </cell>
          <cell r="V24">
            <v>300</v>
          </cell>
          <cell r="W24">
            <v>87</v>
          </cell>
          <cell r="X24">
            <v>83.3</v>
          </cell>
        </row>
        <row r="25">
          <cell r="R25">
            <v>600</v>
          </cell>
          <cell r="S25">
            <v>79</v>
          </cell>
          <cell r="T25">
            <v>84</v>
          </cell>
          <cell r="V25">
            <v>400</v>
          </cell>
          <cell r="W25">
            <v>77</v>
          </cell>
          <cell r="X25">
            <v>69.5</v>
          </cell>
        </row>
        <row r="26">
          <cell r="R26">
            <v>800</v>
          </cell>
          <cell r="S26">
            <v>68.5</v>
          </cell>
          <cell r="T26">
            <v>80</v>
          </cell>
          <cell r="V26">
            <v>500</v>
          </cell>
          <cell r="W26">
            <v>50</v>
          </cell>
          <cell r="X26">
            <v>44</v>
          </cell>
        </row>
        <row r="32">
          <cell r="R32">
            <v>80</v>
          </cell>
          <cell r="S32">
            <v>100</v>
          </cell>
          <cell r="T32">
            <v>100</v>
          </cell>
          <cell r="V32">
            <v>80</v>
          </cell>
          <cell r="W32">
            <v>100</v>
          </cell>
          <cell r="X32">
            <v>100</v>
          </cell>
        </row>
        <row r="33">
          <cell r="R33">
            <v>200</v>
          </cell>
          <cell r="S33">
            <v>98</v>
          </cell>
          <cell r="T33">
            <v>89.5</v>
          </cell>
          <cell r="V33">
            <v>200</v>
          </cell>
          <cell r="W33">
            <v>92</v>
          </cell>
          <cell r="X33">
            <v>91</v>
          </cell>
        </row>
        <row r="34">
          <cell r="R34">
            <v>400</v>
          </cell>
          <cell r="S34">
            <v>95</v>
          </cell>
          <cell r="T34">
            <v>79.5</v>
          </cell>
          <cell r="V34">
            <v>300</v>
          </cell>
          <cell r="W34">
            <v>84</v>
          </cell>
          <cell r="X34">
            <v>80</v>
          </cell>
        </row>
        <row r="35">
          <cell r="R35">
            <v>600</v>
          </cell>
          <cell r="S35">
            <v>89</v>
          </cell>
          <cell r="T35">
            <v>72.5</v>
          </cell>
          <cell r="V35">
            <v>400</v>
          </cell>
          <cell r="W35">
            <v>75</v>
          </cell>
          <cell r="X35">
            <v>64</v>
          </cell>
        </row>
        <row r="36">
          <cell r="R36">
            <v>800</v>
          </cell>
          <cell r="S36">
            <v>77</v>
          </cell>
          <cell r="T36">
            <v>67.5</v>
          </cell>
          <cell r="V36">
            <v>500</v>
          </cell>
          <cell r="W36">
            <v>50</v>
          </cell>
          <cell r="X36">
            <v>42</v>
          </cell>
        </row>
        <row r="43">
          <cell r="R43">
            <v>80</v>
          </cell>
          <cell r="T43">
            <v>100</v>
          </cell>
          <cell r="Y43">
            <v>80</v>
          </cell>
          <cell r="AA43">
            <v>100</v>
          </cell>
        </row>
        <row r="44">
          <cell r="R44">
            <v>100</v>
          </cell>
          <cell r="T44">
            <v>99.61904761904762</v>
          </cell>
          <cell r="Y44">
            <v>100</v>
          </cell>
          <cell r="AA44">
            <v>98.597475455820472</v>
          </cell>
        </row>
        <row r="45">
          <cell r="R45">
            <v>200</v>
          </cell>
          <cell r="T45">
            <v>95.61904761904762</v>
          </cell>
          <cell r="Y45">
            <v>200</v>
          </cell>
          <cell r="AA45">
            <v>93.127629733520351</v>
          </cell>
        </row>
        <row r="46">
          <cell r="R46">
            <v>300</v>
          </cell>
          <cell r="T46">
            <v>90.285714285714278</v>
          </cell>
          <cell r="V46">
            <v>95.047619047619051</v>
          </cell>
          <cell r="Y46">
            <v>300</v>
          </cell>
          <cell r="AA46">
            <v>87.237026647966346</v>
          </cell>
        </row>
        <row r="47">
          <cell r="R47">
            <v>400</v>
          </cell>
          <cell r="T47">
            <v>84.000000000000014</v>
          </cell>
          <cell r="V47">
            <v>87.047619047619051</v>
          </cell>
          <cell r="Y47">
            <v>400</v>
          </cell>
          <cell r="AA47">
            <v>79.663394109396918</v>
          </cell>
        </row>
        <row r="48">
          <cell r="R48">
            <v>500</v>
          </cell>
          <cell r="T48">
            <v>60.952380952380956</v>
          </cell>
          <cell r="V48">
            <v>72.571428571428569</v>
          </cell>
          <cell r="Y48">
            <v>475</v>
          </cell>
          <cell r="AA48">
            <v>64.796633941093972</v>
          </cell>
          <cell r="AC48">
            <v>70.266479663394108</v>
          </cell>
        </row>
        <row r="49">
          <cell r="R49">
            <v>600</v>
          </cell>
          <cell r="T49">
            <v>34.095238095238095</v>
          </cell>
          <cell r="V49">
            <v>54.857142857142861</v>
          </cell>
          <cell r="Y49">
            <v>500</v>
          </cell>
          <cell r="AA49">
            <v>51.753155680224403</v>
          </cell>
          <cell r="AC49">
            <v>64.796633941093972</v>
          </cell>
        </row>
        <row r="50">
          <cell r="R50">
            <v>700</v>
          </cell>
          <cell r="T50">
            <v>14.476190476190476</v>
          </cell>
          <cell r="V50">
            <v>35.047619047619044</v>
          </cell>
          <cell r="Y50">
            <v>600</v>
          </cell>
          <cell r="AA50">
            <v>26.367461430575041</v>
          </cell>
          <cell r="AC50">
            <v>47.966339410939696</v>
          </cell>
        </row>
        <row r="51">
          <cell r="Y51">
            <v>700</v>
          </cell>
          <cell r="AA51">
            <v>11.781206171107996</v>
          </cell>
          <cell r="AC51">
            <v>32.959326788218796</v>
          </cell>
        </row>
        <row r="55">
          <cell r="T55">
            <v>85</v>
          </cell>
          <cell r="U55">
            <v>100</v>
          </cell>
        </row>
        <row r="56">
          <cell r="T56">
            <v>900</v>
          </cell>
          <cell r="U56">
            <v>55.952380952380956</v>
          </cell>
        </row>
        <row r="57">
          <cell r="T57">
            <v>1000</v>
          </cell>
          <cell r="U57">
            <v>47.857142857142861</v>
          </cell>
        </row>
        <row r="58">
          <cell r="T58">
            <v>1300</v>
          </cell>
          <cell r="U58">
            <v>17.559523809523807</v>
          </cell>
        </row>
        <row r="59">
          <cell r="T59">
            <v>1400</v>
          </cell>
          <cell r="U59">
            <v>8.9285714285714288</v>
          </cell>
        </row>
        <row r="65">
          <cell r="T65">
            <v>85</v>
          </cell>
          <cell r="U65">
            <v>100</v>
          </cell>
        </row>
        <row r="66">
          <cell r="T66">
            <v>900</v>
          </cell>
          <cell r="U66">
            <v>72.916666666666657</v>
          </cell>
        </row>
        <row r="67">
          <cell r="T67">
            <v>1000</v>
          </cell>
          <cell r="U67">
            <v>58.493589743589745</v>
          </cell>
        </row>
        <row r="68">
          <cell r="T68">
            <v>1200</v>
          </cell>
          <cell r="U68">
            <v>32.051282051282051</v>
          </cell>
        </row>
        <row r="69">
          <cell r="T69">
            <v>1300</v>
          </cell>
          <cell r="U69">
            <v>21.634615384615387</v>
          </cell>
        </row>
        <row r="70">
          <cell r="T70">
            <v>1400</v>
          </cell>
          <cell r="U70">
            <v>14.463141025641027</v>
          </cell>
        </row>
      </sheetData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richard.rocketry@gmail.com" TargetMode="External"/><Relationship Id="rId2" Type="http://schemas.openxmlformats.org/officeDocument/2006/relationships/hyperlink" Target="http://www.nakka-rocketry.net/" TargetMode="External"/><Relationship Id="rId1" Type="http://schemas.openxmlformats.org/officeDocument/2006/relationships/printerSettings" Target="../printerSettings/printerSettings1.bin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s://www.nakka-rocketry.net/knpsb.html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2.vml"/><Relationship Id="rId3" Type="http://schemas.openxmlformats.org/officeDocument/2006/relationships/hyperlink" Target="https://www.tubosmonterrey.com/" TargetMode="External"/><Relationship Id="rId7" Type="http://schemas.openxmlformats.org/officeDocument/2006/relationships/drawing" Target="../drawings/drawing3.xml"/><Relationship Id="rId2" Type="http://schemas.openxmlformats.org/officeDocument/2006/relationships/hyperlink" Target="https://tuboreymonterrey.com.mx/" TargetMode="External"/><Relationship Id="rId1" Type="http://schemas.openxmlformats.org/officeDocument/2006/relationships/hyperlink" Target="https://www.tubosmonterrey.com.mx/tuberia/" TargetMode="External"/><Relationship Id="rId6" Type="http://schemas.openxmlformats.org/officeDocument/2006/relationships/printerSettings" Target="../printerSettings/printerSettings4.bin"/><Relationship Id="rId5" Type="http://schemas.openxmlformats.org/officeDocument/2006/relationships/hyperlink" Target="https://tubosdeacero.mx/index.html" TargetMode="External"/><Relationship Id="rId4" Type="http://schemas.openxmlformats.org/officeDocument/2006/relationships/hyperlink" Target="https://aluminext.mx/" TargetMode="External"/><Relationship Id="rId9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6" Type="http://schemas.openxmlformats.org/officeDocument/2006/relationships/comments" Target="../comments2.xml"/><Relationship Id="rId5" Type="http://schemas.openxmlformats.org/officeDocument/2006/relationships/ctrlProp" Target="../ctrlProps/ctrlProp3.xml"/><Relationship Id="rId4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7" Type="http://schemas.openxmlformats.org/officeDocument/2006/relationships/comments" Target="../comments4.xml"/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vmlDrawing" Target="../drawings/vmlDrawing5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Relationship Id="rId6" Type="http://schemas.openxmlformats.org/officeDocument/2006/relationships/comments" Target="../comments5.xml"/><Relationship Id="rId5" Type="http://schemas.openxmlformats.org/officeDocument/2006/relationships/ctrlProp" Target="../ctrlProps/ctrlProp6.xml"/><Relationship Id="rId4" Type="http://schemas.openxmlformats.org/officeDocument/2006/relationships/vmlDrawing" Target="../drawings/vmlDrawing6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1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image" Target="../media/image21.emf"/><Relationship Id="rId13" Type="http://schemas.openxmlformats.org/officeDocument/2006/relationships/oleObject" Target="../embeddings/oleObject6.bin"/><Relationship Id="rId3" Type="http://schemas.openxmlformats.org/officeDocument/2006/relationships/oleObject" Target="../embeddings/oleObject1.bin"/><Relationship Id="rId7" Type="http://schemas.openxmlformats.org/officeDocument/2006/relationships/oleObject" Target="../embeddings/oleObject3.bin"/><Relationship Id="rId12" Type="http://schemas.openxmlformats.org/officeDocument/2006/relationships/image" Target="../media/image23.emf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6.xml"/><Relationship Id="rId6" Type="http://schemas.openxmlformats.org/officeDocument/2006/relationships/image" Target="../media/image20.emf"/><Relationship Id="rId11" Type="http://schemas.openxmlformats.org/officeDocument/2006/relationships/oleObject" Target="../embeddings/oleObject5.bin"/><Relationship Id="rId5" Type="http://schemas.openxmlformats.org/officeDocument/2006/relationships/oleObject" Target="../embeddings/oleObject2.bin"/><Relationship Id="rId10" Type="http://schemas.openxmlformats.org/officeDocument/2006/relationships/image" Target="../media/image22.emf"/><Relationship Id="rId4" Type="http://schemas.openxmlformats.org/officeDocument/2006/relationships/image" Target="../media/image19.emf"/><Relationship Id="rId9" Type="http://schemas.openxmlformats.org/officeDocument/2006/relationships/oleObject" Target="../embeddings/oleObject4.bin"/><Relationship Id="rId14" Type="http://schemas.openxmlformats.org/officeDocument/2006/relationships/image" Target="../media/image24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13.bin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4.bin"/><Relationship Id="rId4" Type="http://schemas.openxmlformats.org/officeDocument/2006/relationships/comments" Target="../comments8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printerSettings" Target="../printerSettings/printerSettings18.bin"/><Relationship Id="rId1" Type="http://schemas.openxmlformats.org/officeDocument/2006/relationships/printerSettings" Target="../printerSettings/printerSettings17.bin"/><Relationship Id="rId4" Type="http://schemas.openxmlformats.org/officeDocument/2006/relationships/comments" Target="../comments9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20.bin"/><Relationship Id="rId1" Type="http://schemas.openxmlformats.org/officeDocument/2006/relationships/printerSettings" Target="../printerSettings/printerSettings19.bin"/><Relationship Id="rId5" Type="http://schemas.openxmlformats.org/officeDocument/2006/relationships/comments" Target="../comments10.xml"/><Relationship Id="rId4" Type="http://schemas.openxmlformats.org/officeDocument/2006/relationships/vmlDrawing" Target="../drawings/vmlDrawing12.v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openxmlformats.org/officeDocument/2006/relationships/printerSettings" Target="../printerSettings/printerSettings21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rinterSettings" Target="../printerSettings/printerSettings2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>
    <tabColor theme="8" tint="0.39997558519241921"/>
  </sheetPr>
  <dimension ref="B4:I88"/>
  <sheetViews>
    <sheetView showGridLines="0" zoomScale="85" zoomScaleNormal="85" workbookViewId="0">
      <selection activeCell="E4" sqref="E4"/>
    </sheetView>
  </sheetViews>
  <sheetFormatPr baseColWidth="10" defaultColWidth="8.88671875" defaultRowHeight="13.2"/>
  <cols>
    <col min="1" max="1" width="9.109375" customWidth="1"/>
    <col min="2" max="2" width="56.88671875" customWidth="1"/>
    <col min="3" max="3" width="9.109375" customWidth="1"/>
    <col min="4" max="4" width="9.5546875" customWidth="1"/>
    <col min="5" max="5" width="17.33203125" customWidth="1"/>
    <col min="6" max="8" width="9.109375" customWidth="1"/>
    <col min="9" max="9" width="11.109375" customWidth="1"/>
  </cols>
  <sheetData>
    <row r="4" spans="2:9" ht="20.399999999999999">
      <c r="B4" s="376" t="s">
        <v>523</v>
      </c>
      <c r="D4" s="228" t="s">
        <v>190</v>
      </c>
      <c r="E4" s="316" t="s">
        <v>267</v>
      </c>
      <c r="F4" s="269"/>
      <c r="G4" s="269"/>
      <c r="H4" s="269"/>
      <c r="I4" s="270"/>
    </row>
    <row r="5" spans="2:9" ht="18" thickBot="1">
      <c r="B5" s="227" t="s">
        <v>429</v>
      </c>
      <c r="D5" s="229" t="s">
        <v>191</v>
      </c>
      <c r="E5" s="315" t="s">
        <v>533</v>
      </c>
      <c r="I5" s="271"/>
    </row>
    <row r="6" spans="2:9" ht="15.6" thickTop="1">
      <c r="B6" s="70"/>
      <c r="D6" s="230" t="s">
        <v>192</v>
      </c>
      <c r="E6" s="384">
        <v>45008</v>
      </c>
      <c r="F6" s="104"/>
      <c r="G6" s="104"/>
      <c r="H6" s="104"/>
      <c r="I6" s="28"/>
    </row>
    <row r="8" spans="2:9">
      <c r="B8" s="100" t="s">
        <v>327</v>
      </c>
      <c r="C8" s="96"/>
      <c r="D8" s="97"/>
    </row>
    <row r="9" spans="2:9">
      <c r="B9" s="268" t="s">
        <v>466</v>
      </c>
      <c r="D9" s="102"/>
    </row>
    <row r="10" spans="2:9">
      <c r="B10" s="202" t="s">
        <v>355</v>
      </c>
      <c r="C10" s="98"/>
      <c r="D10" s="99"/>
    </row>
    <row r="11" spans="2:9">
      <c r="B11" s="101"/>
    </row>
    <row r="12" spans="2:9">
      <c r="B12" s="101"/>
    </row>
    <row r="13" spans="2:9">
      <c r="B13" s="75" t="s">
        <v>193</v>
      </c>
    </row>
    <row r="14" spans="2:9">
      <c r="B14" s="75"/>
    </row>
    <row r="15" spans="2:9">
      <c r="B15" s="347" t="s">
        <v>524</v>
      </c>
      <c r="C15" s="348"/>
      <c r="D15" s="348"/>
      <c r="E15" s="349"/>
    </row>
    <row r="16" spans="2:9">
      <c r="B16" s="350"/>
      <c r="E16" s="351"/>
    </row>
    <row r="17" spans="2:5">
      <c r="B17" s="352" t="s">
        <v>540</v>
      </c>
      <c r="C17" s="272"/>
      <c r="D17" s="272"/>
      <c r="E17" s="353"/>
    </row>
    <row r="18" spans="2:5">
      <c r="B18" s="352" t="s">
        <v>547</v>
      </c>
      <c r="C18" s="272"/>
      <c r="D18" s="272"/>
      <c r="E18" s="353"/>
    </row>
    <row r="19" spans="2:5">
      <c r="B19" s="352" t="s">
        <v>545</v>
      </c>
      <c r="C19" s="272"/>
      <c r="D19" s="272"/>
      <c r="E19" s="353"/>
    </row>
    <row r="20" spans="2:5">
      <c r="B20" s="354" t="s">
        <v>546</v>
      </c>
      <c r="C20" s="355"/>
      <c r="D20" s="355"/>
      <c r="E20" s="356"/>
    </row>
    <row r="21" spans="2:5">
      <c r="B21" s="8"/>
    </row>
    <row r="22" spans="2:5">
      <c r="B22" s="8"/>
    </row>
    <row r="23" spans="2:5">
      <c r="B23" t="s">
        <v>329</v>
      </c>
    </row>
    <row r="24" spans="2:5">
      <c r="B24" s="151" t="s">
        <v>484</v>
      </c>
    </row>
    <row r="25" spans="2:5">
      <c r="B25" t="s">
        <v>255</v>
      </c>
    </row>
    <row r="26" spans="2:5">
      <c r="B26" t="s">
        <v>256</v>
      </c>
    </row>
    <row r="28" spans="2:5">
      <c r="B28" t="s">
        <v>268</v>
      </c>
    </row>
    <row r="29" spans="2:5">
      <c r="B29" s="8" t="s">
        <v>269</v>
      </c>
    </row>
    <row r="30" spans="2:5">
      <c r="B30" t="s">
        <v>270</v>
      </c>
    </row>
    <row r="31" spans="2:5">
      <c r="B31" t="s">
        <v>271</v>
      </c>
    </row>
    <row r="32" spans="2:5">
      <c r="B32" s="8" t="s">
        <v>430</v>
      </c>
    </row>
    <row r="33" spans="2:2">
      <c r="B33" s="8" t="s">
        <v>431</v>
      </c>
    </row>
    <row r="34" spans="2:2">
      <c r="B34" s="8" t="s">
        <v>432</v>
      </c>
    </row>
    <row r="36" spans="2:2">
      <c r="B36" s="8" t="s">
        <v>433</v>
      </c>
    </row>
    <row r="37" spans="2:2">
      <c r="B37" t="s">
        <v>275</v>
      </c>
    </row>
    <row r="38" spans="2:2">
      <c r="B38" t="s">
        <v>276</v>
      </c>
    </row>
    <row r="39" spans="2:2">
      <c r="B39" t="s">
        <v>277</v>
      </c>
    </row>
    <row r="40" spans="2:2">
      <c r="B40" t="s">
        <v>278</v>
      </c>
    </row>
    <row r="41" spans="2:2">
      <c r="B41" t="s">
        <v>279</v>
      </c>
    </row>
    <row r="42" spans="2:2">
      <c r="B42" t="s">
        <v>280</v>
      </c>
    </row>
    <row r="43" spans="2:2">
      <c r="B43" s="8" t="s">
        <v>485</v>
      </c>
    </row>
    <row r="45" spans="2:2">
      <c r="B45" t="s">
        <v>257</v>
      </c>
    </row>
    <row r="46" spans="2:2">
      <c r="B46" t="s">
        <v>272</v>
      </c>
    </row>
    <row r="47" spans="2:2">
      <c r="B47" t="s">
        <v>486</v>
      </c>
    </row>
    <row r="48" spans="2:2">
      <c r="B48" t="s">
        <v>487</v>
      </c>
    </row>
    <row r="50" spans="2:2">
      <c r="B50" t="s">
        <v>258</v>
      </c>
    </row>
    <row r="51" spans="2:2">
      <c r="B51" t="s">
        <v>265</v>
      </c>
    </row>
    <row r="52" spans="2:2">
      <c r="B52" s="8" t="s">
        <v>259</v>
      </c>
    </row>
    <row r="53" spans="2:2">
      <c r="B53" s="8" t="s">
        <v>537</v>
      </c>
    </row>
    <row r="54" spans="2:2">
      <c r="B54" s="8" t="s">
        <v>538</v>
      </c>
    </row>
    <row r="55" spans="2:2">
      <c r="B55" s="8" t="s">
        <v>539</v>
      </c>
    </row>
    <row r="56" spans="2:2">
      <c r="B56" s="8" t="s">
        <v>482</v>
      </c>
    </row>
    <row r="57" spans="2:2">
      <c r="B57" s="8" t="s">
        <v>527</v>
      </c>
    </row>
    <row r="58" spans="2:2">
      <c r="B58" s="8" t="s">
        <v>528</v>
      </c>
    </row>
    <row r="59" spans="2:2">
      <c r="B59" s="8"/>
    </row>
    <row r="60" spans="2:2">
      <c r="B60" s="8" t="s">
        <v>488</v>
      </c>
    </row>
    <row r="61" spans="2:2">
      <c r="B61" s="8" t="s">
        <v>434</v>
      </c>
    </row>
    <row r="62" spans="2:2">
      <c r="B62" s="8" t="s">
        <v>435</v>
      </c>
    </row>
    <row r="63" spans="2:2">
      <c r="B63" s="8" t="s">
        <v>436</v>
      </c>
    </row>
    <row r="64" spans="2:2">
      <c r="B64" s="8" t="s">
        <v>437</v>
      </c>
    </row>
    <row r="65" spans="2:2">
      <c r="B65" s="8"/>
    </row>
    <row r="66" spans="2:2">
      <c r="B66" t="s">
        <v>266</v>
      </c>
    </row>
    <row r="67" spans="2:2">
      <c r="B67" t="s">
        <v>262</v>
      </c>
    </row>
    <row r="68" spans="2:2">
      <c r="B68" t="s">
        <v>263</v>
      </c>
    </row>
    <row r="70" spans="2:2">
      <c r="B70" t="s">
        <v>260</v>
      </c>
    </row>
    <row r="71" spans="2:2">
      <c r="B71" t="s">
        <v>261</v>
      </c>
    </row>
    <row r="72" spans="2:2">
      <c r="B72" s="8" t="s">
        <v>483</v>
      </c>
    </row>
    <row r="73" spans="2:2">
      <c r="B73" s="8"/>
    </row>
    <row r="74" spans="2:2">
      <c r="B74" s="8" t="s">
        <v>529</v>
      </c>
    </row>
    <row r="75" spans="2:2">
      <c r="B75" s="8" t="s">
        <v>531</v>
      </c>
    </row>
    <row r="76" spans="2:2">
      <c r="B76" s="377" t="s">
        <v>530</v>
      </c>
    </row>
    <row r="78" spans="2:2">
      <c r="B78" s="75" t="s">
        <v>489</v>
      </c>
    </row>
    <row r="80" spans="2:2">
      <c r="B80" s="8" t="s">
        <v>492</v>
      </c>
    </row>
    <row r="81" spans="2:4">
      <c r="B81" s="8" t="s">
        <v>490</v>
      </c>
    </row>
    <row r="82" spans="2:4">
      <c r="B82" s="8" t="s">
        <v>491</v>
      </c>
    </row>
    <row r="85" spans="2:4">
      <c r="B85" s="204" t="s">
        <v>264</v>
      </c>
    </row>
    <row r="86" spans="2:4">
      <c r="B86" s="143" t="s">
        <v>468</v>
      </c>
    </row>
    <row r="87" spans="2:4">
      <c r="B87" s="143" t="s">
        <v>467</v>
      </c>
    </row>
    <row r="88" spans="2:4">
      <c r="B88" s="104"/>
      <c r="C88" s="104"/>
      <c r="D88" s="104"/>
    </row>
  </sheetData>
  <sheetProtection password="C7BC" sheet="1"/>
  <customSheetViews>
    <customSheetView guid="{136183A0-5E83-4B15-A2A6-F3C23DCC406A}" showGridLines="0" topLeftCell="A46">
      <selection activeCell="B71" sqref="B71"/>
      <pageMargins left="0.75" right="0.75" top="1" bottom="1" header="0.5" footer="0.5"/>
      <pageSetup orientation="portrait" horizontalDpi="0" verticalDpi="0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hyperlinks>
    <hyperlink ref="B87" r:id="rId2" xr:uid="{00000000-0004-0000-0000-000000000000}"/>
    <hyperlink ref="B86" r:id="rId3" xr:uid="{00000000-0004-0000-0000-000001000000}"/>
    <hyperlink ref="B76" r:id="rId4" xr:uid="{00000000-0004-0000-0000-000002000000}"/>
  </hyperlinks>
  <pageMargins left="0.75" right="0.75" top="1" bottom="1" header="0.5" footer="0.5"/>
  <pageSetup orientation="portrait" r:id="rId5"/>
  <headerFooter alignWithMargins="0"/>
  <drawing r:id="rId6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theme="1" tint="0.499984740745262"/>
  </sheetPr>
  <dimension ref="A1:IV65132"/>
  <sheetViews>
    <sheetView topLeftCell="A42" zoomScale="70" zoomScaleNormal="70" workbookViewId="0">
      <selection activeCell="D44" sqref="D44"/>
    </sheetView>
  </sheetViews>
  <sheetFormatPr baseColWidth="10" defaultColWidth="8.88671875" defaultRowHeight="13.2"/>
  <cols>
    <col min="1" max="1" width="4.33203125" customWidth="1"/>
    <col min="2" max="2" width="16.5546875" customWidth="1"/>
    <col min="3" max="3" width="13.44140625" customWidth="1"/>
    <col min="4" max="4" width="14.109375" customWidth="1"/>
    <col min="5" max="5" width="12" bestFit="1" customWidth="1"/>
    <col min="6" max="6" width="10.88671875" customWidth="1"/>
    <col min="7" max="7" width="17.109375" customWidth="1"/>
    <col min="8" max="8" width="12.5546875" bestFit="1" customWidth="1"/>
    <col min="9" max="9" width="11" bestFit="1" customWidth="1"/>
    <col min="10" max="10" width="14.88671875" customWidth="1"/>
    <col min="11" max="11" width="13.109375" customWidth="1"/>
    <col min="12" max="12" width="12.44140625" bestFit="1" customWidth="1"/>
    <col min="13" max="13" width="13.44140625" customWidth="1"/>
    <col min="14" max="14" width="13.5546875" customWidth="1"/>
    <col min="15" max="15" width="2.33203125" customWidth="1"/>
    <col min="16" max="16" width="5" bestFit="1" customWidth="1"/>
    <col min="17" max="17" width="8.88671875" customWidth="1"/>
    <col min="18" max="18" width="20.109375" bestFit="1" customWidth="1"/>
  </cols>
  <sheetData>
    <row r="1" spans="1:256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  <c r="R1">
        <v>18</v>
      </c>
      <c r="S1">
        <v>19</v>
      </c>
      <c r="T1">
        <v>20</v>
      </c>
      <c r="U1">
        <v>21</v>
      </c>
      <c r="V1">
        <v>22</v>
      </c>
      <c r="W1">
        <v>23</v>
      </c>
      <c r="X1">
        <v>24</v>
      </c>
      <c r="Y1">
        <v>25</v>
      </c>
      <c r="Z1">
        <v>26</v>
      </c>
      <c r="AA1">
        <v>27</v>
      </c>
      <c r="AB1">
        <v>28</v>
      </c>
      <c r="AC1">
        <v>29</v>
      </c>
      <c r="AD1">
        <v>30</v>
      </c>
      <c r="AE1">
        <v>31</v>
      </c>
      <c r="AF1">
        <v>32</v>
      </c>
      <c r="AG1">
        <v>33</v>
      </c>
      <c r="AH1">
        <v>34</v>
      </c>
      <c r="AI1">
        <v>35</v>
      </c>
      <c r="AJ1">
        <v>36</v>
      </c>
      <c r="AK1">
        <v>37</v>
      </c>
      <c r="AL1">
        <v>38</v>
      </c>
      <c r="AM1">
        <v>39</v>
      </c>
      <c r="AN1">
        <v>40</v>
      </c>
      <c r="AO1">
        <v>41</v>
      </c>
      <c r="AP1">
        <v>42</v>
      </c>
      <c r="AQ1">
        <v>43</v>
      </c>
      <c r="AR1">
        <v>44</v>
      </c>
      <c r="AS1">
        <v>45</v>
      </c>
      <c r="AT1">
        <v>46</v>
      </c>
      <c r="AU1">
        <v>47</v>
      </c>
      <c r="AV1">
        <v>48</v>
      </c>
      <c r="AW1">
        <v>49</v>
      </c>
      <c r="AX1">
        <v>50</v>
      </c>
      <c r="AY1">
        <v>51</v>
      </c>
      <c r="AZ1">
        <v>52</v>
      </c>
      <c r="BA1">
        <v>53</v>
      </c>
      <c r="BB1">
        <v>54</v>
      </c>
      <c r="BC1">
        <v>55</v>
      </c>
      <c r="BD1">
        <v>56</v>
      </c>
      <c r="BE1">
        <v>57</v>
      </c>
      <c r="BF1">
        <v>58</v>
      </c>
      <c r="BG1">
        <v>59</v>
      </c>
      <c r="BH1">
        <v>60</v>
      </c>
      <c r="BI1">
        <v>61</v>
      </c>
      <c r="BJ1">
        <v>62</v>
      </c>
      <c r="BK1">
        <v>63</v>
      </c>
      <c r="BL1">
        <v>64</v>
      </c>
      <c r="BM1">
        <v>65</v>
      </c>
      <c r="BN1">
        <v>66</v>
      </c>
      <c r="BO1">
        <v>67</v>
      </c>
      <c r="BP1">
        <v>68</v>
      </c>
      <c r="BQ1">
        <v>69</v>
      </c>
      <c r="BR1">
        <v>70</v>
      </c>
      <c r="BS1">
        <v>71</v>
      </c>
      <c r="BT1">
        <v>72</v>
      </c>
      <c r="BU1">
        <v>73</v>
      </c>
      <c r="BV1">
        <v>74</v>
      </c>
      <c r="BW1">
        <v>75</v>
      </c>
      <c r="BX1">
        <v>76</v>
      </c>
      <c r="BY1">
        <v>77</v>
      </c>
      <c r="BZ1">
        <v>78</v>
      </c>
      <c r="CA1">
        <v>79</v>
      </c>
      <c r="CB1">
        <v>80</v>
      </c>
      <c r="CC1">
        <v>81</v>
      </c>
      <c r="CD1">
        <v>82</v>
      </c>
      <c r="CE1">
        <v>83</v>
      </c>
      <c r="CF1">
        <v>84</v>
      </c>
      <c r="CG1">
        <v>85</v>
      </c>
      <c r="CH1">
        <v>86</v>
      </c>
      <c r="CI1">
        <v>87</v>
      </c>
      <c r="CJ1">
        <v>88</v>
      </c>
      <c r="CK1">
        <v>89</v>
      </c>
      <c r="CL1">
        <v>90</v>
      </c>
      <c r="CM1">
        <v>91</v>
      </c>
      <c r="CN1">
        <v>92</v>
      </c>
      <c r="CO1">
        <v>93</v>
      </c>
      <c r="CP1">
        <v>94</v>
      </c>
      <c r="CQ1">
        <v>95</v>
      </c>
      <c r="CR1">
        <v>96</v>
      </c>
      <c r="CS1">
        <v>97</v>
      </c>
      <c r="CT1">
        <v>98</v>
      </c>
      <c r="CU1">
        <v>99</v>
      </c>
      <c r="CV1">
        <v>100</v>
      </c>
      <c r="CW1">
        <v>101</v>
      </c>
      <c r="CX1">
        <v>102</v>
      </c>
      <c r="CY1">
        <v>103</v>
      </c>
      <c r="CZ1">
        <v>104</v>
      </c>
      <c r="DA1">
        <v>105</v>
      </c>
      <c r="DB1">
        <v>106</v>
      </c>
      <c r="DC1">
        <v>107</v>
      </c>
      <c r="DD1">
        <v>108</v>
      </c>
      <c r="DE1">
        <v>109</v>
      </c>
      <c r="DF1">
        <v>110</v>
      </c>
      <c r="DG1">
        <v>111</v>
      </c>
      <c r="DH1">
        <v>112</v>
      </c>
      <c r="DI1">
        <v>113</v>
      </c>
      <c r="DJ1">
        <v>114</v>
      </c>
      <c r="DK1">
        <v>115</v>
      </c>
      <c r="DL1">
        <v>116</v>
      </c>
      <c r="DM1">
        <v>117</v>
      </c>
      <c r="DN1">
        <v>118</v>
      </c>
      <c r="DO1">
        <v>119</v>
      </c>
      <c r="DP1">
        <v>120</v>
      </c>
      <c r="DQ1">
        <v>121</v>
      </c>
      <c r="DR1">
        <v>122</v>
      </c>
      <c r="DS1">
        <v>123</v>
      </c>
      <c r="DT1">
        <v>124</v>
      </c>
      <c r="DU1">
        <v>125</v>
      </c>
      <c r="DV1">
        <v>126</v>
      </c>
      <c r="DW1">
        <v>127</v>
      </c>
      <c r="DX1">
        <v>128</v>
      </c>
      <c r="DY1">
        <v>129</v>
      </c>
      <c r="DZ1">
        <v>130</v>
      </c>
      <c r="EA1">
        <v>131</v>
      </c>
      <c r="EB1">
        <v>132</v>
      </c>
      <c r="EC1">
        <v>133</v>
      </c>
      <c r="ED1">
        <v>134</v>
      </c>
      <c r="EE1">
        <v>135</v>
      </c>
      <c r="EF1">
        <v>136</v>
      </c>
      <c r="EG1">
        <v>137</v>
      </c>
      <c r="EH1">
        <v>138</v>
      </c>
      <c r="EI1">
        <v>139</v>
      </c>
      <c r="EJ1">
        <v>140</v>
      </c>
      <c r="EK1">
        <v>141</v>
      </c>
      <c r="EL1">
        <v>142</v>
      </c>
      <c r="EM1">
        <v>143</v>
      </c>
      <c r="EN1">
        <v>144</v>
      </c>
      <c r="EO1">
        <v>145</v>
      </c>
      <c r="EP1">
        <v>146</v>
      </c>
      <c r="EQ1">
        <v>147</v>
      </c>
      <c r="ER1">
        <v>148</v>
      </c>
      <c r="ES1">
        <v>149</v>
      </c>
      <c r="ET1">
        <v>150</v>
      </c>
      <c r="EU1">
        <v>151</v>
      </c>
      <c r="EV1">
        <v>152</v>
      </c>
      <c r="EW1">
        <v>153</v>
      </c>
      <c r="EX1">
        <v>154</v>
      </c>
      <c r="EY1">
        <v>155</v>
      </c>
      <c r="EZ1">
        <v>156</v>
      </c>
      <c r="FA1">
        <v>157</v>
      </c>
      <c r="FB1">
        <v>158</v>
      </c>
      <c r="FC1">
        <v>159</v>
      </c>
      <c r="FD1">
        <v>160</v>
      </c>
      <c r="FE1">
        <v>161</v>
      </c>
      <c r="FF1">
        <v>162</v>
      </c>
      <c r="FG1">
        <v>163</v>
      </c>
      <c r="FH1">
        <v>164</v>
      </c>
      <c r="FI1">
        <v>165</v>
      </c>
      <c r="FJ1">
        <v>166</v>
      </c>
      <c r="FK1">
        <v>167</v>
      </c>
      <c r="FL1">
        <v>168</v>
      </c>
      <c r="FM1">
        <v>169</v>
      </c>
      <c r="FN1">
        <v>170</v>
      </c>
      <c r="FO1">
        <v>171</v>
      </c>
      <c r="FP1">
        <v>172</v>
      </c>
      <c r="FQ1">
        <v>173</v>
      </c>
      <c r="FR1">
        <v>174</v>
      </c>
      <c r="FS1">
        <v>175</v>
      </c>
      <c r="FT1">
        <v>176</v>
      </c>
      <c r="FU1">
        <v>177</v>
      </c>
      <c r="FV1">
        <v>178</v>
      </c>
      <c r="FW1">
        <v>179</v>
      </c>
      <c r="FX1">
        <v>180</v>
      </c>
      <c r="FY1">
        <v>181</v>
      </c>
      <c r="FZ1">
        <v>182</v>
      </c>
      <c r="GA1">
        <v>183</v>
      </c>
      <c r="GB1">
        <v>184</v>
      </c>
      <c r="GC1">
        <v>185</v>
      </c>
      <c r="GD1">
        <v>186</v>
      </c>
      <c r="GE1">
        <v>187</v>
      </c>
      <c r="GF1">
        <v>188</v>
      </c>
      <c r="GG1">
        <v>189</v>
      </c>
      <c r="GH1">
        <v>190</v>
      </c>
      <c r="GI1">
        <v>191</v>
      </c>
      <c r="GJ1">
        <v>192</v>
      </c>
      <c r="GK1">
        <v>193</v>
      </c>
      <c r="GL1">
        <v>194</v>
      </c>
      <c r="GM1">
        <v>195</v>
      </c>
      <c r="GN1">
        <v>196</v>
      </c>
      <c r="GO1">
        <v>197</v>
      </c>
      <c r="GP1">
        <v>198</v>
      </c>
      <c r="GQ1">
        <v>199</v>
      </c>
      <c r="GR1">
        <v>200</v>
      </c>
      <c r="GS1">
        <v>201</v>
      </c>
      <c r="GT1">
        <v>202</v>
      </c>
      <c r="GU1">
        <v>203</v>
      </c>
      <c r="GV1">
        <v>204</v>
      </c>
      <c r="GW1">
        <v>205</v>
      </c>
      <c r="GX1">
        <v>206</v>
      </c>
      <c r="GY1">
        <v>207</v>
      </c>
      <c r="GZ1">
        <v>208</v>
      </c>
      <c r="HA1">
        <v>209</v>
      </c>
      <c r="HB1">
        <v>210</v>
      </c>
      <c r="HC1">
        <v>211</v>
      </c>
      <c r="HD1">
        <v>212</v>
      </c>
      <c r="HE1">
        <v>213</v>
      </c>
      <c r="HF1">
        <v>214</v>
      </c>
      <c r="HG1">
        <v>215</v>
      </c>
      <c r="HH1">
        <v>216</v>
      </c>
      <c r="HI1">
        <v>217</v>
      </c>
      <c r="HJ1">
        <v>218</v>
      </c>
      <c r="HK1">
        <v>219</v>
      </c>
      <c r="HL1">
        <v>220</v>
      </c>
      <c r="HM1">
        <v>221</v>
      </c>
      <c r="HN1">
        <v>222</v>
      </c>
      <c r="HO1">
        <v>223</v>
      </c>
      <c r="HP1">
        <v>224</v>
      </c>
      <c r="HQ1">
        <v>225</v>
      </c>
      <c r="HR1">
        <v>226</v>
      </c>
      <c r="HS1">
        <v>227</v>
      </c>
      <c r="HT1">
        <v>228</v>
      </c>
      <c r="HU1">
        <v>229</v>
      </c>
      <c r="HV1">
        <v>230</v>
      </c>
      <c r="HW1">
        <v>231</v>
      </c>
      <c r="HX1">
        <v>232</v>
      </c>
      <c r="HY1">
        <v>233</v>
      </c>
      <c r="HZ1">
        <v>234</v>
      </c>
      <c r="IA1">
        <v>235</v>
      </c>
      <c r="IB1">
        <v>236</v>
      </c>
      <c r="IC1">
        <v>237</v>
      </c>
      <c r="ID1">
        <v>238</v>
      </c>
      <c r="IE1">
        <v>239</v>
      </c>
      <c r="IF1">
        <v>240</v>
      </c>
      <c r="IG1">
        <v>241</v>
      </c>
      <c r="IH1">
        <v>242</v>
      </c>
      <c r="II1">
        <v>243</v>
      </c>
      <c r="IJ1">
        <v>244</v>
      </c>
      <c r="IK1">
        <v>245</v>
      </c>
      <c r="IL1">
        <v>246</v>
      </c>
      <c r="IM1">
        <v>247</v>
      </c>
      <c r="IN1">
        <v>248</v>
      </c>
      <c r="IO1">
        <v>249</v>
      </c>
      <c r="IP1">
        <v>250</v>
      </c>
      <c r="IQ1">
        <v>251</v>
      </c>
      <c r="IR1">
        <v>252</v>
      </c>
      <c r="IS1">
        <v>253</v>
      </c>
      <c r="IT1">
        <v>254</v>
      </c>
      <c r="IU1">
        <v>255</v>
      </c>
      <c r="IV1">
        <v>256</v>
      </c>
    </row>
    <row r="2" spans="1:256" s="394" customFormat="1"/>
    <row r="3" spans="1:256" s="394" customFormat="1">
      <c r="B3" s="395" t="s">
        <v>555</v>
      </c>
    </row>
    <row r="4" spans="1:256" s="394" customFormat="1">
      <c r="B4" s="396" t="s">
        <v>557</v>
      </c>
    </row>
    <row r="5" spans="1:256" s="394" customFormat="1">
      <c r="B5" s="396" t="s">
        <v>558</v>
      </c>
    </row>
    <row r="6" spans="1:256" s="394" customFormat="1"/>
    <row r="7" spans="1:256" s="394" customFormat="1"/>
    <row r="8" spans="1:256" s="394" customFormat="1">
      <c r="B8" s="395" t="s">
        <v>559</v>
      </c>
      <c r="F8" s="395" t="s">
        <v>581</v>
      </c>
      <c r="O8" s="395" t="s">
        <v>582</v>
      </c>
    </row>
    <row r="9" spans="1:256" s="394" customFormat="1">
      <c r="B9" s="396" t="s">
        <v>560</v>
      </c>
    </row>
    <row r="10" spans="1:256" s="394" customFormat="1">
      <c r="B10" s="396" t="s">
        <v>556</v>
      </c>
    </row>
    <row r="11" spans="1:256" s="394" customFormat="1" ht="13.8" thickBot="1">
      <c r="B11" s="396" t="s">
        <v>569</v>
      </c>
    </row>
    <row r="12" spans="1:256" s="394" customFormat="1" ht="13.8" thickBot="1">
      <c r="B12" s="396" t="s">
        <v>561</v>
      </c>
      <c r="F12" s="401" t="s">
        <v>649</v>
      </c>
      <c r="G12" s="402"/>
      <c r="H12" s="403"/>
      <c r="I12" s="400">
        <v>1</v>
      </c>
      <c r="J12" s="394" t="s">
        <v>104</v>
      </c>
      <c r="O12" s="394" t="s">
        <v>579</v>
      </c>
    </row>
    <row r="13" spans="1:256" s="394" customFormat="1" ht="13.8" thickBot="1">
      <c r="B13" s="396" t="s">
        <v>562</v>
      </c>
      <c r="F13" s="401" t="s">
        <v>604</v>
      </c>
      <c r="G13" s="402"/>
      <c r="H13" s="403"/>
      <c r="I13" s="400">
        <f>SUM(I14,I15,I16)+I12</f>
        <v>3.2</v>
      </c>
      <c r="J13" s="394" t="s">
        <v>104</v>
      </c>
    </row>
    <row r="14" spans="1:256" s="394" customFormat="1" ht="13.8" thickBot="1">
      <c r="B14" s="396"/>
      <c r="F14" s="401" t="s">
        <v>605</v>
      </c>
      <c r="G14" s="402"/>
      <c r="H14" s="403"/>
      <c r="I14" s="397">
        <v>1.1000000000000001</v>
      </c>
      <c r="J14" s="394" t="s">
        <v>104</v>
      </c>
    </row>
    <row r="15" spans="1:256" s="394" customFormat="1" ht="13.8" thickBot="1">
      <c r="B15" s="396" t="s">
        <v>568</v>
      </c>
      <c r="F15" s="401" t="s">
        <v>647</v>
      </c>
      <c r="G15" s="402"/>
      <c r="H15" s="403"/>
      <c r="I15" s="397">
        <v>0.1</v>
      </c>
      <c r="J15" s="394" t="s">
        <v>104</v>
      </c>
    </row>
    <row r="16" spans="1:256" s="394" customFormat="1" ht="13.8" thickBot="1">
      <c r="B16" s="396" t="s">
        <v>563</v>
      </c>
      <c r="F16" s="401" t="s">
        <v>603</v>
      </c>
      <c r="G16" s="402"/>
      <c r="H16" s="403"/>
      <c r="I16" s="397">
        <v>1</v>
      </c>
      <c r="J16" s="394" t="s">
        <v>104</v>
      </c>
    </row>
    <row r="17" spans="2:13" s="394" customFormat="1" ht="13.8" thickBot="1">
      <c r="B17" s="396" t="s">
        <v>564</v>
      </c>
      <c r="F17" s="401" t="s">
        <v>578</v>
      </c>
      <c r="G17" s="402"/>
      <c r="H17" s="403"/>
      <c r="I17" s="397">
        <f>I12+I14+I15</f>
        <v>2.2000000000000002</v>
      </c>
      <c r="J17" s="396" t="s">
        <v>607</v>
      </c>
      <c r="K17" s="395"/>
    </row>
    <row r="18" spans="2:13" s="394" customFormat="1">
      <c r="B18" s="396" t="s">
        <v>566</v>
      </c>
      <c r="F18" s="404" t="s">
        <v>583</v>
      </c>
      <c r="G18" s="405"/>
      <c r="H18" s="406"/>
      <c r="I18" s="400">
        <v>1.5</v>
      </c>
      <c r="J18" s="396" t="s">
        <v>584</v>
      </c>
      <c r="K18" s="395"/>
    </row>
    <row r="19" spans="2:13" s="394" customFormat="1">
      <c r="B19" s="396" t="s">
        <v>565</v>
      </c>
      <c r="F19" s="407"/>
      <c r="H19" s="408"/>
      <c r="I19" s="400">
        <f>3*0.0254</f>
        <v>7.619999999999999E-2</v>
      </c>
      <c r="J19" s="396" t="s">
        <v>586</v>
      </c>
      <c r="K19" s="395"/>
    </row>
    <row r="20" spans="2:13" s="394" customFormat="1" ht="13.8" thickBot="1">
      <c r="B20" s="396" t="s">
        <v>567</v>
      </c>
      <c r="F20" s="409"/>
      <c r="G20" s="410"/>
      <c r="H20" s="411"/>
      <c r="I20" s="400">
        <f>(PI()*I19^2)/4</f>
        <v>4.5603673118774788E-3</v>
      </c>
      <c r="J20" s="396" t="s">
        <v>585</v>
      </c>
      <c r="K20" s="395"/>
    </row>
    <row r="21" spans="2:13" s="394" customFormat="1" ht="13.8" thickBot="1">
      <c r="B21" s="396" t="s">
        <v>588</v>
      </c>
      <c r="F21" s="401" t="s">
        <v>606</v>
      </c>
      <c r="G21" s="402"/>
      <c r="H21" s="403"/>
      <c r="I21" s="400">
        <v>0.2</v>
      </c>
      <c r="J21" s="395" t="s">
        <v>608</v>
      </c>
    </row>
    <row r="22" spans="2:13" s="394" customFormat="1">
      <c r="F22" s="404" t="s">
        <v>602</v>
      </c>
      <c r="G22" s="405"/>
      <c r="H22" s="406"/>
      <c r="I22" s="412">
        <v>0</v>
      </c>
      <c r="J22" s="394" t="s">
        <v>47</v>
      </c>
    </row>
    <row r="23" spans="2:13" s="394" customFormat="1">
      <c r="F23" s="413"/>
      <c r="H23" s="408"/>
      <c r="I23" s="412">
        <v>0</v>
      </c>
      <c r="J23" s="394" t="s">
        <v>570</v>
      </c>
    </row>
    <row r="24" spans="2:13" s="394" customFormat="1" ht="13.8" thickBot="1">
      <c r="B24"/>
      <c r="F24" s="409"/>
      <c r="G24" s="410"/>
      <c r="H24" s="411"/>
      <c r="I24" s="412">
        <v>400</v>
      </c>
      <c r="J24" s="394" t="s">
        <v>591</v>
      </c>
    </row>
    <row r="25" spans="2:13" s="394" customFormat="1" ht="13.8" thickBot="1">
      <c r="F25" s="414" t="s">
        <v>571</v>
      </c>
      <c r="G25" s="402"/>
      <c r="H25" s="403"/>
      <c r="I25" s="400">
        <f>$I$13*I26*9.81</f>
        <v>251.13600000000002</v>
      </c>
      <c r="J25" s="396" t="s">
        <v>574</v>
      </c>
      <c r="L25" s="401">
        <f>I25/9.81</f>
        <v>25.6</v>
      </c>
      <c r="M25" s="397" t="s">
        <v>104</v>
      </c>
    </row>
    <row r="26" spans="2:13" s="394" customFormat="1" ht="13.8" thickBot="1">
      <c r="F26" s="414" t="s">
        <v>572</v>
      </c>
      <c r="G26" s="402"/>
      <c r="H26" s="403"/>
      <c r="I26" s="397">
        <v>8</v>
      </c>
      <c r="J26" s="396" t="s">
        <v>573</v>
      </c>
    </row>
    <row r="27" spans="2:13" s="394" customFormat="1" ht="13.8" thickBot="1">
      <c r="F27" s="414" t="s">
        <v>575</v>
      </c>
      <c r="G27" s="402"/>
      <c r="H27" s="403"/>
      <c r="I27" s="397">
        <v>1.5</v>
      </c>
      <c r="J27" s="396" t="s">
        <v>576</v>
      </c>
    </row>
    <row r="28" spans="2:13" s="394" customFormat="1" ht="13.8" thickBot="1">
      <c r="F28" s="414" t="s">
        <v>577</v>
      </c>
      <c r="G28" s="402"/>
      <c r="H28" s="403"/>
      <c r="I28" s="397">
        <f>I25*I27</f>
        <v>376.70400000000006</v>
      </c>
      <c r="J28" s="396" t="s">
        <v>627</v>
      </c>
      <c r="K28" s="395" t="s">
        <v>598</v>
      </c>
      <c r="L28" s="399" t="s">
        <v>71</v>
      </c>
    </row>
    <row r="29" spans="2:13" s="394" customFormat="1" ht="13.8" thickBot="1">
      <c r="F29" s="414" t="s">
        <v>589</v>
      </c>
      <c r="G29" s="402"/>
      <c r="H29" s="403"/>
      <c r="I29" s="397">
        <f>($I$13-$I$17)/$I$27</f>
        <v>0.66666666666666663</v>
      </c>
      <c r="J29" s="396" t="s">
        <v>590</v>
      </c>
    </row>
    <row r="30" spans="2:13" s="394" customFormat="1">
      <c r="F30" s="396" t="s">
        <v>592</v>
      </c>
      <c r="I30" s="397">
        <v>6.4999999999999997E-3</v>
      </c>
      <c r="J30" s="396" t="s">
        <v>593</v>
      </c>
    </row>
    <row r="31" spans="2:13" s="394" customFormat="1">
      <c r="F31" s="396" t="s">
        <v>594</v>
      </c>
      <c r="I31" s="397">
        <v>287</v>
      </c>
      <c r="J31" s="396" t="s">
        <v>116</v>
      </c>
    </row>
    <row r="32" spans="2:13" s="394" customFormat="1">
      <c r="F32" s="396" t="s">
        <v>601</v>
      </c>
      <c r="I32" s="397">
        <f>(I33)+I30*I24</f>
        <v>27.6</v>
      </c>
      <c r="J32" s="396" t="s">
        <v>597</v>
      </c>
    </row>
    <row r="33" spans="1:44" s="394" customFormat="1">
      <c r="F33" s="396"/>
      <c r="I33" s="397">
        <v>25</v>
      </c>
      <c r="J33" s="396" t="s">
        <v>595</v>
      </c>
    </row>
    <row r="34" spans="1:44" s="394" customFormat="1">
      <c r="F34" s="396" t="s">
        <v>600</v>
      </c>
      <c r="I34" s="397"/>
      <c r="J34" s="396" t="s">
        <v>596</v>
      </c>
    </row>
    <row r="35" spans="1:44" s="394" customFormat="1">
      <c r="F35" s="396" t="s">
        <v>599</v>
      </c>
      <c r="I35" s="397"/>
      <c r="J35" s="396" t="s">
        <v>150</v>
      </c>
    </row>
    <row r="36" spans="1:44" s="394" customFormat="1">
      <c r="F36" s="396" t="s">
        <v>609</v>
      </c>
      <c r="I36" s="397">
        <f>Output!C20</f>
        <v>2.0127429545759717E-2</v>
      </c>
      <c r="J36" s="396" t="s">
        <v>587</v>
      </c>
    </row>
    <row r="37" spans="1:44" s="394" customFormat="1">
      <c r="F37" s="396" t="s">
        <v>610</v>
      </c>
      <c r="I37" s="397"/>
      <c r="J37" s="396" t="s">
        <v>587</v>
      </c>
    </row>
    <row r="38" spans="1:44" s="394" customFormat="1">
      <c r="D38" s="394" t="s">
        <v>629</v>
      </c>
      <c r="E38" s="394" t="s">
        <v>629</v>
      </c>
      <c r="F38" s="396" t="s">
        <v>611</v>
      </c>
      <c r="I38" s="416">
        <v>664</v>
      </c>
      <c r="J38" s="396" t="s">
        <v>64</v>
      </c>
    </row>
    <row r="39" spans="1:44" s="394" customFormat="1">
      <c r="F39" s="396" t="s">
        <v>612</v>
      </c>
      <c r="I39" s="397">
        <v>13.38474064793008</v>
      </c>
      <c r="J39" s="396" t="s">
        <v>587</v>
      </c>
    </row>
    <row r="40" spans="1:44" s="394" customFormat="1">
      <c r="F40" s="396" t="s">
        <v>614</v>
      </c>
      <c r="I40" s="397">
        <v>0.81360669322197099</v>
      </c>
      <c r="J40" s="396" t="s">
        <v>580</v>
      </c>
    </row>
    <row r="41" spans="1:44" s="394" customFormat="1">
      <c r="F41" s="396" t="s">
        <v>599</v>
      </c>
      <c r="I41" s="397"/>
      <c r="J41" s="396" t="s">
        <v>150</v>
      </c>
    </row>
    <row r="42" spans="1:44" s="394" customFormat="1">
      <c r="B42" s="396"/>
      <c r="C42" s="396"/>
      <c r="D42" s="396"/>
      <c r="F42" s="396" t="s">
        <v>613</v>
      </c>
      <c r="I42" s="398"/>
      <c r="J42" s="396" t="s">
        <v>150</v>
      </c>
    </row>
    <row r="43" spans="1:44" s="394" customFormat="1">
      <c r="B43" s="396"/>
      <c r="C43" s="396"/>
      <c r="D43" s="396"/>
      <c r="F43" s="395"/>
      <c r="I43" s="396"/>
      <c r="J43" s="396"/>
    </row>
    <row r="44" spans="1:44" s="394" customFormat="1">
      <c r="A44" s="399"/>
      <c r="B44" s="396" t="s">
        <v>615</v>
      </c>
      <c r="C44" s="396" t="s">
        <v>616</v>
      </c>
      <c r="D44" s="396" t="s">
        <v>617</v>
      </c>
      <c r="E44" s="394" t="s">
        <v>618</v>
      </c>
      <c r="F44" s="395" t="s">
        <v>619</v>
      </c>
      <c r="G44" s="394" t="s">
        <v>620</v>
      </c>
      <c r="H44" s="394" t="s">
        <v>621</v>
      </c>
      <c r="I44" s="396" t="s">
        <v>622</v>
      </c>
      <c r="J44" s="396" t="s">
        <v>628</v>
      </c>
      <c r="K44" s="394" t="s">
        <v>623</v>
      </c>
      <c r="L44" s="394" t="s">
        <v>624</v>
      </c>
      <c r="M44" s="394" t="s">
        <v>625</v>
      </c>
      <c r="N44" s="394" t="s">
        <v>626</v>
      </c>
      <c r="P44" s="399" t="s">
        <v>648</v>
      </c>
      <c r="Q44" s="399" t="s">
        <v>644</v>
      </c>
      <c r="R44" s="399" t="s">
        <v>645</v>
      </c>
    </row>
    <row r="45" spans="1:44" s="394" customFormat="1">
      <c r="A45"/>
      <c r="B45">
        <v>0</v>
      </c>
      <c r="C45">
        <v>2.0127429545759717E-2</v>
      </c>
      <c r="D45">
        <v>1.0847945532854657E-3</v>
      </c>
      <c r="E45">
        <v>31.256441196400829</v>
      </c>
      <c r="F45">
        <v>251.13600000000002</v>
      </c>
      <c r="G45">
        <v>75.731935248139791</v>
      </c>
      <c r="H45">
        <v>1.5242891910709706</v>
      </c>
      <c r="I45">
        <v>400.04602003495097</v>
      </c>
      <c r="J45">
        <v>4.6020034950970512E-2</v>
      </c>
      <c r="K45">
        <v>3.1865817136361603</v>
      </c>
      <c r="L45">
        <v>1.0237948295220969</v>
      </c>
      <c r="M45">
        <v>87605.063063947542</v>
      </c>
      <c r="N45">
        <v>298.1497008697728</v>
      </c>
      <c r="O45"/>
      <c r="P45">
        <v>1</v>
      </c>
      <c r="Q45">
        <v>0</v>
      </c>
      <c r="R45">
        <v>0</v>
      </c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</row>
    <row r="46" spans="1:44" s="394" customFormat="1">
      <c r="A46"/>
      <c r="B46">
        <v>1</v>
      </c>
      <c r="C46">
        <v>4.0254859091519435E-2</v>
      </c>
      <c r="D46">
        <v>3.9804381724872192E-3</v>
      </c>
      <c r="E46">
        <v>31.124823625442261</v>
      </c>
      <c r="F46">
        <v>251.13600000000002</v>
      </c>
      <c r="G46">
        <v>69.293145168402319</v>
      </c>
      <c r="H46">
        <v>2.9189820884520885</v>
      </c>
      <c r="I46">
        <v>400.11880743279664</v>
      </c>
      <c r="J46">
        <v>0.1188074327966433</v>
      </c>
      <c r="K46">
        <v>3.1731634272723204</v>
      </c>
      <c r="L46">
        <v>1.0243967649750625</v>
      </c>
      <c r="M46">
        <v>87656.430959539983</v>
      </c>
      <c r="N46">
        <v>298.14922775168679</v>
      </c>
      <c r="O46"/>
      <c r="P46">
        <v>2</v>
      </c>
      <c r="Q46">
        <v>3.6597478589850581E-2</v>
      </c>
      <c r="R46">
        <v>474.12978641264118</v>
      </c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</row>
    <row r="47" spans="1:44" s="394" customFormat="1">
      <c r="A47"/>
      <c r="B47">
        <v>2</v>
      </c>
      <c r="C47">
        <v>6.0382288637279152E-2</v>
      </c>
      <c r="D47">
        <v>8.7251053195529713E-3</v>
      </c>
      <c r="E47">
        <v>30.993205785413338</v>
      </c>
      <c r="F47">
        <v>251.13600000000002</v>
      </c>
      <c r="G47">
        <v>69.628145981776697</v>
      </c>
      <c r="H47">
        <v>4.3204176911021719</v>
      </c>
      <c r="I47">
        <v>400.2198699836602</v>
      </c>
      <c r="J47">
        <v>0.21986998366020316</v>
      </c>
      <c r="K47">
        <v>3.1597451409084805</v>
      </c>
      <c r="L47">
        <v>1.0249894196164306</v>
      </c>
      <c r="M47">
        <v>87706.950479328196</v>
      </c>
      <c r="N47">
        <v>298.14857084510624</v>
      </c>
      <c r="O47"/>
      <c r="P47">
        <v>3</v>
      </c>
      <c r="Q47">
        <v>3.7423791324912602E-2</v>
      </c>
      <c r="R47">
        <v>474.43232078359983</v>
      </c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</row>
    <row r="48" spans="1:44">
      <c r="B48">
        <v>3</v>
      </c>
      <c r="C48">
        <v>8.050971818303887E-2</v>
      </c>
      <c r="D48" s="8">
        <v>1.5348631605979966E-2</v>
      </c>
      <c r="E48" s="8">
        <v>30.861587678490562</v>
      </c>
      <c r="F48" s="8">
        <v>251.13600000000002</v>
      </c>
      <c r="G48" s="8">
        <v>69.96541659087309</v>
      </c>
      <c r="H48" s="8">
        <v>5.7286416841746979</v>
      </c>
      <c r="I48" s="8">
        <v>400.34934478015396</v>
      </c>
      <c r="J48" s="8">
        <v>0.34934478015395598</v>
      </c>
      <c r="K48" s="8">
        <v>3.1463268545446406</v>
      </c>
      <c r="L48" s="8">
        <v>1.0255728630257039</v>
      </c>
      <c r="M48" s="8">
        <v>87756.627226298675</v>
      </c>
      <c r="N48" s="8">
        <v>298.14772925892902</v>
      </c>
      <c r="O48" s="8"/>
      <c r="P48">
        <v>4</v>
      </c>
      <c r="Q48">
        <v>7.1123630408677807E-2</v>
      </c>
      <c r="R48">
        <v>479.86760173059469</v>
      </c>
    </row>
    <row r="49" spans="1:18">
      <c r="A49" s="8"/>
      <c r="B49">
        <v>4</v>
      </c>
      <c r="C49">
        <v>0.10063714772879859</v>
      </c>
      <c r="D49" s="10">
        <v>2.3881186931909666E-2</v>
      </c>
      <c r="E49">
        <v>30.729969306864113</v>
      </c>
      <c r="F49">
        <v>251.13600000000002</v>
      </c>
      <c r="G49">
        <v>70.304976636391999</v>
      </c>
      <c r="H49">
        <v>7.1437001481399607</v>
      </c>
      <c r="I49">
        <v>400.50736984634995</v>
      </c>
      <c r="J49">
        <v>0.50736984634994542</v>
      </c>
      <c r="K49">
        <v>3.1329085681808007</v>
      </c>
      <c r="L49">
        <v>1.026147165753964</v>
      </c>
      <c r="M49">
        <v>87805.466887059054</v>
      </c>
      <c r="N49">
        <v>298.14670209599871</v>
      </c>
      <c r="P49">
        <v>5</v>
      </c>
      <c r="Q49">
        <v>0.10529894385025559</v>
      </c>
      <c r="R49">
        <v>483.45775072363483</v>
      </c>
    </row>
    <row r="50" spans="1:18">
      <c r="B50">
        <v>5</v>
      </c>
      <c r="C50">
        <v>0.1207645772745583</v>
      </c>
      <c r="D50" s="10">
        <v>3.4353281029672812E-2</v>
      </c>
      <c r="E50">
        <v>30.598350672737983</v>
      </c>
      <c r="F50">
        <v>251.13600000000002</v>
      </c>
      <c r="G50">
        <v>70.646845989801079</v>
      </c>
      <c r="H50">
        <v>8.5656395634298192</v>
      </c>
      <c r="I50">
        <v>400.69408414587707</v>
      </c>
      <c r="J50">
        <v>0.69408414587707057</v>
      </c>
      <c r="K50">
        <v>3.1194902818169608</v>
      </c>
      <c r="L50">
        <v>1.0267123993230474</v>
      </c>
      <c r="M50">
        <v>87853.475231731747</v>
      </c>
      <c r="N50">
        <v>298.14548845305183</v>
      </c>
      <c r="P50">
        <v>6</v>
      </c>
      <c r="Q50">
        <v>0.13914619637298509</v>
      </c>
      <c r="R50">
        <v>486.57957353982232</v>
      </c>
    </row>
    <row r="51" spans="1:18">
      <c r="B51">
        <v>6</v>
      </c>
      <c r="C51">
        <v>0.14089200682031802</v>
      </c>
      <c r="D51" s="10">
        <v>4.6795769136489869E-2</v>
      </c>
      <c r="E51">
        <v>30.466731778330061</v>
      </c>
      <c r="F51">
        <v>251.13600000000002</v>
      </c>
      <c r="G51">
        <v>70.991044756534961</v>
      </c>
      <c r="H51">
        <v>9.9945068151468508</v>
      </c>
      <c r="I51">
        <v>400.90962759011313</v>
      </c>
      <c r="J51">
        <v>0.9096275901131321</v>
      </c>
      <c r="K51">
        <v>3.1060719954531208</v>
      </c>
      <c r="L51">
        <v>1.0272686362247405</v>
      </c>
      <c r="M51">
        <v>87900.658113848433</v>
      </c>
      <c r="N51">
        <v>298.14408742066428</v>
      </c>
      <c r="P51">
        <v>7</v>
      </c>
      <c r="Q51">
        <v>0.17268657510823257</v>
      </c>
      <c r="R51">
        <v>489.2409769351604</v>
      </c>
    </row>
    <row r="52" spans="1:18">
      <c r="B52">
        <v>7</v>
      </c>
      <c r="C52">
        <v>0.16101943636607774</v>
      </c>
      <c r="D52" s="10">
        <v>6.1239857799311549E-2</v>
      </c>
      <c r="E52">
        <v>30.335112625872259</v>
      </c>
      <c r="F52">
        <v>251.13600000000002</v>
      </c>
      <c r="G52">
        <v>71.337593279236543</v>
      </c>
      <c r="H52">
        <v>11.430349197838746</v>
      </c>
      <c r="I52">
        <v>401.15414104647431</v>
      </c>
      <c r="J52">
        <v>1.154141046474308</v>
      </c>
      <c r="K52">
        <v>3.0926537090892809</v>
      </c>
      <c r="L52">
        <v>1.0278159499200064</v>
      </c>
      <c r="M52">
        <v>87947.021470245949</v>
      </c>
      <c r="N52">
        <v>298.14249808319789</v>
      </c>
      <c r="P52">
        <v>8</v>
      </c>
      <c r="Q52">
        <v>0.20593984839290022</v>
      </c>
      <c r="R52">
        <v>491.43993299745438</v>
      </c>
    </row>
    <row r="53" spans="1:18">
      <c r="B53">
        <v>8</v>
      </c>
      <c r="C53">
        <v>0.18114686591183746</v>
      </c>
      <c r="D53" s="10">
        <v>7.7717110814853968E-2</v>
      </c>
      <c r="E53">
        <v>30.203493217610657</v>
      </c>
      <c r="F53">
        <v>251.13600000000002</v>
      </c>
      <c r="G53">
        <v>71.686512141040225</v>
      </c>
      <c r="H53">
        <v>12.873214420338781</v>
      </c>
      <c r="I53">
        <v>401.42776634680206</v>
      </c>
      <c r="J53">
        <v>1.4277663468020592</v>
      </c>
      <c r="K53">
        <v>3.079235422725441</v>
      </c>
      <c r="L53">
        <v>1.0283544148382402</v>
      </c>
      <c r="M53">
        <v>87992.571320963558</v>
      </c>
      <c r="N53">
        <v>298.14071951874581</v>
      </c>
      <c r="P53">
        <v>9</v>
      </c>
      <c r="Q53">
        <v>0.23892451563076786</v>
      </c>
      <c r="R53">
        <v>493.1746855961012</v>
      </c>
    </row>
    <row r="54" spans="1:18">
      <c r="B54">
        <v>9</v>
      </c>
      <c r="C54">
        <v>0.20127429545759717</v>
      </c>
      <c r="D54" s="10">
        <v>9.6259455307956238E-2</v>
      </c>
      <c r="E54">
        <v>30.071873555805574</v>
      </c>
      <c r="F54">
        <v>251.13600000000002</v>
      </c>
      <c r="G54">
        <v>72.037822168897151</v>
      </c>
      <c r="H54">
        <v>14.323150610673226</v>
      </c>
      <c r="I54">
        <v>401.73064629585008</v>
      </c>
      <c r="J54">
        <v>1.7306462958500788</v>
      </c>
      <c r="K54">
        <v>3.0658171363616011</v>
      </c>
      <c r="L54">
        <v>1.0288841063765706</v>
      </c>
      <c r="M54">
        <v>88037.313769142856</v>
      </c>
      <c r="N54">
        <v>298.138750799077</v>
      </c>
      <c r="P54">
        <v>10</v>
      </c>
      <c r="Q54">
        <v>0.27165793879957534</v>
      </c>
      <c r="R54">
        <v>494.44383105966438</v>
      </c>
    </row>
    <row r="55" spans="1:18">
      <c r="B55">
        <v>10</v>
      </c>
      <c r="C55">
        <v>0.22140172500335689</v>
      </c>
      <c r="D55" s="10">
        <v>0.11689918795146094</v>
      </c>
      <c r="E55">
        <v>29.94025364273174</v>
      </c>
      <c r="F55">
        <v>251.13600000000002</v>
      </c>
      <c r="G55">
        <v>72.391544436942951</v>
      </c>
      <c r="H55">
        <v>15.780206321036529</v>
      </c>
      <c r="I55">
        <v>402.06292467987157</v>
      </c>
      <c r="J55">
        <v>2.0629246798715712</v>
      </c>
      <c r="K55">
        <v>3.0523988499977612</v>
      </c>
      <c r="L55">
        <v>1.0294051008991911</v>
      </c>
      <c r="M55">
        <v>88081.25500092929</v>
      </c>
      <c r="N55">
        <v>298.13659098958084</v>
      </c>
      <c r="P55">
        <v>11</v>
      </c>
      <c r="Q55">
        <v>0.30415645834553368</v>
      </c>
      <c r="R55">
        <v>495.24631561678262</v>
      </c>
    </row>
    <row r="56" spans="1:18">
      <c r="B56">
        <v>11</v>
      </c>
      <c r="C56">
        <v>0.24152915454911661</v>
      </c>
      <c r="D56" s="10">
        <v>0.13966898133089381</v>
      </c>
      <c r="E56">
        <v>29.808633480678381</v>
      </c>
      <c r="F56">
        <v>251.13600000000002</v>
      </c>
      <c r="G56">
        <v>72.74770026990808</v>
      </c>
      <c r="H56">
        <v>17.24443053283515</v>
      </c>
      <c r="I56">
        <v>402.42474627530902</v>
      </c>
      <c r="J56">
        <v>2.424746275309019</v>
      </c>
      <c r="K56">
        <v>3.0389805636339213</v>
      </c>
      <c r="L56">
        <v>1.0299174757367302</v>
      </c>
      <c r="M56">
        <v>88124.401285375468</v>
      </c>
      <c r="N56">
        <v>298.13423914921049</v>
      </c>
      <c r="P56">
        <v>12</v>
      </c>
      <c r="Q56">
        <v>0.33643549574400561</v>
      </c>
      <c r="R56">
        <v>495.5814328779241</v>
      </c>
    </row>
    <row r="57" spans="1:18">
      <c r="B57">
        <v>12</v>
      </c>
      <c r="C57">
        <v>0.26165658409487635</v>
      </c>
      <c r="D57" s="10">
        <v>0.16460189045729756</v>
      </c>
      <c r="E57">
        <v>29.677013071949347</v>
      </c>
      <c r="F57">
        <v>251.13600000000002</v>
      </c>
      <c r="G57">
        <v>73.106311246571011</v>
      </c>
      <c r="H57">
        <v>18.715872661800891</v>
      </c>
      <c r="I57">
        <v>402.81625685758752</v>
      </c>
      <c r="J57">
        <v>2.8162568575875184</v>
      </c>
      <c r="K57">
        <v>3.0255622772700814</v>
      </c>
      <c r="L57">
        <v>1.0304213091856655</v>
      </c>
      <c r="M57">
        <v>88166.758974347293</v>
      </c>
      <c r="N57">
        <v>298.13169433042566</v>
      </c>
      <c r="P57">
        <v>13</v>
      </c>
      <c r="Q57">
        <v>0.36850964463028657</v>
      </c>
      <c r="R57">
        <v>495.44882224888443</v>
      </c>
    </row>
    <row r="58" spans="1:18">
      <c r="B58">
        <v>13</v>
      </c>
      <c r="C58">
        <v>0.2817840136406361</v>
      </c>
      <c r="D58" s="10">
        <v>0.19173135943165562</v>
      </c>
      <c r="E58">
        <v>29.545392418863251</v>
      </c>
      <c r="F58">
        <v>251.13600000000002</v>
      </c>
      <c r="G58">
        <v>73.467399203254615</v>
      </c>
      <c r="H58">
        <v>20.194582563174603</v>
      </c>
      <c r="I58">
        <v>403.23760321001311</v>
      </c>
      <c r="J58">
        <v>3.2376032100131056</v>
      </c>
      <c r="K58">
        <v>3.0121439909062415</v>
      </c>
      <c r="L58">
        <v>1.0309166805077912</v>
      </c>
      <c r="M58">
        <v>88208.334502433296</v>
      </c>
      <c r="N58">
        <v>298.12895557913492</v>
      </c>
      <c r="P58">
        <v>14</v>
      </c>
      <c r="Q58">
        <v>0.40039275209934944</v>
      </c>
      <c r="R58">
        <v>494.84846828035228</v>
      </c>
    </row>
    <row r="59" spans="1:18">
      <c r="B59">
        <v>14</v>
      </c>
      <c r="C59">
        <v>0.30191144318639584</v>
      </c>
      <c r="D59" s="10">
        <v>0.22109122826441735</v>
      </c>
      <c r="E59">
        <v>29.413771523753571</v>
      </c>
      <c r="F59">
        <v>251.13600000000002</v>
      </c>
      <c r="G59">
        <v>73.830986237365806</v>
      </c>
      <c r="H59">
        <v>21.680610536961137</v>
      </c>
      <c r="I59">
        <v>403.68893313277755</v>
      </c>
      <c r="J59">
        <v>3.6889331327775494</v>
      </c>
      <c r="K59">
        <v>2.9987257045424016</v>
      </c>
      <c r="L59">
        <v>1.0314036699297133</v>
      </c>
      <c r="M59">
        <v>88249.134386855119</v>
      </c>
      <c r="N59">
        <v>298.12602193463692</v>
      </c>
      <c r="P59">
        <v>15</v>
      </c>
      <c r="Q59">
        <v>0.43209799152383294</v>
      </c>
      <c r="R59">
        <v>493.78070095108961</v>
      </c>
    </row>
    <row r="60" spans="1:18">
      <c r="B60">
        <v>15</v>
      </c>
      <c r="C60">
        <v>0.32203887273215559</v>
      </c>
      <c r="D60" s="10">
        <v>0.2527157398537313</v>
      </c>
      <c r="E60">
        <v>29.282150388968802</v>
      </c>
      <c r="F60">
        <v>251.13600000000002</v>
      </c>
      <c r="G60">
        <v>74.197094710978703</v>
      </c>
      <c r="H60">
        <v>23.174007333256423</v>
      </c>
      <c r="I60">
        <v>404.17039545207126</v>
      </c>
      <c r="J60">
        <v>4.1703954520712614</v>
      </c>
      <c r="K60">
        <v>2.9853074181785617</v>
      </c>
      <c r="L60">
        <v>1.0318823586424177</v>
      </c>
      <c r="M60">
        <v>88289.165227383011</v>
      </c>
      <c r="N60">
        <v>298.12289242956155</v>
      </c>
      <c r="P60">
        <v>16</v>
      </c>
      <c r="Q60">
        <v>0.46363792803439446</v>
      </c>
      <c r="R60">
        <v>492.24619688776403</v>
      </c>
    </row>
    <row r="61" spans="1:18">
      <c r="B61">
        <v>16</v>
      </c>
      <c r="C61">
        <v>0.34216630227791534</v>
      </c>
      <c r="D61" s="10">
        <v>0.28663954712606482</v>
      </c>
      <c r="E61">
        <v>29.150529016872579</v>
      </c>
      <c r="F61">
        <v>251.13600000000002</v>
      </c>
      <c r="G61">
        <v>74.565747254461471</v>
      </c>
      <c r="H61">
        <v>24.674824157647521</v>
      </c>
      <c r="I61">
        <v>404.68214002930534</v>
      </c>
      <c r="J61">
        <v>4.6821400293053443</v>
      </c>
      <c r="K61">
        <v>2.9718891318147218</v>
      </c>
      <c r="L61">
        <v>1.0323528288008705</v>
      </c>
      <c r="M61">
        <v>88328.433706252734</v>
      </c>
      <c r="N61">
        <v>298.1195660898095</v>
      </c>
      <c r="P61">
        <v>17</v>
      </c>
      <c r="Q61">
        <v>0.49502457763717467</v>
      </c>
      <c r="R61">
        <v>490.24598152966922</v>
      </c>
    </row>
    <row r="62" spans="1:18">
      <c r="B62">
        <v>17</v>
      </c>
      <c r="C62">
        <v>0.36229373182367508</v>
      </c>
      <c r="D62" s="10">
        <v>0.32289772034299319</v>
      </c>
      <c r="E62">
        <v>29.018907409843766</v>
      </c>
      <c r="F62">
        <v>251.13600000000002</v>
      </c>
      <c r="G62">
        <v>74.936966770146981</v>
      </c>
      <c r="H62">
        <v>26.183112676686591</v>
      </c>
      <c r="I62">
        <v>405.22431777044488</v>
      </c>
      <c r="J62">
        <v>5.224317770444884</v>
      </c>
      <c r="K62">
        <v>2.9584708454508819</v>
      </c>
      <c r="L62">
        <v>1.0328151635236926</v>
      </c>
      <c r="M62">
        <v>88366.946588087638</v>
      </c>
      <c r="N62">
        <v>298.1160419344921</v>
      </c>
      <c r="P62">
        <v>18</v>
      </c>
      <c r="Q62">
        <v>0.5262694608026991</v>
      </c>
      <c r="R62">
        <v>487.78143225245333</v>
      </c>
    </row>
    <row r="63" spans="1:18">
      <c r="B63">
        <v>18</v>
      </c>
      <c r="C63">
        <v>0.38242116136943483</v>
      </c>
      <c r="D63" s="10">
        <v>0.36152575457801145</v>
      </c>
      <c r="E63">
        <v>28.887285570276649</v>
      </c>
      <c r="F63">
        <v>251.13600000000002</v>
      </c>
      <c r="G63">
        <v>75.31077643604732</v>
      </c>
      <c r="H63">
        <v>27.698925023439593</v>
      </c>
      <c r="I63">
        <v>405.79708063545439</v>
      </c>
      <c r="J63">
        <v>5.7970806354543924</v>
      </c>
      <c r="K63">
        <v>2.945052559087042</v>
      </c>
      <c r="L63">
        <v>1.0332694468928703</v>
      </c>
      <c r="M63">
        <v>88404.710719822368</v>
      </c>
      <c r="N63">
        <v>298.11231897586953</v>
      </c>
      <c r="P63">
        <v>19</v>
      </c>
      <c r="Q63">
        <v>0.55738365124371259</v>
      </c>
      <c r="R63">
        <v>484.85428247068927</v>
      </c>
    </row>
    <row r="64" spans="1:18">
      <c r="B64">
        <v>19</v>
      </c>
      <c r="C64">
        <v>0.40254859091519457</v>
      </c>
      <c r="D64" s="10">
        <v>0.40255957736733872</v>
      </c>
      <c r="E64">
        <v>28.755663500581033</v>
      </c>
      <c r="F64">
        <v>251.13600000000002</v>
      </c>
      <c r="G64">
        <v>75.687199709612415</v>
      </c>
      <c r="H64">
        <v>29.222313803110662</v>
      </c>
      <c r="I64">
        <v>406.40058164785739</v>
      </c>
      <c r="J64">
        <v>6.4005816478573934</v>
      </c>
      <c r="K64">
        <v>2.9316342727232021</v>
      </c>
      <c r="L64">
        <v>1.0337157639535439</v>
      </c>
      <c r="M64">
        <v>88441.733030632153</v>
      </c>
      <c r="N64">
        <v>298.10839621928892</v>
      </c>
      <c r="P64">
        <v>20</v>
      </c>
      <c r="Q64">
        <v>0.58837782050188359</v>
      </c>
      <c r="R64">
        <v>481.46662674533769</v>
      </c>
    </row>
    <row r="65" spans="2:18">
      <c r="B65">
        <v>20</v>
      </c>
      <c r="C65">
        <v>0.42267602046095432</v>
      </c>
      <c r="D65" s="10">
        <v>0.44603555653875943</v>
      </c>
      <c r="E65">
        <v>28.624041203182347</v>
      </c>
      <c r="F65">
        <v>251.13600000000002</v>
      </c>
      <c r="G65">
        <v>76.066260331532675</v>
      </c>
      <c r="H65">
        <v>30.753332098743002</v>
      </c>
      <c r="I65">
        <v>407.03497490441151</v>
      </c>
      <c r="J65">
        <v>7.0349749044115129</v>
      </c>
      <c r="K65">
        <v>2.9182159863593622</v>
      </c>
      <c r="L65">
        <v>1.0341542007138544</v>
      </c>
      <c r="M65">
        <v>88478.020531865448</v>
      </c>
      <c r="N65">
        <v>298.10427266312132</v>
      </c>
      <c r="P65">
        <v>21</v>
      </c>
      <c r="Q65">
        <v>0.61926227888168039</v>
      </c>
      <c r="R65">
        <v>477.62092692867748</v>
      </c>
    </row>
    <row r="66" spans="2:18">
      <c r="B66">
        <v>21</v>
      </c>
      <c r="C66">
        <v>0.44280345000671406</v>
      </c>
      <c r="D66" s="10">
        <v>0.49199050822265433</v>
      </c>
      <c r="E66">
        <v>28.492418680521855</v>
      </c>
      <c r="F66">
        <v>251.13600000000002</v>
      </c>
      <c r="G66">
        <v>76.447982329585713</v>
      </c>
      <c r="H66">
        <v>32.292033476997219</v>
      </c>
      <c r="I66">
        <v>407.7004155849005</v>
      </c>
      <c r="J66">
        <v>7.7004155849004974</v>
      </c>
      <c r="K66">
        <v>2.9047976999955223</v>
      </c>
      <c r="L66">
        <v>1.034584844144852</v>
      </c>
      <c r="M66">
        <v>88513.580316980704</v>
      </c>
      <c r="N66">
        <v>298.09994729869817</v>
      </c>
      <c r="P66">
        <v>22</v>
      </c>
      <c r="Q66">
        <v>0.6471315593027549</v>
      </c>
      <c r="R66">
        <v>303.41364561490508</v>
      </c>
    </row>
    <row r="67" spans="2:18">
      <c r="B67">
        <v>22</v>
      </c>
      <c r="C67">
        <v>0.46293087955247381</v>
      </c>
      <c r="D67" s="10">
        <v>0.540461705049472</v>
      </c>
      <c r="E67">
        <v>28.360795935056704</v>
      </c>
      <c r="F67">
        <v>251.13600000000002</v>
      </c>
      <c r="G67">
        <v>76.832390022527235</v>
      </c>
      <c r="H67">
        <v>33.838471994007968</v>
      </c>
      <c r="I67">
        <v>408.39705996204503</v>
      </c>
      <c r="J67">
        <v>8.3970599620450344</v>
      </c>
      <c r="K67">
        <v>2.8913794136316824</v>
      </c>
      <c r="L67">
        <v>1.0350077821804753</v>
      </c>
      <c r="M67">
        <v>88548.419561487797</v>
      </c>
      <c r="N67">
        <v>298.09541911024672</v>
      </c>
      <c r="P67">
        <v>23</v>
      </c>
      <c r="Q67">
        <v>0.657467970895945</v>
      </c>
      <c r="R67">
        <v>0</v>
      </c>
    </row>
    <row r="68" spans="2:18">
      <c r="B68">
        <v>23</v>
      </c>
      <c r="C68">
        <v>0.48305830909823355</v>
      </c>
      <c r="D68" s="10">
        <v>0.59148688453799225</v>
      </c>
      <c r="E68">
        <v>28.229172969260134</v>
      </c>
      <c r="F68">
        <v>251.13600000000002</v>
      </c>
      <c r="G68">
        <v>77.219508024025927</v>
      </c>
      <c r="H68">
        <v>35.392702201319779</v>
      </c>
      <c r="I68">
        <v>409.12506541153391</v>
      </c>
      <c r="J68">
        <v>9.1250654115339103</v>
      </c>
      <c r="K68">
        <v>2.8779611272678425</v>
      </c>
      <c r="L68">
        <v>1.0354231037176016</v>
      </c>
      <c r="M68">
        <v>88582.545522894041</v>
      </c>
      <c r="N68">
        <v>298.09068707482504</v>
      </c>
    </row>
    <row r="69" spans="2:18">
      <c r="B69">
        <v>24</v>
      </c>
      <c r="C69">
        <v>0.5031857386439933</v>
      </c>
      <c r="D69" s="10">
        <v>0.64510425767884716</v>
      </c>
      <c r="E69">
        <v>28.09754978562156</v>
      </c>
      <c r="F69">
        <v>251.13600000000002</v>
      </c>
      <c r="G69">
        <v>77.609361246642351</v>
      </c>
      <c r="H69">
        <v>36.95477915190299</v>
      </c>
      <c r="I69">
        <v>409.88459042217693</v>
      </c>
      <c r="J69">
        <v>9.8845904221769274</v>
      </c>
      <c r="K69">
        <v>2.8645428409040026</v>
      </c>
      <c r="L69">
        <v>1.0358308986161791</v>
      </c>
      <c r="M69">
        <v>88615.96554065599</v>
      </c>
      <c r="N69">
        <v>298.08575016225586</v>
      </c>
    </row>
    <row r="70" spans="2:18">
      <c r="B70">
        <v>25</v>
      </c>
      <c r="C70">
        <v>0.52331316818975304</v>
      </c>
      <c r="D70" s="10">
        <v>0.7013525177178529</v>
      </c>
      <c r="E70">
        <v>27.965926386646743</v>
      </c>
      <c r="F70">
        <v>251.13600000000002</v>
      </c>
      <c r="G70">
        <v>78.001974905851782</v>
      </c>
      <c r="H70">
        <v>38.524758406250641</v>
      </c>
      <c r="I70">
        <v>410.67579460618123</v>
      </c>
      <c r="J70">
        <v>10.675794606181228</v>
      </c>
      <c r="K70">
        <v>2.8511245545401627</v>
      </c>
      <c r="L70">
        <v>1.0362312576994208</v>
      </c>
      <c r="M70">
        <v>88648.687036134856</v>
      </c>
      <c r="N70">
        <v>298.08060733505982</v>
      </c>
    </row>
    <row r="71" spans="2:18">
      <c r="B71">
        <v>26</v>
      </c>
      <c r="C71">
        <v>0.54344059773551279</v>
      </c>
      <c r="D71" s="10">
        <v>0.7602708491438479</v>
      </c>
      <c r="E71">
        <v>27.834302774857939</v>
      </c>
      <c r="F71">
        <v>251.13600000000002</v>
      </c>
      <c r="G71">
        <v>78.397374524110603</v>
      </c>
      <c r="H71">
        <v>40.102696038557212</v>
      </c>
      <c r="I71">
        <v>411.49883870955324</v>
      </c>
      <c r="J71">
        <v>11.49883870955324</v>
      </c>
      <c r="K71">
        <v>2.8377062681763228</v>
      </c>
      <c r="L71">
        <v>1.0366242727540982</v>
      </c>
      <c r="M71">
        <v>88680.717512559291</v>
      </c>
      <c r="N71">
        <v>298.07525754838792</v>
      </c>
    </row>
    <row r="72" spans="2:18">
      <c r="B72">
        <v>27</v>
      </c>
      <c r="C72">
        <v>0.56356802728127253</v>
      </c>
      <c r="D72" s="10">
        <v>0.82189893688580673</v>
      </c>
      <c r="E72">
        <v>27.702678952793995</v>
      </c>
      <c r="F72">
        <v>251.13600000000002</v>
      </c>
      <c r="G72">
        <v>78.795585934966368</v>
      </c>
      <c r="H72">
        <v>41.688648642980105</v>
      </c>
      <c r="I72">
        <v>412.35388462262699</v>
      </c>
      <c r="J72">
        <v>12.353884622626992</v>
      </c>
      <c r="K72">
        <v>2.8242879818124829</v>
      </c>
      <c r="L72">
        <v>1.0370100365308965</v>
      </c>
      <c r="M72">
        <v>88712.064554991739</v>
      </c>
      <c r="N72">
        <v>298.06969974995292</v>
      </c>
    </row>
    <row r="73" spans="2:18">
      <c r="B73">
        <v>28</v>
      </c>
      <c r="C73">
        <v>0.58369545682703228</v>
      </c>
      <c r="D73" s="10">
        <v>0.88627697572416009</v>
      </c>
      <c r="E73">
        <v>27.571054923010568</v>
      </c>
      <c r="F73">
        <v>251.13600000000002</v>
      </c>
      <c r="G73">
        <v>79.196635287211066</v>
      </c>
      <c r="H73">
        <v>43.282673339984676</v>
      </c>
      <c r="I73">
        <v>413.24109539072123</v>
      </c>
      <c r="J73">
        <v>13.241095390721227</v>
      </c>
      <c r="K73">
        <v>2.810869695448643</v>
      </c>
      <c r="L73">
        <v>1.037388642744876</v>
      </c>
      <c r="M73">
        <v>88742.735830302496</v>
      </c>
      <c r="N73">
        <v>298.0639328799603</v>
      </c>
    </row>
    <row r="74" spans="2:18">
      <c r="B74">
        <v>29</v>
      </c>
      <c r="C74">
        <v>0.60382288637279202</v>
      </c>
      <c r="D74" s="10">
        <v>0.95344567992133278</v>
      </c>
      <c r="E74">
        <v>27.439430688080176</v>
      </c>
      <c r="F74">
        <v>251.13600000000002</v>
      </c>
      <c r="G74">
        <v>79.600549049077316</v>
      </c>
      <c r="H74">
        <v>44.884827782773769</v>
      </c>
      <c r="I74">
        <v>414.16063522492692</v>
      </c>
      <c r="J74">
        <v>14.160635224926921</v>
      </c>
      <c r="K74">
        <v>2.7974514090848031</v>
      </c>
      <c r="L74">
        <v>1.0377601860760119</v>
      </c>
      <c r="M74">
        <v>88772.739087149108</v>
      </c>
      <c r="N74">
        <v>298.05795587103796</v>
      </c>
    </row>
    <row r="75" spans="2:18">
      <c r="B75">
        <v>30</v>
      </c>
      <c r="C75">
        <v>0.62395031591855177</v>
      </c>
      <c r="D75" s="10">
        <v>1.0234462930766548</v>
      </c>
      <c r="E75">
        <v>27.307806250592439</v>
      </c>
      <c r="F75">
        <v>251.13600000000002</v>
      </c>
      <c r="G75">
        <v>80.007354012477208</v>
      </c>
      <c r="H75">
        <v>46.495170163802563</v>
      </c>
      <c r="I75">
        <v>415.11266951302633</v>
      </c>
      <c r="J75">
        <v>15.112669513026333</v>
      </c>
      <c r="K75">
        <v>2.7840331227209631</v>
      </c>
      <c r="L75">
        <v>1.0381247621698297</v>
      </c>
      <c r="M75">
        <v>88802.082155962053</v>
      </c>
      <c r="N75">
        <v>298.05176764816531</v>
      </c>
    </row>
    <row r="76" spans="2:18">
      <c r="B76">
        <v>31</v>
      </c>
      <c r="C76">
        <v>0.64407774546431151</v>
      </c>
      <c r="D76" s="10">
        <v>1.096320598210919</v>
      </c>
      <c r="E76">
        <v>27.17618161315416</v>
      </c>
      <c r="F76">
        <v>251.13600000000002</v>
      </c>
      <c r="G76">
        <v>80.417077297283384</v>
      </c>
      <c r="H76">
        <v>48.113759221379546</v>
      </c>
      <c r="I76">
        <v>416.09736483054627</v>
      </c>
      <c r="J76">
        <v>16.097364830546269</v>
      </c>
      <c r="K76">
        <v>2.7706148363571232</v>
      </c>
      <c r="L76">
        <v>1.0384824676381341</v>
      </c>
      <c r="M76">
        <v>88830.772948937403</v>
      </c>
      <c r="N76">
        <v>298.04536712860147</v>
      </c>
    </row>
    <row r="77" spans="2:18">
      <c r="B77">
        <v>32</v>
      </c>
      <c r="C77">
        <v>0.66420517501007126</v>
      </c>
      <c r="D77" s="10">
        <v>1.1721109280860056</v>
      </c>
      <c r="E77">
        <v>27.044556778389516</v>
      </c>
      <c r="F77">
        <v>251.13600000000002</v>
      </c>
      <c r="G77">
        <v>80.829746355651665</v>
      </c>
      <c r="H77">
        <v>49.740654246354552</v>
      </c>
      <c r="I77">
        <v>417.11488895194651</v>
      </c>
      <c r="J77">
        <v>17.114888951946511</v>
      </c>
      <c r="K77">
        <v>2.7571965499932833</v>
      </c>
      <c r="L77">
        <v>1.0388334000598489</v>
      </c>
      <c r="M77">
        <v>88858.819460036888</v>
      </c>
      <c r="N77">
        <v>298.03875322181233</v>
      </c>
    </row>
    <row r="78" spans="2:18">
      <c r="B78">
        <v>33</v>
      </c>
      <c r="C78">
        <v>0.684332604555831</v>
      </c>
      <c r="D78" s="10">
        <v>1.2508601757650697</v>
      </c>
      <c r="E78">
        <v>26.912931748940181</v>
      </c>
      <c r="F78">
        <v>251.13600000000002</v>
      </c>
      <c r="G78">
        <v>81.245388976385058</v>
      </c>
      <c r="H78">
        <v>51.375915088894587</v>
      </c>
      <c r="I78">
        <v>418.16541086194576</v>
      </c>
      <c r="J78">
        <v>18.165410861945759</v>
      </c>
      <c r="K78">
        <v>2.7437782636294434</v>
      </c>
      <c r="L78">
        <v>1.0391776579819345</v>
      </c>
      <c r="M78">
        <v>88886.229764993521</v>
      </c>
      <c r="N78">
        <v>298.03192482939733</v>
      </c>
    </row>
    <row r="79" spans="2:18">
      <c r="B79">
        <v>34</v>
      </c>
      <c r="C79">
        <v>0.70446003410159075</v>
      </c>
      <c r="D79" s="10">
        <v>1.3326118054190239</v>
      </c>
      <c r="E79">
        <v>26.781306527465492</v>
      </c>
      <c r="F79">
        <v>251.13600000000002</v>
      </c>
      <c r="G79">
        <v>81.664033289338136</v>
      </c>
      <c r="H79">
        <v>53.019602165348317</v>
      </c>
      <c r="I79">
        <v>419.24910076698632</v>
      </c>
      <c r="J79">
        <v>19.249100766986317</v>
      </c>
      <c r="K79">
        <v>2.7303599772656035</v>
      </c>
      <c r="L79">
        <v>1.0395153409204412</v>
      </c>
      <c r="M79">
        <v>88913.012021326838</v>
      </c>
      <c r="N79">
        <v>298.02488084501459</v>
      </c>
    </row>
    <row r="80" spans="2:18">
      <c r="B80">
        <v>35</v>
      </c>
      <c r="C80">
        <v>0.72458746364735049</v>
      </c>
      <c r="D80" s="10">
        <v>1.4174098633850771</v>
      </c>
      <c r="E80">
        <v>26.649681116642626</v>
      </c>
      <c r="F80">
        <v>251.13600000000002</v>
      </c>
      <c r="G80">
        <v>82.085707769861486</v>
      </c>
      <c r="H80">
        <v>54.671776465200026</v>
      </c>
      <c r="I80">
        <v>420.36613010683993</v>
      </c>
      <c r="J80">
        <v>20.366130106839933</v>
      </c>
      <c r="K80">
        <v>2.7169416909017636</v>
      </c>
      <c r="L80">
        <v>1.0398465493616522</v>
      </c>
      <c r="M80">
        <v>88939.174468364319</v>
      </c>
      <c r="N80">
        <v>298.01762015430552</v>
      </c>
    </row>
    <row r="81" spans="2:14">
      <c r="B81">
        <v>36</v>
      </c>
      <c r="C81">
        <v>0.74471489319311024</v>
      </c>
      <c r="D81" s="10">
        <v>1.505298989483306</v>
      </c>
      <c r="E81">
        <v>26.518055519166701</v>
      </c>
      <c r="F81">
        <v>251.13600000000002</v>
      </c>
      <c r="G81">
        <v>82.510441243285058</v>
      </c>
      <c r="H81">
        <v>56.332499558113796</v>
      </c>
      <c r="I81">
        <v>421.51667156635625</v>
      </c>
      <c r="J81">
        <v>21.516671566356251</v>
      </c>
      <c r="K81">
        <v>2.7035234045379237</v>
      </c>
      <c r="L81">
        <v>1.0401713847633447</v>
      </c>
      <c r="M81">
        <v>88964.72542727142</v>
      </c>
      <c r="N81">
        <v>298.01014163481869</v>
      </c>
    </row>
    <row r="82" spans="2:14">
      <c r="B82">
        <v>37</v>
      </c>
      <c r="C82">
        <v>0.76484232273886998</v>
      </c>
      <c r="D82" s="10">
        <v>1.5963244285973537</v>
      </c>
      <c r="E82">
        <v>26.386429737750998</v>
      </c>
      <c r="F82">
        <v>251.13600000000002</v>
      </c>
      <c r="G82">
        <v>82.938262889439926</v>
      </c>
      <c r="H82">
        <v>58.001833601068697</v>
      </c>
      <c r="I82">
        <v>422.70089908735559</v>
      </c>
      <c r="J82">
        <v>22.700899087355594</v>
      </c>
      <c r="K82">
        <v>2.6901051181740838</v>
      </c>
      <c r="L82">
        <v>1.0404899495561655</v>
      </c>
      <c r="M82">
        <v>88989.673301089511</v>
      </c>
      <c r="N82">
        <v>298.00244415593221</v>
      </c>
    </row>
    <row r="83" spans="2:14">
      <c r="B83">
        <v>38</v>
      </c>
      <c r="C83">
        <v>0.78496975228462973</v>
      </c>
      <c r="D83" s="10">
        <v>1.6905320425255292</v>
      </c>
      <c r="E83">
        <v>26.254803775127076</v>
      </c>
      <c r="F83">
        <v>251.13600000000002</v>
      </c>
      <c r="G83">
        <v>83.369202247217345</v>
      </c>
      <c r="H83">
        <v>59.679841345585757</v>
      </c>
      <c r="I83">
        <v>423.91898788066851</v>
      </c>
      <c r="J83">
        <v>23.91898788066851</v>
      </c>
      <c r="K83">
        <v>2.6766868318102439</v>
      </c>
      <c r="L83">
        <v>1.0408023471451384</v>
      </c>
      <c r="M83">
        <v>89014.026574783493</v>
      </c>
      <c r="N83">
        <v>297.99452657877566</v>
      </c>
    </row>
    <row r="84" spans="2:14">
      <c r="B84">
        <v>39</v>
      </c>
      <c r="C84">
        <v>0.80509718183038947</v>
      </c>
      <c r="D84" s="10">
        <v>1.7879683221086533</v>
      </c>
      <c r="E84">
        <v>26.123177634044957</v>
      </c>
      <c r="F84">
        <v>251.13600000000002</v>
      </c>
      <c r="G84">
        <v>83.803289219164071</v>
      </c>
      <c r="H84">
        <v>61.366586145047407</v>
      </c>
      <c r="I84">
        <v>425.17111443832317</v>
      </c>
      <c r="J84">
        <v>25.171114438323173</v>
      </c>
      <c r="K84">
        <v>2.663268545446404</v>
      </c>
      <c r="L84">
        <v>1.041108681911272</v>
      </c>
      <c r="M84">
        <v>89037.793815296245</v>
      </c>
      <c r="N84">
        <v>297.98638775615092</v>
      </c>
    </row>
    <row r="85" spans="2:14">
      <c r="B85">
        <v>40</v>
      </c>
      <c r="C85">
        <v>0.82522461137614922</v>
      </c>
      <c r="D85" s="10">
        <v>1.8886803996412955</v>
      </c>
      <c r="E85">
        <v>25.991551317273281</v>
      </c>
      <c r="F85">
        <v>251.13600000000002</v>
      </c>
      <c r="G85">
        <v>84.240554076112858</v>
      </c>
      <c r="H85">
        <v>63.062131962110129</v>
      </c>
      <c r="I85">
        <v>426.45745654588319</v>
      </c>
      <c r="J85">
        <v>26.45745654588319</v>
      </c>
      <c r="K85">
        <v>2.6498502590825641</v>
      </c>
      <c r="L85">
        <v>1.0414090592133223</v>
      </c>
      <c r="M85">
        <v>89060.983671614638</v>
      </c>
      <c r="N85">
        <v>297.97802653245174</v>
      </c>
    </row>
    <row r="86" spans="2:14">
      <c r="B86">
        <v>41</v>
      </c>
      <c r="C86">
        <v>0.84535204092190896</v>
      </c>
      <c r="D86" s="10">
        <v>1.9927160615730473</v>
      </c>
      <c r="E86">
        <v>25.859924827599471</v>
      </c>
      <c r="F86">
        <v>251.13600000000002</v>
      </c>
      <c r="G86">
        <v>84.681027461846881</v>
      </c>
      <c r="H86">
        <v>64.76654337621099</v>
      </c>
      <c r="I86">
        <v>427.77819329493741</v>
      </c>
      <c r="J86">
        <v>27.77819329493741</v>
      </c>
      <c r="K86">
        <v>2.6364319727187242</v>
      </c>
      <c r="L86">
        <v>1.0417035853896655</v>
      </c>
      <c r="M86">
        <v>89083.604874843193</v>
      </c>
      <c r="N86">
        <v>297.96944174358293</v>
      </c>
    </row>
    <row r="87" spans="2:14">
      <c r="B87">
        <v>42</v>
      </c>
      <c r="C87">
        <v>0.86547947046766871</v>
      </c>
      <c r="D87" s="10">
        <v>2.1001237615067714</v>
      </c>
      <c r="E87">
        <v>25.728298167829912</v>
      </c>
      <c r="F87">
        <v>251.13600000000002</v>
      </c>
      <c r="G87">
        <v>85.124740397796799</v>
      </c>
      <c r="H87">
        <v>66.479885591168724</v>
      </c>
      <c r="I87">
        <v>429.13350509574349</v>
      </c>
      <c r="J87">
        <v>29.133505095743487</v>
      </c>
      <c r="K87">
        <v>2.6230136863548843</v>
      </c>
      <c r="L87">
        <v>1.0419923677603162</v>
      </c>
      <c r="M87">
        <v>89105.666238288206</v>
      </c>
      <c r="N87">
        <v>297.96063221687768</v>
      </c>
    </row>
    <row r="88" spans="2:14">
      <c r="B88">
        <v>43</v>
      </c>
      <c r="C88">
        <v>0.88560690001342846</v>
      </c>
      <c r="D88" s="10">
        <v>2.2109526335008649</v>
      </c>
      <c r="E88">
        <v>25.596671340790106</v>
      </c>
      <c r="F88">
        <v>251.13600000000002</v>
      </c>
      <c r="G88">
        <v>85.571724287768774</v>
      </c>
      <c r="H88">
        <v>68.202224442879967</v>
      </c>
      <c r="I88">
        <v>430.52357369002749</v>
      </c>
      <c r="J88">
        <v>30.52357369002749</v>
      </c>
      <c r="K88">
        <v>2.6095953999910444</v>
      </c>
      <c r="L88">
        <v>1.0422755146290841</v>
      </c>
      <c r="M88">
        <v>89127.176657552176</v>
      </c>
      <c r="N88">
        <v>297.95159677101481</v>
      </c>
    </row>
    <row r="89" spans="2:14">
      <c r="B89">
        <v>44</v>
      </c>
      <c r="C89">
        <v>0.9057343295591882</v>
      </c>
      <c r="D89" s="10">
        <v>2.3252525056827689</v>
      </c>
      <c r="E89">
        <v>25.465044349324842</v>
      </c>
      <c r="F89">
        <v>251.13600000000002</v>
      </c>
      <c r="G89">
        <v>86.022010922702279</v>
      </c>
      <c r="H89">
        <v>69.933626407111234</v>
      </c>
      <c r="I89">
        <v>431.94858216394135</v>
      </c>
      <c r="J89">
        <v>31.948582163941353</v>
      </c>
      <c r="K89">
        <v>2.5961771136272045</v>
      </c>
      <c r="L89">
        <v>1.042553135285869</v>
      </c>
      <c r="M89">
        <v>89148.145110638041</v>
      </c>
      <c r="N89">
        <v>297.94233421593441</v>
      </c>
    </row>
    <row r="90" spans="2:14">
      <c r="B90">
        <v>45</v>
      </c>
      <c r="C90">
        <v>0.92586175910494795</v>
      </c>
      <c r="D90" s="10">
        <v>2.4430739141811393</v>
      </c>
      <c r="E90">
        <v>25.333417196298392</v>
      </c>
      <c r="F90">
        <v>251.13600000000002</v>
      </c>
      <c r="G90">
        <v>86.475632485455364</v>
      </c>
      <c r="H90">
        <v>71.674158607387241</v>
      </c>
      <c r="I90">
        <v>433.40871496117973</v>
      </c>
      <c r="J90">
        <v>33.408714961179726</v>
      </c>
      <c r="K90">
        <v>2.5827588272633646</v>
      </c>
      <c r="L90">
        <v>1.0428253400091076</v>
      </c>
      <c r="M90">
        <v>89168.580658064471</v>
      </c>
      <c r="N90">
        <v>297.93284335275234</v>
      </c>
    </row>
    <row r="91" spans="2:14">
      <c r="B91">
        <v>46</v>
      </c>
      <c r="C91">
        <v>0.94598918865070769</v>
      </c>
      <c r="D91" s="10">
        <v>2.5644681173842852</v>
      </c>
      <c r="E91">
        <v>25.201789884594646</v>
      </c>
      <c r="F91">
        <v>251.13600000000002</v>
      </c>
      <c r="G91">
        <v>86.932621555616151</v>
      </c>
      <c r="H91">
        <v>73.423888822976096</v>
      </c>
      <c r="I91">
        <v>434.90415789625905</v>
      </c>
      <c r="J91">
        <v>34.904157896259051</v>
      </c>
      <c r="K91">
        <v>2.5693405408995247</v>
      </c>
      <c r="L91">
        <v>1.0430922400683742</v>
      </c>
      <c r="M91">
        <v>89188.492442992618</v>
      </c>
      <c r="N91">
        <v>297.92312297367431</v>
      </c>
    </row>
    <row r="92" spans="2:14">
      <c r="B92">
        <v>47</v>
      </c>
      <c r="C92">
        <v>0.96611661819646744</v>
      </c>
      <c r="D92" s="10">
        <v>2.6894871105326112</v>
      </c>
      <c r="E92">
        <v>25.070162417117348</v>
      </c>
      <c r="F92">
        <v>251.13600000000002</v>
      </c>
      <c r="G92">
        <v>87.393011114338066</v>
      </c>
      <c r="H92">
        <v>75.182885496971736</v>
      </c>
      <c r="I92">
        <v>436.43509816795978</v>
      </c>
      <c r="J92">
        <v>36.435098167959779</v>
      </c>
      <c r="K92">
        <v>2.5559222545356848</v>
      </c>
      <c r="L92">
        <v>1.0433539477271256</v>
      </c>
      <c r="M92">
        <v>89207.889691363074</v>
      </c>
      <c r="N92">
        <v>297.91317186190827</v>
      </c>
    </row>
    <row r="93" spans="2:14">
      <c r="B93">
        <v>48</v>
      </c>
      <c r="C93">
        <v>0.98624404774222718</v>
      </c>
      <c r="D93" s="10">
        <v>2.8181836406530909</v>
      </c>
      <c r="E93">
        <v>24.938534796790208</v>
      </c>
      <c r="F93">
        <v>251.13600000000002</v>
      </c>
      <c r="G93">
        <v>87.85683454919679</v>
      </c>
      <c r="H93">
        <v>76.951217744474164</v>
      </c>
      <c r="I93">
        <v>438.00172437293463</v>
      </c>
      <c r="J93">
        <v>38.001724372934632</v>
      </c>
      <c r="K93">
        <v>2.5425039681718449</v>
      </c>
      <c r="L93">
        <v>1.043610576245618</v>
      </c>
      <c r="M93">
        <v>89226.781712045646</v>
      </c>
      <c r="N93">
        <v>297.90298879157592</v>
      </c>
    </row>
    <row r="94" spans="2:14">
      <c r="B94">
        <v>49</v>
      </c>
      <c r="C94">
        <v>1.0063714772879868</v>
      </c>
      <c r="D94" s="10">
        <v>2.9506112218439084</v>
      </c>
      <c r="E94">
        <v>24.806907026557138</v>
      </c>
      <c r="F94">
        <v>251.13600000000002</v>
      </c>
      <c r="G94">
        <v>88.324125659066752</v>
      </c>
      <c r="H94">
        <v>78.728955360867857</v>
      </c>
      <c r="I94">
        <v>439.60422651948414</v>
      </c>
      <c r="J94">
        <v>39.604226519484143</v>
      </c>
      <c r="K94">
        <v>2.529085681808005</v>
      </c>
      <c r="L94">
        <v>1.0438622398839836</v>
      </c>
      <c r="M94">
        <v>89245.177897000758</v>
      </c>
      <c r="N94">
        <v>297.89257252762337</v>
      </c>
    </row>
    <row r="95" spans="2:14">
      <c r="B95">
        <v>50</v>
      </c>
      <c r="C95">
        <v>1.0264989068337464</v>
      </c>
      <c r="D95" s="10">
        <v>3.0868241509176362</v>
      </c>
      <c r="E95">
        <v>24.675279109382398</v>
      </c>
      <c r="F95">
        <v>251.13600000000002</v>
      </c>
      <c r="G95">
        <v>88.794918659014286</v>
      </c>
      <c r="H95">
        <v>80.516168830198637</v>
      </c>
      <c r="I95">
        <v>441.24279604150206</v>
      </c>
      <c r="J95">
        <v>41.242796041502061</v>
      </c>
      <c r="K95">
        <v>2.5156673954441651</v>
      </c>
      <c r="L95">
        <v>1.0441090539054754</v>
      </c>
      <c r="M95">
        <v>89263.087721453281</v>
      </c>
      <c r="N95">
        <v>297.88192182573022</v>
      </c>
    </row>
    <row r="96" spans="2:14">
      <c r="B96">
        <v>51</v>
      </c>
      <c r="C96">
        <v>1.0466263363795061</v>
      </c>
      <c r="D96" s="10">
        <v>3.2268775234115399</v>
      </c>
      <c r="E96">
        <v>24.543651048250812</v>
      </c>
      <c r="F96">
        <v>251.13600000000002</v>
      </c>
      <c r="G96">
        <v>89.269248185205143</v>
      </c>
      <c r="H96">
        <v>82.312929333649294</v>
      </c>
      <c r="I96">
        <v>442.91762581259206</v>
      </c>
      <c r="J96">
        <v>42.917625812592064</v>
      </c>
      <c r="K96">
        <v>2.5022491090803252</v>
      </c>
      <c r="L96">
        <v>1.0443511345798868</v>
      </c>
      <c r="M96">
        <v>89280.520744079215</v>
      </c>
      <c r="N96">
        <v>297.87103543221815</v>
      </c>
    </row>
    <row r="97" spans="2:14">
      <c r="B97">
        <v>52</v>
      </c>
      <c r="C97">
        <v>1.0667537659252657</v>
      </c>
      <c r="D97" s="10">
        <v>3.3708272499737584</v>
      </c>
      <c r="E97">
        <v>24.412022846167925</v>
      </c>
      <c r="F97">
        <v>251.13600000000002</v>
      </c>
      <c r="G97">
        <v>89.747149299822979</v>
      </c>
      <c r="H97">
        <v>84.119308758114258</v>
      </c>
      <c r="I97">
        <v>444.62891016035843</v>
      </c>
      <c r="J97">
        <v>44.62891016035843</v>
      </c>
      <c r="K97">
        <v>2.4888308227164853</v>
      </c>
      <c r="L97">
        <v>1.0445885991871426</v>
      </c>
      <c r="M97">
        <v>89297.486607204817</v>
      </c>
      <c r="N97">
        <v>297.85991208395768</v>
      </c>
    </row>
    <row r="98" spans="2:14">
      <c r="B98">
        <v>53</v>
      </c>
      <c r="C98">
        <v>1.0868811954710254</v>
      </c>
      <c r="D98" s="10">
        <v>3.5187300731344382</v>
      </c>
      <c r="E98">
        <v>24.280394506160217</v>
      </c>
      <c r="F98">
        <v>251.13600000000002</v>
      </c>
      <c r="G98">
        <v>90.228657495996302</v>
      </c>
      <c r="H98">
        <v>85.935379704873412</v>
      </c>
      <c r="I98">
        <v>446.37684488087189</v>
      </c>
      <c r="J98">
        <v>46.376844880871886</v>
      </c>
      <c r="K98">
        <v>2.4754125363526454</v>
      </c>
      <c r="L98">
        <v>1.0448215660210856</v>
      </c>
      <c r="M98">
        <v>89313.995037020519</v>
      </c>
      <c r="N98">
        <v>297.84855050827434</v>
      </c>
    </row>
    <row r="99" spans="2:14">
      <c r="B99">
        <v>54</v>
      </c>
      <c r="C99">
        <v>1.107008625016785</v>
      </c>
      <c r="D99" s="10">
        <v>3.6706435844709455</v>
      </c>
      <c r="E99">
        <v>24.148766031275297</v>
      </c>
      <c r="F99">
        <v>251.13600000000002</v>
      </c>
      <c r="G99">
        <v>90.713808702729864</v>
      </c>
      <c r="H99">
        <v>87.761215498365132</v>
      </c>
      <c r="I99">
        <v>448.16162725331327</v>
      </c>
      <c r="J99">
        <v>48.16162725331327</v>
      </c>
      <c r="K99">
        <v>2.4619942499888054</v>
      </c>
      <c r="L99">
        <v>1.0450501543934381</v>
      </c>
      <c r="M99">
        <v>89330.055843807582</v>
      </c>
      <c r="N99">
        <v>297.83694942285348</v>
      </c>
    </row>
    <row r="100" spans="2:14">
      <c r="B100">
        <v>55</v>
      </c>
      <c r="C100">
        <v>1.1271360545625446</v>
      </c>
      <c r="D100" s="10">
        <v>3.8266262421766815</v>
      </c>
      <c r="E100">
        <v>24.01713742458206</v>
      </c>
      <c r="F100">
        <v>251.13600000000002</v>
      </c>
      <c r="G100">
        <v>91.202639289837407</v>
      </c>
      <c r="H100">
        <v>89.596890195058677</v>
      </c>
      <c r="I100">
        <v>449.98345605479682</v>
      </c>
      <c r="J100">
        <v>49.983456054796818</v>
      </c>
      <c r="K100">
        <v>2.4485759636249655</v>
      </c>
      <c r="L100">
        <v>1.0452744846379629</v>
      </c>
      <c r="M100">
        <v>89345.678922179432</v>
      </c>
      <c r="N100">
        <v>297.82510753564384</v>
      </c>
    </row>
    <row r="101" spans="2:14">
      <c r="B101">
        <v>56</v>
      </c>
      <c r="C101">
        <v>1.1472634841083043</v>
      </c>
      <c r="D101" s="10">
        <v>3.9867373890431139</v>
      </c>
      <c r="E101">
        <v>23.885508689170937</v>
      </c>
      <c r="F101">
        <v>251.13600000000002</v>
      </c>
      <c r="G101">
        <v>91.695186072871834</v>
      </c>
      <c r="H101">
        <v>91.442478592425729</v>
      </c>
      <c r="I101">
        <v>451.84253157537472</v>
      </c>
      <c r="J101">
        <v>51.842531575374721</v>
      </c>
      <c r="K101">
        <v>2.4351576772611256</v>
      </c>
      <c r="L101">
        <v>1.0454946781148116</v>
      </c>
      <c r="M101">
        <v>89360.874251337053</v>
      </c>
      <c r="N101">
        <v>297.81302354476009</v>
      </c>
    </row>
    <row r="102" spans="2:14">
      <c r="B102">
        <v>57</v>
      </c>
      <c r="C102">
        <v>1.1673909136540639</v>
      </c>
      <c r="D102" s="10">
        <v>4.1510372708650571</v>
      </c>
      <c r="E102">
        <v>23.753879828154062</v>
      </c>
      <c r="F102">
        <v>251.13600000000002</v>
      </c>
      <c r="G102">
        <v>92.191486318048391</v>
      </c>
      <c r="H102">
        <v>93.298056238011114</v>
      </c>
      <c r="I102">
        <v>453.73905563322575</v>
      </c>
      <c r="J102">
        <v>53.739055633225746</v>
      </c>
      <c r="K102">
        <v>2.4217393908972857</v>
      </c>
      <c r="L102">
        <v>1.0457108572150962</v>
      </c>
      <c r="M102">
        <v>89375.651895340983</v>
      </c>
      <c r="N102">
        <v>297.80069613838401</v>
      </c>
    </row>
    <row r="103" spans="2:14">
      <c r="B103">
        <v>58</v>
      </c>
      <c r="C103">
        <v>1.1875183431998235</v>
      </c>
      <c r="D103" s="10">
        <v>4.3195870552791735</v>
      </c>
      <c r="E103">
        <v>23.622250844665462</v>
      </c>
      <c r="F103">
        <v>251.13600000000002</v>
      </c>
      <c r="G103">
        <v>92.691577747156998</v>
      </c>
      <c r="H103">
        <v>95.163699438602322</v>
      </c>
      <c r="I103">
        <v>455.67323159002876</v>
      </c>
      <c r="J103">
        <v>55.673231590028763</v>
      </c>
      <c r="K103">
        <v>2.4083211045334458</v>
      </c>
      <c r="L103">
        <v>1.0459231453656403</v>
      </c>
      <c r="M103">
        <v>89390.022003396516</v>
      </c>
      <c r="N103">
        <v>297.78812399466483</v>
      </c>
    </row>
    <row r="104" spans="2:14">
      <c r="B104">
        <v>59</v>
      </c>
      <c r="C104">
        <v>1.2076457727455832</v>
      </c>
      <c r="D104" s="10">
        <v>4.492448851046289</v>
      </c>
      <c r="E104">
        <v>23.490621741861297</v>
      </c>
      <c r="F104">
        <v>251.13600000000002</v>
      </c>
      <c r="G104">
        <v>93.195498542458552</v>
      </c>
      <c r="H104">
        <v>97.039485269497604</v>
      </c>
      <c r="I104">
        <v>457.64526436652449</v>
      </c>
      <c r="J104">
        <v>57.645264366524486</v>
      </c>
      <c r="K104">
        <v>2.3949028181696059</v>
      </c>
      <c r="L104">
        <v>1.046131667033966</v>
      </c>
      <c r="M104">
        <v>89403.994810156437</v>
      </c>
      <c r="N104">
        <v>297.77530578161759</v>
      </c>
    </row>
    <row r="105" spans="2:14">
      <c r="B105">
        <v>60</v>
      </c>
      <c r="C105">
        <v>1.2277732022913428</v>
      </c>
      <c r="D105" s="10">
        <v>4.6696857277880524</v>
      </c>
      <c r="E105">
        <v>23.358992522920047</v>
      </c>
      <c r="F105">
        <v>251.13600000000002</v>
      </c>
      <c r="G105">
        <v>93.70328735156059</v>
      </c>
      <c r="H105">
        <v>98.925491583872216</v>
      </c>
      <c r="I105">
        <v>459.65536045826622</v>
      </c>
      <c r="J105">
        <v>59.655360458266216</v>
      </c>
      <c r="K105">
        <v>2.381484531805766</v>
      </c>
      <c r="L105">
        <v>1.0463365477334836</v>
      </c>
      <c r="M105">
        <v>89417.5806360391</v>
      </c>
      <c r="N105">
        <v>297.76224015702127</v>
      </c>
    </row>
    <row r="106" spans="2:14">
      <c r="B106">
        <v>61</v>
      </c>
      <c r="C106">
        <v>1.2479006318371024</v>
      </c>
      <c r="D106" s="10">
        <v>4.8513617361889336</v>
      </c>
      <c r="E106">
        <v>23.227363191042713</v>
      </c>
      <c r="F106">
        <v>251.13600000000002</v>
      </c>
      <c r="G106">
        <v>94.214983292266751</v>
      </c>
      <c r="H106">
        <v>100.82179702224224</v>
      </c>
      <c r="I106">
        <v>461.70372795156231</v>
      </c>
      <c r="J106">
        <v>61.703727951562314</v>
      </c>
      <c r="K106">
        <v>2.3680662454419261</v>
      </c>
      <c r="L106">
        <v>1.0465379140289173</v>
      </c>
      <c r="M106">
        <v>89430.789887563951</v>
      </c>
      <c r="N106">
        <v>297.74892576831485</v>
      </c>
    </row>
    <row r="107" spans="2:14">
      <c r="B107">
        <v>62</v>
      </c>
      <c r="C107">
        <v>1.2680280613828621</v>
      </c>
      <c r="D107" s="10">
        <v>5.0375419286746626</v>
      </c>
      <c r="E107">
        <v>23.095733749453036</v>
      </c>
      <c r="F107">
        <v>251.13600000000002</v>
      </c>
      <c r="G107">
        <v>94.730625957394437</v>
      </c>
      <c r="H107">
        <v>102.72848102202541</v>
      </c>
      <c r="I107">
        <v>463.79057653961189</v>
      </c>
      <c r="J107">
        <v>63.790576539611891</v>
      </c>
      <c r="K107">
        <v>2.3546479590780862</v>
      </c>
      <c r="L107">
        <v>1.0467358935419449</v>
      </c>
      <c r="M107">
        <v>89443.633057702857</v>
      </c>
      <c r="N107">
        <v>297.73536125249251</v>
      </c>
    </row>
    <row r="108" spans="2:14">
      <c r="B108">
        <v>63</v>
      </c>
      <c r="C108">
        <v>1.2881554909286217</v>
      </c>
      <c r="D108" s="10">
        <v>5.2282923805786581</v>
      </c>
      <c r="E108">
        <v>22.964104201397713</v>
      </c>
      <c r="F108">
        <v>251.13600000000002</v>
      </c>
      <c r="G108">
        <v>95.250255419554662</v>
      </c>
      <c r="H108">
        <v>104.64562382719811</v>
      </c>
      <c r="I108">
        <v>465.91611753883603</v>
      </c>
      <c r="J108">
        <v>65.916117538836033</v>
      </c>
      <c r="K108">
        <v>2.3412296727142463</v>
      </c>
      <c r="L108">
        <v>1.0469306149570889</v>
      </c>
      <c r="M108">
        <v>89456.120726250636</v>
      </c>
      <c r="N108">
        <v>297.72154523599755</v>
      </c>
    </row>
    <row r="109" spans="2:14">
      <c r="B109">
        <v>64</v>
      </c>
      <c r="C109">
        <v>1.3082829204743813</v>
      </c>
      <c r="D109" s="10">
        <v>5.4236802118080796</v>
      </c>
      <c r="E109">
        <v>22.832474550146621</v>
      </c>
      <c r="F109">
        <v>251.13600000000002</v>
      </c>
      <c r="G109">
        <v>95.773912235887593</v>
      </c>
      <c r="H109">
        <v>106.57330649804771</v>
      </c>
      <c r="I109">
        <v>468.08056390540622</v>
      </c>
      <c r="J109">
        <v>68.080563905406223</v>
      </c>
      <c r="K109">
        <v>2.3278113863504064</v>
      </c>
      <c r="L109">
        <v>1.0471222080278362</v>
      </c>
      <c r="M109">
        <v>89468.263560212348</v>
      </c>
      <c r="N109">
        <v>297.70747633461485</v>
      </c>
    </row>
    <row r="110" spans="2:14">
      <c r="B110">
        <v>65</v>
      </c>
      <c r="C110">
        <v>1.328410350020141</v>
      </c>
      <c r="D110" s="10">
        <v>5.6237736090215336</v>
      </c>
      <c r="E110">
        <v>22.700844798993018</v>
      </c>
      <c r="F110">
        <v>251.13600000000002</v>
      </c>
      <c r="G110">
        <v>96.301637452746903</v>
      </c>
      <c r="H110">
        <v>108.51161092101917</v>
      </c>
      <c r="I110">
        <v>470.2841302519717</v>
      </c>
      <c r="J110">
        <v>70.284130251971703</v>
      </c>
      <c r="K110">
        <v>2.3143930999865665</v>
      </c>
      <c r="L110">
        <v>1.0473108035830037</v>
      </c>
      <c r="M110">
        <v>89480.072314209101</v>
      </c>
      <c r="N110">
        <v>297.69315315336218</v>
      </c>
    </row>
    <row r="111" spans="2:14">
      <c r="B111">
        <v>66</v>
      </c>
      <c r="C111">
        <v>1.3485377795659006</v>
      </c>
      <c r="D111" s="10">
        <v>5.8286418483308022</v>
      </c>
      <c r="E111">
        <v>22.56921495125378</v>
      </c>
      <c r="F111">
        <v>251.13600000000002</v>
      </c>
      <c r="G111">
        <v>96.833472610325657</v>
      </c>
      <c r="H111">
        <v>110.46061981865475</v>
      </c>
      <c r="I111">
        <v>472.52703286458825</v>
      </c>
      <c r="J111">
        <v>72.52703286458825</v>
      </c>
      <c r="K111">
        <v>2.3009748136227266</v>
      </c>
      <c r="L111">
        <v>1.047496533533367</v>
      </c>
      <c r="M111">
        <v>89491.55783090365</v>
      </c>
      <c r="N111">
        <v>297.67857428638018</v>
      </c>
    </row>
    <row r="112" spans="2:14">
      <c r="B112">
        <v>67</v>
      </c>
      <c r="C112">
        <v>1.3686652091116602</v>
      </c>
      <c r="D112" s="10">
        <v>6.0383553185390566</v>
      </c>
      <c r="E112">
        <v>22.437585010269611</v>
      </c>
      <c r="F112">
        <v>251.13600000000002</v>
      </c>
      <c r="G112">
        <v>97.369459747216027</v>
      </c>
      <c r="H112">
        <v>112.42041675962552</v>
      </c>
      <c r="I112">
        <v>474.80948971984924</v>
      </c>
      <c r="J112">
        <v>74.809489719849239</v>
      </c>
      <c r="K112">
        <v>2.2875565272588867</v>
      </c>
      <c r="L112">
        <v>1.0476795308785372</v>
      </c>
      <c r="M112">
        <v>89502.731041444451</v>
      </c>
      <c r="N112">
        <v>297.66373831682097</v>
      </c>
    </row>
    <row r="113" spans="2:14">
      <c r="B113">
        <v>68</v>
      </c>
      <c r="C113">
        <v>1.3887926386574199</v>
      </c>
      <c r="D113" s="10">
        <v>6.252985544928527</v>
      </c>
      <c r="E113">
        <v>22.305954979405286</v>
      </c>
      <c r="F113">
        <v>251.13600000000002</v>
      </c>
      <c r="G113">
        <v>97.909641404894387</v>
      </c>
      <c r="H113">
        <v>114.39108616885314</v>
      </c>
      <c r="I113">
        <v>477.13172050222187</v>
      </c>
      <c r="J113">
        <v>77.131720502221867</v>
      </c>
      <c r="K113">
        <v>2.2741382408950468</v>
      </c>
      <c r="L113">
        <v>1.0478599297141056</v>
      </c>
      <c r="M113">
        <v>89513.602965930069</v>
      </c>
      <c r="N113">
        <v>297.64864381673556</v>
      </c>
    </row>
    <row r="114" spans="2:14">
      <c r="B114">
        <v>69</v>
      </c>
      <c r="C114">
        <v>1.4089200682031795</v>
      </c>
      <c r="D114" s="10">
        <v>6.4726052136107732</v>
      </c>
      <c r="E114">
        <v>22.174324862049883</v>
      </c>
      <c r="F114">
        <v>251.13600000000002</v>
      </c>
      <c r="G114">
        <v>98.454060632123188</v>
      </c>
      <c r="H114">
        <v>116.37271333772016</v>
      </c>
      <c r="I114">
        <v>479.49394662158937</v>
      </c>
      <c r="J114">
        <v>79.493946621589373</v>
      </c>
      <c r="K114">
        <v>2.2607199545312069</v>
      </c>
      <c r="L114">
        <v>1.0480378652390585</v>
      </c>
      <c r="M114">
        <v>89524.184713893512</v>
      </c>
      <c r="N114">
        <v>297.63328934695966</v>
      </c>
    </row>
    <row r="115" spans="2:14">
      <c r="B115">
        <v>70</v>
      </c>
      <c r="C115">
        <v>1.4290474977489391</v>
      </c>
      <c r="D115" s="10">
        <v>6.697288196453119</v>
      </c>
      <c r="E115">
        <v>22.042694661616995</v>
      </c>
      <c r="F115">
        <v>251.13600000000002</v>
      </c>
      <c r="G115">
        <v>99.002760989260111</v>
      </c>
      <c r="H115">
        <v>118.36538443436717</v>
      </c>
      <c r="I115">
        <v>481.8963912310017</v>
      </c>
      <c r="J115">
        <v>81.896391231001701</v>
      </c>
      <c r="K115">
        <v>2.247301668167367</v>
      </c>
      <c r="L115">
        <v>1.0482134737634754</v>
      </c>
      <c r="M115">
        <v>89534.487484808298</v>
      </c>
      <c r="N115">
        <v>297.61767345699849</v>
      </c>
    </row>
    <row r="116" spans="2:14">
      <c r="B116">
        <v>71</v>
      </c>
      <c r="C116">
        <v>1.4491749272946988</v>
      </c>
      <c r="D116" s="10">
        <v>6.9271095765949591</v>
      </c>
      <c r="E116">
        <v>21.911064381544975</v>
      </c>
      <c r="F116">
        <v>251.13600000000002</v>
      </c>
      <c r="G116">
        <v>99.555786552464681</v>
      </c>
      <c r="H116">
        <v>120.3691865140746</v>
      </c>
      <c r="I116">
        <v>484.33927924463563</v>
      </c>
      <c r="J116">
        <v>84.339279244635634</v>
      </c>
      <c r="K116">
        <v>2.2338833818035271</v>
      </c>
      <c r="L116">
        <v>1.0483868927165023</v>
      </c>
      <c r="M116">
        <v>89544.522568614775</v>
      </c>
      <c r="N116">
        <v>297.60179468490986</v>
      </c>
    </row>
    <row r="117" spans="2:14">
      <c r="B117">
        <v>72</v>
      </c>
      <c r="C117">
        <v>1.4693023568404584</v>
      </c>
      <c r="D117" s="10">
        <v>7.1621456745681629</v>
      </c>
      <c r="E117">
        <v>21.779434025297203</v>
      </c>
      <c r="F117">
        <v>251.13600000000002</v>
      </c>
      <c r="G117">
        <v>100.11318191779169</v>
      </c>
      <c r="H117">
        <v>122.38420752972678</v>
      </c>
      <c r="I117">
        <v>486.82283735596673</v>
      </c>
      <c r="J117">
        <v>86.822837355966726</v>
      </c>
      <c r="K117">
        <v>2.2204650954396872</v>
      </c>
      <c r="L117">
        <v>1.0485582606546218</v>
      </c>
      <c r="M117">
        <v>89554.301346269174</v>
      </c>
      <c r="N117">
        <v>297.58565155718622</v>
      </c>
    </row>
    <row r="118" spans="2:14">
      <c r="B118">
        <v>73</v>
      </c>
      <c r="C118">
        <v>1.489429786386218</v>
      </c>
      <c r="D118" s="10">
        <v>7.4024740750360145</v>
      </c>
      <c r="E118">
        <v>21.647803596362291</v>
      </c>
      <c r="F118">
        <v>251.13600000000002</v>
      </c>
      <c r="G118">
        <v>100.67499220516022</v>
      </c>
      <c r="H118">
        <v>124.41053634235605</v>
      </c>
      <c r="I118">
        <v>489.34729405615406</v>
      </c>
      <c r="J118">
        <v>89.347294056154055</v>
      </c>
      <c r="K118">
        <v>2.2070468090758473</v>
      </c>
      <c r="L118">
        <v>1.048727717270221</v>
      </c>
      <c r="M118">
        <v>89563.835290314848</v>
      </c>
      <c r="N118">
        <v>297.56924258863501</v>
      </c>
    </row>
    <row r="119" spans="2:14">
      <c r="B119">
        <v>74</v>
      </c>
      <c r="C119">
        <v>1.5095572159319777</v>
      </c>
      <c r="D119" s="10">
        <v>7.6481736541654479</v>
      </c>
      <c r="E119">
        <v>21.516173098254331</v>
      </c>
      <c r="F119">
        <v>251.13600000000002</v>
      </c>
      <c r="G119">
        <v>101.24126306218642</v>
      </c>
      <c r="H119">
        <v>126.44826273176393</v>
      </c>
      <c r="I119">
        <v>491.9128796526395</v>
      </c>
      <c r="J119">
        <v>91.912879652639504</v>
      </c>
      <c r="K119">
        <v>2.1936285227120074</v>
      </c>
      <c r="L119">
        <v>1.0488954034004623</v>
      </c>
      <c r="M119">
        <v>89573.135965476351</v>
      </c>
      <c r="N119">
        <v>297.55256628225783</v>
      </c>
    </row>
    <row r="120" spans="2:14">
      <c r="B120">
        <v>75</v>
      </c>
      <c r="C120">
        <v>1.5296846454777373</v>
      </c>
      <c r="D120" s="10">
        <v>7.8993246076477392</v>
      </c>
      <c r="E120">
        <v>21.384542534513173</v>
      </c>
      <c r="F120">
        <v>251.13600000000002</v>
      </c>
      <c r="G120">
        <v>101.81204066786732</v>
      </c>
      <c r="H120">
        <v>128.49747740721645</v>
      </c>
      <c r="I120">
        <v>494.51982628796327</v>
      </c>
      <c r="J120">
        <v>94.519826287963269</v>
      </c>
      <c r="K120">
        <v>2.1802102363481675</v>
      </c>
      <c r="L120">
        <v>1.0490614610364652</v>
      </c>
      <c r="M120">
        <v>89582.21502927714</v>
      </c>
      <c r="N120">
        <v>297.53562112912823</v>
      </c>
    </row>
    <row r="121" spans="2:14">
      <c r="B121">
        <v>76</v>
      </c>
      <c r="C121">
        <v>1.5498120750234969</v>
      </c>
      <c r="D121" s="10">
        <v>7.86148729276435</v>
      </c>
      <c r="E121">
        <v>21.384525228438712</v>
      </c>
      <c r="F121">
        <v>0</v>
      </c>
      <c r="G121">
        <v>-13.431671246168959</v>
      </c>
      <c r="H121">
        <v>128.22713239052737</v>
      </c>
      <c r="I121">
        <v>497.09798818587018</v>
      </c>
      <c r="J121">
        <v>97.097988185870179</v>
      </c>
      <c r="K121">
        <v>2.1802102363481675</v>
      </c>
      <c r="L121">
        <v>1.0484435026923278</v>
      </c>
      <c r="M121">
        <v>89524.40333040469</v>
      </c>
      <c r="N121">
        <v>297.51886307679183</v>
      </c>
    </row>
    <row r="122" spans="2:14">
      <c r="B122">
        <v>77</v>
      </c>
      <c r="C122">
        <v>1.5699395045692566</v>
      </c>
      <c r="D122" s="10">
        <v>7.8238138578491876</v>
      </c>
      <c r="E122">
        <v>21.384507958839777</v>
      </c>
      <c r="F122">
        <v>0</v>
      </c>
      <c r="G122">
        <v>-13.414308415591091</v>
      </c>
      <c r="H122">
        <v>127.95713684298747</v>
      </c>
      <c r="I122">
        <v>499.67071928437417</v>
      </c>
      <c r="J122">
        <v>99.670719284374172</v>
      </c>
      <c r="K122">
        <v>2.1802102363481675</v>
      </c>
      <c r="L122">
        <v>1.0478271753360744</v>
      </c>
      <c r="M122">
        <v>89466.747450258219</v>
      </c>
      <c r="N122">
        <v>297.50214032465158</v>
      </c>
    </row>
    <row r="123" spans="2:14">
      <c r="B123">
        <v>78</v>
      </c>
      <c r="C123">
        <v>1.5900669341150162</v>
      </c>
      <c r="D123" s="10">
        <v>7.7863034658818959</v>
      </c>
      <c r="E123">
        <v>21.38449072566932</v>
      </c>
      <c r="F123">
        <v>0</v>
      </c>
      <c r="G123">
        <v>-13.397020768791839</v>
      </c>
      <c r="H123">
        <v>127.68748925134052</v>
      </c>
      <c r="I123">
        <v>502.23802657170393</v>
      </c>
      <c r="J123">
        <v>102.23802657170393</v>
      </c>
      <c r="K123">
        <v>2.1802102363481675</v>
      </c>
      <c r="L123">
        <v>1.047212475054659</v>
      </c>
      <c r="M123">
        <v>89409.246998880597</v>
      </c>
      <c r="N123">
        <v>297.48545282728395</v>
      </c>
    </row>
    <row r="124" spans="2:14">
      <c r="B124">
        <v>79</v>
      </c>
      <c r="C124">
        <v>1.6101943636607758</v>
      </c>
      <c r="D124" s="10">
        <v>7.7489552854225989</v>
      </c>
      <c r="E124">
        <v>21.384473528880513</v>
      </c>
      <c r="F124">
        <v>0</v>
      </c>
      <c r="G124">
        <v>-13.379807921832361</v>
      </c>
      <c r="H124">
        <v>127.41818811005804</v>
      </c>
      <c r="I124">
        <v>504.79991700586362</v>
      </c>
      <c r="J124">
        <v>104.79991700586362</v>
      </c>
      <c r="K124">
        <v>2.1802102363481675</v>
      </c>
      <c r="L124">
        <v>1.0465993979522792</v>
      </c>
      <c r="M124">
        <v>89351.901588051798</v>
      </c>
      <c r="N124">
        <v>297.46880053946188</v>
      </c>
    </row>
    <row r="125" spans="2:14">
      <c r="B125">
        <v>80</v>
      </c>
      <c r="C125">
        <v>1.6303217932065355</v>
      </c>
      <c r="D125" s="10">
        <v>7.7117684905677963</v>
      </c>
      <c r="E125">
        <v>21.384456368426715</v>
      </c>
      <c r="F125">
        <v>0</v>
      </c>
      <c r="G125">
        <v>-13.362669493333517</v>
      </c>
      <c r="H125">
        <v>127.14923192128769</v>
      </c>
      <c r="I125">
        <v>507.35639751478664</v>
      </c>
      <c r="J125">
        <v>107.35639751478664</v>
      </c>
      <c r="K125">
        <v>2.1802102363481675</v>
      </c>
      <c r="L125">
        <v>1.0459879401502821</v>
      </c>
      <c r="M125">
        <v>89294.710831279343</v>
      </c>
      <c r="N125">
        <v>297.4521834161539</v>
      </c>
    </row>
    <row r="126" spans="2:14">
      <c r="B126">
        <v>81</v>
      </c>
      <c r="C126">
        <v>1.6504492227522951</v>
      </c>
      <c r="D126" s="10">
        <v>7.6747422609066698</v>
      </c>
      <c r="E126">
        <v>21.384439244261497</v>
      </c>
      <c r="F126">
        <v>0</v>
      </c>
      <c r="G126">
        <v>-13.345605104455627</v>
      </c>
      <c r="H126">
        <v>126.88061919480224</v>
      </c>
      <c r="I126">
        <v>509.90747499648865</v>
      </c>
      <c r="J126">
        <v>109.90747499648865</v>
      </c>
      <c r="K126">
        <v>2.1802102363481675</v>
      </c>
      <c r="L126">
        <v>1.0453780977870724</v>
      </c>
      <c r="M126">
        <v>89237.674343788982</v>
      </c>
      <c r="N126">
        <v>297.43560141252283</v>
      </c>
    </row>
    <row r="127" spans="2:14">
      <c r="B127">
        <v>82</v>
      </c>
      <c r="C127">
        <v>1.6705766522980547</v>
      </c>
      <c r="D127" s="10">
        <v>7.6378757814778346</v>
      </c>
      <c r="E127">
        <v>21.384422156338619</v>
      </c>
      <c r="F127">
        <v>0</v>
      </c>
      <c r="G127">
        <v>-13.328614378878449</v>
      </c>
      <c r="H127">
        <v>126.61234844794876</v>
      </c>
      <c r="I127">
        <v>512.45315631921972</v>
      </c>
      <c r="J127">
        <v>112.45315631921972</v>
      </c>
      <c r="K127">
        <v>2.1802102363481675</v>
      </c>
      <c r="L127">
        <v>1.0447698670180261</v>
      </c>
      <c r="M127">
        <v>89180.791742515881</v>
      </c>
      <c r="N127">
        <v>297.41905448392509</v>
      </c>
    </row>
    <row r="128" spans="2:14">
      <c r="B128">
        <v>83</v>
      </c>
      <c r="C128">
        <v>1.6907040818438144</v>
      </c>
      <c r="D128" s="10">
        <v>7.6011682427264606</v>
      </c>
      <c r="E128">
        <v>21.38440510461205</v>
      </c>
      <c r="F128">
        <v>0</v>
      </c>
      <c r="G128">
        <v>-13.311696942781326</v>
      </c>
      <c r="H128">
        <v>126.34441820559843</v>
      </c>
      <c r="I128">
        <v>514.99344832161489</v>
      </c>
      <c r="J128">
        <v>114.99344832161489</v>
      </c>
      <c r="K128">
        <v>2.1802102363481675</v>
      </c>
      <c r="L128">
        <v>1.0441632440153992</v>
      </c>
      <c r="M128">
        <v>89124.062646095234</v>
      </c>
      <c r="N128">
        <v>297.40254258590949</v>
      </c>
    </row>
    <row r="129" spans="2:14">
      <c r="B129">
        <v>84</v>
      </c>
      <c r="C129">
        <v>1.710831511389574</v>
      </c>
      <c r="D129" s="10">
        <v>7.5646188404617689</v>
      </c>
      <c r="E129">
        <v>21.384388089035951</v>
      </c>
      <c r="F129">
        <v>0</v>
      </c>
      <c r="G129">
        <v>-13.294852424823528</v>
      </c>
      <c r="H129">
        <v>126.07682700009651</v>
      </c>
      <c r="I129">
        <v>517.52835781284432</v>
      </c>
      <c r="J129">
        <v>117.52835781284432</v>
      </c>
      <c r="K129">
        <v>2.1802102363481675</v>
      </c>
      <c r="L129">
        <v>1.0435582249682362</v>
      </c>
      <c r="M129">
        <v>89067.48667485328</v>
      </c>
      <c r="N129">
        <v>297.38606567421652</v>
      </c>
    </row>
    <row r="130" spans="2:14">
      <c r="B130">
        <v>85</v>
      </c>
      <c r="C130">
        <v>1.7309589409353336</v>
      </c>
      <c r="D130" s="10">
        <v>7.5282267758150203</v>
      </c>
      <c r="E130">
        <v>21.384371109564686</v>
      </c>
      <c r="F130">
        <v>0</v>
      </c>
      <c r="G130">
        <v>-13.278080456124748</v>
      </c>
      <c r="H130">
        <v>125.80957337121293</v>
      </c>
      <c r="I130">
        <v>520.0578915727624</v>
      </c>
      <c r="J130">
        <v>120.0578915727624</v>
      </c>
      <c r="K130">
        <v>2.1802102363481675</v>
      </c>
      <c r="L130">
        <v>1.0429548060822897</v>
      </c>
      <c r="M130">
        <v>89011.06345079864</v>
      </c>
      <c r="N130">
        <v>297.36962370477704</v>
      </c>
    </row>
    <row r="131" spans="2:14">
      <c r="B131">
        <v>86</v>
      </c>
      <c r="C131">
        <v>1.7510863704810933</v>
      </c>
      <c r="D131" s="10">
        <v>7.4919912551977772</v>
      </c>
      <c r="E131">
        <v>21.384354166152811</v>
      </c>
      <c r="F131">
        <v>0</v>
      </c>
      <c r="G131">
        <v>-13.261380670245842</v>
      </c>
      <c r="H131">
        <v>125.54265586609306</v>
      </c>
      <c r="I131">
        <v>522.58205635205536</v>
      </c>
      <c r="J131">
        <v>122.58205635205536</v>
      </c>
      <c r="K131">
        <v>2.1802102363481675</v>
      </c>
      <c r="L131">
        <v>1.0423529835799277</v>
      </c>
      <c r="M131">
        <v>88954.792597613283</v>
      </c>
      <c r="N131">
        <v>297.35321663371167</v>
      </c>
    </row>
    <row r="132" spans="2:14">
      <c r="B132">
        <v>87</v>
      </c>
      <c r="C132">
        <v>1.7712138000268529</v>
      </c>
      <c r="D132" s="10">
        <v>7.4559114902606174</v>
      </c>
      <c r="E132">
        <v>21.384337258755078</v>
      </c>
      <c r="F132">
        <v>0</v>
      </c>
      <c r="G132">
        <v>-13.244752703169675</v>
      </c>
      <c r="H132">
        <v>125.276073039209</v>
      </c>
      <c r="I132">
        <v>525.10085887238836</v>
      </c>
      <c r="J132">
        <v>125.10085887238836</v>
      </c>
      <c r="K132">
        <v>2.1802102363481675</v>
      </c>
      <c r="L132">
        <v>1.0417527537000479</v>
      </c>
      <c r="M132">
        <v>88898.673740643644</v>
      </c>
      <c r="N132">
        <v>297.33684441732947</v>
      </c>
    </row>
    <row r="133" spans="2:14">
      <c r="B133">
        <v>88</v>
      </c>
      <c r="C133">
        <v>1.7913412295726125</v>
      </c>
      <c r="D133" s="10">
        <v>7.419986697852206</v>
      </c>
      <c r="E133">
        <v>21.384320387326436</v>
      </c>
      <c r="F133">
        <v>0</v>
      </c>
      <c r="G133">
        <v>-13.228196193282191</v>
      </c>
      <c r="H133">
        <v>125.00982345231122</v>
      </c>
      <c r="I133">
        <v>527.61430582655169</v>
      </c>
      <c r="J133">
        <v>127.61430582655169</v>
      </c>
      <c r="K133">
        <v>2.1802102363481675</v>
      </c>
      <c r="L133">
        <v>1.0411541126979915</v>
      </c>
      <c r="M133">
        <v>88842.706506891875</v>
      </c>
      <c r="N133">
        <v>297.32050701212739</v>
      </c>
    </row>
    <row r="134" spans="2:14">
      <c r="B134">
        <v>89</v>
      </c>
      <c r="C134">
        <v>1.8114686591183722</v>
      </c>
      <c r="D134" s="10">
        <v>7.3842160999787696</v>
      </c>
      <c r="E134">
        <v>21.384303551822018</v>
      </c>
      <c r="F134">
        <v>0</v>
      </c>
      <c r="G134">
        <v>-13.211710781353636</v>
      </c>
      <c r="H134">
        <v>124.74390567438057</v>
      </c>
      <c r="I134">
        <v>530.1224038786055</v>
      </c>
      <c r="J134">
        <v>130.1224038786055</v>
      </c>
      <c r="K134">
        <v>2.1802102363481675</v>
      </c>
      <c r="L134">
        <v>1.0405570568454596</v>
      </c>
      <c r="M134">
        <v>88786.8905250073</v>
      </c>
      <c r="N134">
        <v>297.30420437478904</v>
      </c>
    </row>
    <row r="135" spans="2:14">
      <c r="B135">
        <v>90</v>
      </c>
      <c r="C135">
        <v>1.8315960886641318</v>
      </c>
      <c r="D135" s="10">
        <v>7.3485989237639036</v>
      </c>
      <c r="E135">
        <v>21.384286752197166</v>
      </c>
      <c r="F135">
        <v>0</v>
      </c>
      <c r="G135">
        <v>-13.195296110519966</v>
      </c>
      <c r="H135">
        <v>124.47831828158064</v>
      </c>
      <c r="I135">
        <v>532.6251596640243</v>
      </c>
      <c r="J135">
        <v>132.6251596640243</v>
      </c>
      <c r="K135">
        <v>2.1802102363481675</v>
      </c>
      <c r="L135">
        <v>1.0399615824304254</v>
      </c>
      <c r="M135">
        <v>88731.225425277589</v>
      </c>
      <c r="N135">
        <v>297.28793646218384</v>
      </c>
    </row>
    <row r="136" spans="2:14">
      <c r="B136">
        <v>91</v>
      </c>
      <c r="C136">
        <v>1.8517235182098915</v>
      </c>
      <c r="D136" s="10">
        <v>7.3131344014087869</v>
      </c>
      <c r="E136">
        <v>21.3842699884074</v>
      </c>
      <c r="F136">
        <v>0</v>
      </c>
      <c r="G136">
        <v>-13.178951826264422</v>
      </c>
      <c r="H136">
        <v>124.21305985721054</v>
      </c>
      <c r="I136">
        <v>535.12257978983962</v>
      </c>
      <c r="J136">
        <v>135.12257978983962</v>
      </c>
      <c r="K136">
        <v>2.1802102363481675</v>
      </c>
      <c r="L136">
        <v>1.0393676857570513</v>
      </c>
      <c r="M136">
        <v>88675.710839620209</v>
      </c>
      <c r="N136">
        <v>297.27170323136602</v>
      </c>
    </row>
    <row r="137" spans="2:14">
      <c r="B137">
        <v>92</v>
      </c>
      <c r="C137">
        <v>1.8718509477556511</v>
      </c>
      <c r="D137" s="10">
        <v>7.2778217701527526</v>
      </c>
      <c r="E137">
        <v>21.384253260408432</v>
      </c>
      <c r="F137">
        <v>0</v>
      </c>
      <c r="G137">
        <v>-13.162677576399275</v>
      </c>
      <c r="H137">
        <v>123.94812899165801</v>
      </c>
      <c r="I137">
        <v>537.61467083478249</v>
      </c>
      <c r="J137">
        <v>137.61467083478249</v>
      </c>
      <c r="K137">
        <v>2.1802102363481675</v>
      </c>
      <c r="L137">
        <v>1.0387753631456069</v>
      </c>
      <c r="M137">
        <v>88620.346401574163</v>
      </c>
      <c r="N137">
        <v>297.25550463957393</v>
      </c>
    </row>
    <row r="138" spans="2:14">
      <c r="B138">
        <v>93</v>
      </c>
      <c r="C138">
        <v>1.8919783773014107</v>
      </c>
      <c r="D138" s="10">
        <v>7.2426602722341986</v>
      </c>
      <c r="E138">
        <v>21.384236568156169</v>
      </c>
      <c r="F138">
        <v>0</v>
      </c>
      <c r="G138">
        <v>-13.146473011047734</v>
      </c>
      <c r="H138">
        <v>123.68352428235292</v>
      </c>
      <c r="I138">
        <v>540.10143934942482</v>
      </c>
      <c r="J138">
        <v>140.10143934942482</v>
      </c>
      <c r="K138">
        <v>2.1802102363481675</v>
      </c>
      <c r="L138">
        <v>1.0381846109323822</v>
      </c>
      <c r="M138">
        <v>88565.131746291081</v>
      </c>
      <c r="N138">
        <v>297.23934064422872</v>
      </c>
    </row>
    <row r="139" spans="2:14">
      <c r="B139">
        <v>94</v>
      </c>
      <c r="C139">
        <v>1.9121058068471704</v>
      </c>
      <c r="D139" s="10">
        <v>7.2076491548518771</v>
      </c>
      <c r="E139">
        <v>21.384219911606703</v>
      </c>
      <c r="F139">
        <v>0</v>
      </c>
      <c r="G139">
        <v>-13.130337782626029</v>
      </c>
      <c r="H139">
        <v>123.41924433372108</v>
      </c>
      <c r="I139">
        <v>542.58289185631952</v>
      </c>
      <c r="J139">
        <v>142.58289185631952</v>
      </c>
      <c r="K139">
        <v>2.1802102363481675</v>
      </c>
      <c r="L139">
        <v>1.0375954254696069</v>
      </c>
      <c r="M139">
        <v>88510.066510527147</v>
      </c>
      <c r="N139">
        <v>297.2232112029339</v>
      </c>
    </row>
    <row r="140" spans="2:14">
      <c r="B140">
        <v>95</v>
      </c>
      <c r="C140">
        <v>1.93223323639293</v>
      </c>
      <c r="D140" s="10">
        <v>7.1727876701265476</v>
      </c>
      <c r="E140">
        <v>21.384203290716311</v>
      </c>
      <c r="F140">
        <v>0</v>
      </c>
      <c r="G140">
        <v>-13.114271545825646</v>
      </c>
      <c r="H140">
        <v>123.15528775713851</v>
      </c>
      <c r="I140">
        <v>545.05903485013994</v>
      </c>
      <c r="J140">
        <v>145.05903485013994</v>
      </c>
      <c r="K140">
        <v>2.1802102363481675</v>
      </c>
      <c r="L140">
        <v>1.0370078031253689</v>
      </c>
      <c r="M140">
        <v>88455.150332634672</v>
      </c>
      <c r="N140">
        <v>297.20711627347407</v>
      </c>
    </row>
    <row r="141" spans="2:14">
      <c r="B141">
        <v>96</v>
      </c>
      <c r="C141">
        <v>1.9523606659386896</v>
      </c>
      <c r="D141" s="10">
        <v>7.1380750750629689</v>
      </c>
      <c r="E141">
        <v>21.384186705441461</v>
      </c>
      <c r="F141">
        <v>0</v>
      </c>
      <c r="G141">
        <v>-13.098273957595742</v>
      </c>
      <c r="H141">
        <v>122.89165317088595</v>
      </c>
      <c r="I141">
        <v>547.52987479781859</v>
      </c>
      <c r="J141">
        <v>147.52987479781859</v>
      </c>
      <c r="K141">
        <v>2.1802102363481675</v>
      </c>
      <c r="L141">
        <v>1.0364217402835336</v>
      </c>
      <c r="M141">
        <v>88400.382852553914</v>
      </c>
      <c r="N141">
        <v>297.19105581381416</v>
      </c>
    </row>
    <row r="142" spans="2:14">
      <c r="B142">
        <v>97</v>
      </c>
      <c r="C142">
        <v>1.9724880954844493</v>
      </c>
      <c r="D142" s="10">
        <v>7.1035106315122141</v>
      </c>
      <c r="E142">
        <v>21.384170155738811</v>
      </c>
      <c r="F142">
        <v>0</v>
      </c>
      <c r="G142">
        <v>-13.082344677125707</v>
      </c>
      <c r="H142">
        <v>122.62833920010375</v>
      </c>
      <c r="I142">
        <v>549.9954181386845</v>
      </c>
      <c r="J142">
        <v>149.9954181386845</v>
      </c>
      <c r="K142">
        <v>2.1802102363481675</v>
      </c>
      <c r="L142">
        <v>1.0358372333436601</v>
      </c>
      <c r="M142">
        <v>88345.763711804611</v>
      </c>
      <c r="N142">
        <v>297.17502978209853</v>
      </c>
    </row>
    <row r="143" spans="2:14">
      <c r="B143">
        <v>98</v>
      </c>
      <c r="C143">
        <v>1.9926155250302089</v>
      </c>
      <c r="D143" s="10">
        <v>7.0690936061343548</v>
      </c>
      <c r="E143">
        <v>21.384153641565192</v>
      </c>
      <c r="F143">
        <v>0</v>
      </c>
      <c r="G143">
        <v>-13.06648336582789</v>
      </c>
      <c r="H143">
        <v>122.36534447674721</v>
      </c>
      <c r="I143">
        <v>552.45567128460016</v>
      </c>
      <c r="J143">
        <v>152.45567128460016</v>
      </c>
      <c r="K143">
        <v>2.1802102363481675</v>
      </c>
      <c r="L143">
        <v>1.0352542787209205</v>
      </c>
      <c r="M143">
        <v>88291.292553477775</v>
      </c>
      <c r="N143">
        <v>297.15903813665011</v>
      </c>
    </row>
    <row r="144" spans="2:14">
      <c r="B144">
        <v>99</v>
      </c>
      <c r="C144">
        <v>2.0127429545759687</v>
      </c>
      <c r="D144" s="10">
        <v>7.0348232703615148</v>
      </c>
      <c r="E144">
        <v>21.384137162877622</v>
      </c>
      <c r="F144">
        <v>0</v>
      </c>
      <c r="G144">
        <v>-13.050689687320467</v>
      </c>
      <c r="H144">
        <v>122.10266763954209</v>
      </c>
      <c r="I144">
        <v>554.9106406200973</v>
      </c>
      <c r="J144">
        <v>154.9106406200973</v>
      </c>
      <c r="K144">
        <v>2.1802102363481675</v>
      </c>
      <c r="L144">
        <v>1.0346728728460255</v>
      </c>
      <c r="M144">
        <v>88236.969022228033</v>
      </c>
      <c r="N144">
        <v>297.14308083596939</v>
      </c>
    </row>
    <row r="145" spans="2:14">
      <c r="B145">
        <v>100</v>
      </c>
      <c r="C145">
        <v>2.0328703841217286</v>
      </c>
      <c r="D145" s="10">
        <v>7.0006989003611872</v>
      </c>
      <c r="E145">
        <v>21.384120719633316</v>
      </c>
      <c r="F145">
        <v>0</v>
      </c>
      <c r="G145">
        <v>-13.0349633074105</v>
      </c>
      <c r="H145">
        <v>121.84030733394063</v>
      </c>
      <c r="I145">
        <v>557.3603325025116</v>
      </c>
      <c r="J145">
        <v>157.3603325025116</v>
      </c>
      <c r="K145">
        <v>2.1802102363481675</v>
      </c>
      <c r="L145">
        <v>1.0340930121651384</v>
      </c>
      <c r="M145">
        <v>88182.792764265003</v>
      </c>
      <c r="N145">
        <v>297.12715783873369</v>
      </c>
    </row>
    <row r="146" spans="2:14">
      <c r="B146">
        <v>101</v>
      </c>
      <c r="C146">
        <v>2.0529978136674885</v>
      </c>
      <c r="D146" s="10">
        <v>6.9667197769999554</v>
      </c>
      <c r="E146">
        <v>21.384104311789649</v>
      </c>
      <c r="F146">
        <v>0</v>
      </c>
      <c r="G146">
        <v>-13.019303894077124</v>
      </c>
      <c r="H146">
        <v>121.57826221207776</v>
      </c>
      <c r="I146">
        <v>559.80475326211706</v>
      </c>
      <c r="J146">
        <v>159.80475326211706</v>
      </c>
      <c r="K146">
        <v>2.1802102363481675</v>
      </c>
      <c r="L146">
        <v>1.0335146931398023</v>
      </c>
      <c r="M146">
        <v>88128.763427345722</v>
      </c>
      <c r="N146">
        <v>297.11126910379625</v>
      </c>
    </row>
    <row r="147" spans="2:14">
      <c r="B147">
        <v>102</v>
      </c>
      <c r="C147">
        <v>2.0731252432132483</v>
      </c>
      <c r="D147" s="10">
        <v>6.9328851858074643</v>
      </c>
      <c r="E147">
        <v>21.384087939304202</v>
      </c>
      <c r="F147">
        <v>0</v>
      </c>
      <c r="G147">
        <v>-13.003711117454884</v>
      </c>
      <c r="H147">
        <v>121.31653093272777</v>
      </c>
      <c r="I147">
        <v>562.24390920225903</v>
      </c>
      <c r="J147">
        <v>162.24390920225903</v>
      </c>
      <c r="K147">
        <v>2.1802102363481675</v>
      </c>
      <c r="L147">
        <v>1.0329379122468536</v>
      </c>
      <c r="M147">
        <v>88074.880660766139</v>
      </c>
      <c r="N147">
        <v>297.09541459018533</v>
      </c>
    </row>
    <row r="148" spans="2:14">
      <c r="B148">
        <v>103</v>
      </c>
      <c r="C148">
        <v>2.0932526727590082</v>
      </c>
      <c r="D148" s="10">
        <v>6.8991944169408432</v>
      </c>
      <c r="E148">
        <v>21.384071602134703</v>
      </c>
      <c r="F148">
        <v>0</v>
      </c>
      <c r="G148">
        <v>-12.988184649817232</v>
      </c>
      <c r="H148">
        <v>121.05511216126126</v>
      </c>
      <c r="I148">
        <v>564.67780659948653</v>
      </c>
      <c r="J148">
        <v>164.67780659948653</v>
      </c>
      <c r="K148">
        <v>2.1802102363481675</v>
      </c>
      <c r="L148">
        <v>1.032362665978356</v>
      </c>
      <c r="M148">
        <v>88021.144115354051</v>
      </c>
      <c r="N148">
        <v>297.07959425710334</v>
      </c>
    </row>
    <row r="149" spans="2:14">
      <c r="B149">
        <v>104</v>
      </c>
      <c r="C149">
        <v>2.113380102304768</v>
      </c>
      <c r="D149" s="10">
        <v>6.865646765149287</v>
      </c>
      <c r="E149">
        <v>21.384055300239101</v>
      </c>
      <c r="F149">
        <v>0</v>
      </c>
      <c r="G149">
        <v>-12.972724165560182</v>
      </c>
      <c r="H149">
        <v>120.79400456960238</v>
      </c>
      <c r="I149">
        <v>567.10645170368389</v>
      </c>
      <c r="J149">
        <v>167.10645170368389</v>
      </c>
      <c r="K149">
        <v>2.1802102363481675</v>
      </c>
      <c r="L149">
        <v>1.0317889508415112</v>
      </c>
      <c r="M149">
        <v>87967.553443460289</v>
      </c>
      <c r="N149">
        <v>297.06380806392605</v>
      </c>
    </row>
    <row r="150" spans="2:14">
      <c r="B150">
        <v>105</v>
      </c>
      <c r="C150">
        <v>2.1335075318505279</v>
      </c>
      <c r="D150" s="10">
        <v>6.8322415297391093</v>
      </c>
      <c r="E150">
        <v>21.38403903357549</v>
      </c>
      <c r="F150">
        <v>0</v>
      </c>
      <c r="G150">
        <v>-12.957329341186098</v>
      </c>
      <c r="H150">
        <v>120.53320683618645</v>
      </c>
      <c r="I150">
        <v>569.52985073820116</v>
      </c>
      <c r="J150">
        <v>169.52985073820116</v>
      </c>
      <c r="K150">
        <v>2.1802102363481675</v>
      </c>
      <c r="L150">
        <v>1.0312167633585916</v>
      </c>
      <c r="M150">
        <v>87914.10829895176</v>
      </c>
      <c r="N150">
        <v>297.04805597020169</v>
      </c>
    </row>
    <row r="151" spans="2:14">
      <c r="B151">
        <v>106</v>
      </c>
      <c r="C151">
        <v>2.1536349613962877</v>
      </c>
      <c r="D151" s="10">
        <v>6.7989780145390144</v>
      </c>
      <c r="E151">
        <v>21.384022802102155</v>
      </c>
      <c r="F151">
        <v>0</v>
      </c>
      <c r="G151">
        <v>-12.941999855287634</v>
      </c>
      <c r="H151">
        <v>120.27271764591792</v>
      </c>
      <c r="I151">
        <v>571.94800989998419</v>
      </c>
      <c r="J151">
        <v>171.94800989998419</v>
      </c>
      <c r="K151">
        <v>2.1802102363481675</v>
      </c>
      <c r="L151">
        <v>1.0306461000668592</v>
      </c>
      <c r="M151">
        <v>87860.808337203212</v>
      </c>
      <c r="N151">
        <v>297.03233793565011</v>
      </c>
    </row>
    <row r="152" spans="2:14">
      <c r="B152">
        <v>107</v>
      </c>
      <c r="C152">
        <v>2.1737623909420476</v>
      </c>
      <c r="D152" s="10">
        <v>6.7658555278657166</v>
      </c>
      <c r="E152">
        <v>21.384006605777554</v>
      </c>
      <c r="F152">
        <v>0</v>
      </c>
      <c r="G152">
        <v>-12.926735388531815</v>
      </c>
      <c r="H152">
        <v>120.01253569012857</v>
      </c>
      <c r="I152">
        <v>574.36093535970315</v>
      </c>
      <c r="J152">
        <v>174.36093535970315</v>
      </c>
      <c r="K152">
        <v>2.1802102363481675</v>
      </c>
      <c r="L152">
        <v>1.0300769575184912</v>
      </c>
      <c r="M152">
        <v>87807.653215089682</v>
      </c>
      <c r="N152">
        <v>297.01665392016196</v>
      </c>
    </row>
    <row r="153" spans="2:14">
      <c r="B153">
        <v>108</v>
      </c>
      <c r="C153">
        <v>2.1938898204878075</v>
      </c>
      <c r="D153" s="10">
        <v>6.7328733824898555</v>
      </c>
      <c r="E153">
        <v>21.383990444560325</v>
      </c>
      <c r="F153">
        <v>0</v>
      </c>
      <c r="G153">
        <v>-12.911535623644276</v>
      </c>
      <c r="H153">
        <v>119.7526596665361</v>
      </c>
      <c r="I153">
        <v>576.76863326188095</v>
      </c>
      <c r="J153">
        <v>176.76863326188095</v>
      </c>
      <c r="K153">
        <v>2.1802102363481675</v>
      </c>
      <c r="L153">
        <v>1.0295093322805036</v>
      </c>
      <c r="M153">
        <v>87754.642590978736</v>
      </c>
      <c r="N153">
        <v>297.00100388379775</v>
      </c>
    </row>
    <row r="154" spans="2:14">
      <c r="B154">
        <v>109</v>
      </c>
      <c r="C154">
        <v>2.2140172500335673</v>
      </c>
      <c r="D154" s="10">
        <v>6.7000308956022447</v>
      </c>
      <c r="E154">
        <v>21.383974318409283</v>
      </c>
      <c r="F154">
        <v>0</v>
      </c>
      <c r="G154">
        <v>-12.896400245393616</v>
      </c>
      <c r="H154">
        <v>119.49308827920302</v>
      </c>
      <c r="I154">
        <v>579.17110972502053</v>
      </c>
      <c r="J154">
        <v>179.17110972502053</v>
      </c>
      <c r="K154">
        <v>2.1802102363481675</v>
      </c>
      <c r="L154">
        <v>1.0289432209346785</v>
      </c>
      <c r="M154">
        <v>87701.776124723139</v>
      </c>
      <c r="N154">
        <v>296.98538778678738</v>
      </c>
    </row>
    <row r="155" spans="2:14">
      <c r="B155">
        <v>110</v>
      </c>
      <c r="C155">
        <v>2.2341446795793272</v>
      </c>
      <c r="D155" s="10">
        <v>6.6673273887803957</v>
      </c>
      <c r="E155">
        <v>21.383958227283411</v>
      </c>
      <c r="F155">
        <v>0</v>
      </c>
      <c r="G155">
        <v>-12.881328940575925</v>
      </c>
      <c r="H155">
        <v>119.23382023849582</v>
      </c>
      <c r="I155">
        <v>581.56837084173128</v>
      </c>
      <c r="J155">
        <v>181.56837084173128</v>
      </c>
      <c r="K155">
        <v>2.1802102363481675</v>
      </c>
      <c r="L155">
        <v>1.0283786200774889</v>
      </c>
      <c r="M155">
        <v>87649.053477652997</v>
      </c>
      <c r="N155">
        <v>296.96980558952873</v>
      </c>
    </row>
    <row r="156" spans="2:14">
      <c r="B156">
        <v>111</v>
      </c>
      <c r="C156">
        <v>2.254272109125087</v>
      </c>
      <c r="D156" s="10">
        <v>6.6347621879553689</v>
      </c>
      <c r="E156">
        <v>21.383942171141868</v>
      </c>
      <c r="F156">
        <v>0</v>
      </c>
      <c r="G156">
        <v>-12.866321397999423</v>
      </c>
      <c r="H156">
        <v>118.97485426104448</v>
      </c>
      <c r="I156">
        <v>583.96042267885457</v>
      </c>
      <c r="J156">
        <v>183.96042267885457</v>
      </c>
      <c r="K156">
        <v>2.1802102363481675</v>
      </c>
      <c r="L156">
        <v>1.0278155263200275</v>
      </c>
      <c r="M156">
        <v>87596.474312568782</v>
      </c>
      <c r="N156">
        <v>296.95425725258747</v>
      </c>
    </row>
    <row r="157" spans="2:14">
      <c r="B157">
        <v>112</v>
      </c>
      <c r="C157">
        <v>2.2743995386708469</v>
      </c>
      <c r="D157" s="10">
        <v>6.6023346233788613</v>
      </c>
      <c r="E157">
        <v>21.383926149943985</v>
      </c>
      <c r="F157">
        <v>0</v>
      </c>
      <c r="G157">
        <v>-12.851377308469258</v>
      </c>
      <c r="H157">
        <v>118.7161890697023</v>
      </c>
      <c r="I157">
        <v>586.34727127758879</v>
      </c>
      <c r="J157">
        <v>186.34727127758879</v>
      </c>
      <c r="K157">
        <v>2.1802102363481675</v>
      </c>
      <c r="L157">
        <v>1.0272539362879269</v>
      </c>
      <c r="M157">
        <v>87544.038293733058</v>
      </c>
      <c r="N157">
        <v>296.9387427366957</v>
      </c>
    </row>
    <row r="158" spans="2:14">
      <c r="B158">
        <v>113</v>
      </c>
      <c r="C158">
        <v>2.2945269682166067</v>
      </c>
      <c r="D158" s="10">
        <v>6.5700440295906875</v>
      </c>
      <c r="E158">
        <v>21.383910163649269</v>
      </c>
      <c r="F158">
        <v>0</v>
      </c>
      <c r="G158">
        <v>-12.836496364772408</v>
      </c>
      <c r="H158">
        <v>118.45782339350593</v>
      </c>
      <c r="I158">
        <v>588.72892265361327</v>
      </c>
      <c r="J158">
        <v>188.72892265361327</v>
      </c>
      <c r="K158">
        <v>2.1802102363481675</v>
      </c>
      <c r="L158">
        <v>1.0266938466212963</v>
      </c>
      <c r="M158">
        <v>87491.745086864059</v>
      </c>
      <c r="N158">
        <v>296.92326200275153</v>
      </c>
    </row>
    <row r="159" spans="2:14">
      <c r="B159">
        <v>114</v>
      </c>
      <c r="C159">
        <v>2.3146543977623666</v>
      </c>
      <c r="D159" s="10">
        <v>6.5378897453864404</v>
      </c>
      <c r="E159">
        <v>21.383894212217388</v>
      </c>
      <c r="F159">
        <v>0</v>
      </c>
      <c r="G159">
        <v>-12.821678261662774</v>
      </c>
      <c r="H159">
        <v>118.19975596763592</v>
      </c>
      <c r="I159">
        <v>591.10538279721175</v>
      </c>
      <c r="J159">
        <v>191.10538279721175</v>
      </c>
      <c r="K159">
        <v>2.1802102363481675</v>
      </c>
      <c r="L159">
        <v>1.0261352539746387</v>
      </c>
      <c r="M159">
        <v>87439.594359127412</v>
      </c>
      <c r="N159">
        <v>296.90781501181812</v>
      </c>
    </row>
    <row r="160" spans="2:14">
      <c r="B160">
        <v>115</v>
      </c>
      <c r="C160">
        <v>2.3347818273081264</v>
      </c>
      <c r="D160" s="10">
        <v>6.5058711137855498</v>
      </c>
      <c r="E160">
        <v>21.383878295608191</v>
      </c>
      <c r="F160">
        <v>0</v>
      </c>
      <c r="G160">
        <v>-12.806922695846326</v>
      </c>
      <c r="H160">
        <v>117.94198553337729</v>
      </c>
      <c r="I160">
        <v>593.47665767339458</v>
      </c>
      <c r="J160">
        <v>193.47665767339458</v>
      </c>
      <c r="K160">
        <v>2.1802102363481675</v>
      </c>
      <c r="L160">
        <v>1.0255781550167906</v>
      </c>
      <c r="M160">
        <v>87387.585779129789</v>
      </c>
      <c r="N160">
        <v>296.89240172512291</v>
      </c>
    </row>
    <row r="161" spans="2:14">
      <c r="B161">
        <v>116</v>
      </c>
      <c r="C161">
        <v>2.3549092568538863</v>
      </c>
      <c r="D161" s="10">
        <v>6.4739874819995133</v>
      </c>
      <c r="E161">
        <v>21.383862413781689</v>
      </c>
      <c r="F161">
        <v>0</v>
      </c>
      <c r="G161">
        <v>-12.792229365966477</v>
      </c>
      <c r="H161">
        <v>117.6845108380806</v>
      </c>
      <c r="I161">
        <v>595.84275322202052</v>
      </c>
      <c r="J161">
        <v>195.84275322202052</v>
      </c>
      <c r="K161">
        <v>2.1802102363481675</v>
      </c>
      <c r="L161">
        <v>1.0250225464308398</v>
      </c>
      <c r="M161">
        <v>87335.719016910763</v>
      </c>
      <c r="N161">
        <v>296.87702210405689</v>
      </c>
    </row>
    <row r="162" spans="2:14">
      <c r="B162">
        <v>117</v>
      </c>
      <c r="C162">
        <v>2.3750366863996462</v>
      </c>
      <c r="D162" s="10">
        <v>6.4422382014005279</v>
      </c>
      <c r="E162">
        <v>21.383846566698068</v>
      </c>
      <c r="F162">
        <v>0</v>
      </c>
      <c r="G162">
        <v>-12.777597972589492</v>
      </c>
      <c r="H162">
        <v>117.42733063512325</v>
      </c>
      <c r="I162">
        <v>598.20367535791775</v>
      </c>
      <c r="J162">
        <v>198.20367535791775</v>
      </c>
      <c r="K162">
        <v>2.1802102363481675</v>
      </c>
      <c r="L162">
        <v>1.0244684249140641</v>
      </c>
      <c r="M162">
        <v>87283.993743936371</v>
      </c>
      <c r="N162">
        <v>296.86167611017356</v>
      </c>
    </row>
    <row r="163" spans="2:14">
      <c r="B163">
        <v>118</v>
      </c>
      <c r="C163">
        <v>2.395164115945406</v>
      </c>
      <c r="D163" s="10">
        <v>6.410622627490282</v>
      </c>
      <c r="E163">
        <v>21.383830754317675</v>
      </c>
      <c r="F163">
        <v>0</v>
      </c>
      <c r="G163">
        <v>-12.763028218190113</v>
      </c>
      <c r="H163">
        <v>117.17044368387108</v>
      </c>
      <c r="I163">
        <v>600.55942997100396</v>
      </c>
      <c r="J163">
        <v>200.55942997100396</v>
      </c>
      <c r="K163">
        <v>2.1802102363481675</v>
      </c>
      <c r="L163">
        <v>1.0239157871778528</v>
      </c>
      <c r="M163">
        <v>87232.409633091316</v>
      </c>
      <c r="N163">
        <v>296.84636370518848</v>
      </c>
    </row>
    <row r="164" spans="2:14">
      <c r="B164">
        <v>119</v>
      </c>
      <c r="C164">
        <v>2.4152915454911659</v>
      </c>
      <c r="D164" s="10">
        <v>6.3791401198691364</v>
      </c>
      <c r="E164">
        <v>21.383814976601023</v>
      </c>
      <c r="F164">
        <v>0</v>
      </c>
      <c r="G164">
        <v>-12.748519807137232</v>
      </c>
      <c r="H164">
        <v>116.91384874964021</v>
      </c>
      <c r="I164">
        <v>602.91002292640565</v>
      </c>
      <c r="J164">
        <v>202.91002292640565</v>
      </c>
      <c r="K164">
        <v>2.1802102363481675</v>
      </c>
      <c r="L164">
        <v>1.0233646299476449</v>
      </c>
      <c r="M164">
        <v>87180.966358672609</v>
      </c>
      <c r="N164">
        <v>296.83108485097836</v>
      </c>
    </row>
    <row r="165" spans="2:14">
      <c r="B165">
        <v>120</v>
      </c>
      <c r="C165">
        <v>2.4354189750369257</v>
      </c>
      <c r="D165" s="10">
        <v>6.3477900422054656</v>
      </c>
      <c r="E165">
        <v>21.383799233508803</v>
      </c>
      <c r="F165">
        <v>0</v>
      </c>
      <c r="G165">
        <v>-12.734072445679761</v>
      </c>
      <c r="H165">
        <v>116.65754460365919</v>
      </c>
      <c r="I165">
        <v>605.25546006457682</v>
      </c>
      <c r="J165">
        <v>205.25546006457682</v>
      </c>
      <c r="K165">
        <v>2.1802102363481675</v>
      </c>
      <c r="L165">
        <v>1.0228149499628507</v>
      </c>
      <c r="M165">
        <v>87129.663596381608</v>
      </c>
      <c r="N165">
        <v>296.81583950958026</v>
      </c>
    </row>
    <row r="166" spans="2:14">
      <c r="B166">
        <v>121</v>
      </c>
      <c r="C166">
        <v>2.4555464045826856</v>
      </c>
      <c r="D166" s="10">
        <v>6.3165717622053865</v>
      </c>
      <c r="E166">
        <v>21.383783525001856</v>
      </c>
      <c r="F166">
        <v>0</v>
      </c>
      <c r="G166">
        <v>-12.719685841932579</v>
      </c>
      <c r="H166">
        <v>116.4015300230315</v>
      </c>
      <c r="I166">
        <v>607.59574720141688</v>
      </c>
      <c r="J166">
        <v>207.59574720141688</v>
      </c>
      <c r="K166">
        <v>2.1802102363481675</v>
      </c>
      <c r="L166">
        <v>1.0222667439767916</v>
      </c>
      <c r="M166">
        <v>87078.501023317891</v>
      </c>
      <c r="N166">
        <v>296.80062764319081</v>
      </c>
    </row>
    <row r="167" spans="2:14">
      <c r="B167">
        <v>122</v>
      </c>
      <c r="C167">
        <v>2.4756738341284454</v>
      </c>
      <c r="D167" s="10">
        <v>6.2854846515826601</v>
      </c>
      <c r="E167">
        <v>21.383767851041195</v>
      </c>
      <c r="F167">
        <v>0</v>
      </c>
      <c r="G167">
        <v>-12.705359705862628</v>
      </c>
      <c r="H167">
        <v>116.14580379069821</v>
      </c>
      <c r="I167">
        <v>609.93089012838766</v>
      </c>
      <c r="J167">
        <v>209.93089012838766</v>
      </c>
      <c r="K167">
        <v>2.1802102363481675</v>
      </c>
      <c r="L167">
        <v>1.0217200087566263</v>
      </c>
      <c r="M167">
        <v>87027.478317971749</v>
      </c>
      <c r="N167">
        <v>296.78544921416545</v>
      </c>
    </row>
    <row r="168" spans="2:14">
      <c r="B168">
        <v>123</v>
      </c>
      <c r="C168">
        <v>2.4958012636742053</v>
      </c>
      <c r="D168" s="10">
        <v>6.254528086028893</v>
      </c>
      <c r="E168">
        <v>21.383752211588</v>
      </c>
      <c r="F168">
        <v>0</v>
      </c>
      <c r="G168">
        <v>-12.691093749275119</v>
      </c>
      <c r="H168">
        <v>115.89036469540105</v>
      </c>
      <c r="I168">
        <v>612.26089461262984</v>
      </c>
      <c r="J168">
        <v>212.26089461262984</v>
      </c>
      <c r="K168">
        <v>2.1802102363481675</v>
      </c>
      <c r="L168">
        <v>1.0211747410832814</v>
      </c>
      <c r="M168">
        <v>86976.595160217243</v>
      </c>
      <c r="N168">
        <v>296.77030418501789</v>
      </c>
    </row>
    <row r="169" spans="2:14">
      <c r="B169">
        <v>124</v>
      </c>
      <c r="C169">
        <v>2.5159286932199652</v>
      </c>
      <c r="D169" s="10">
        <v>6.2237014451840622</v>
      </c>
      <c r="E169">
        <v>21.383736606603602</v>
      </c>
      <c r="F169">
        <v>0</v>
      </c>
      <c r="G169">
        <v>-12.676887685799864</v>
      </c>
      <c r="H169">
        <v>115.6352115316456</v>
      </c>
      <c r="I169">
        <v>614.5857663970786</v>
      </c>
      <c r="J169">
        <v>214.5857663970786</v>
      </c>
      <c r="K169">
        <v>2.1802102363481675</v>
      </c>
      <c r="L169">
        <v>1.020630937751394</v>
      </c>
      <c r="M169">
        <v>86925.851231306122</v>
      </c>
      <c r="N169">
        <v>296.75519251841899</v>
      </c>
    </row>
    <row r="170" spans="2:14">
      <c r="B170">
        <v>125</v>
      </c>
      <c r="C170">
        <v>2.536056122765725</v>
      </c>
      <c r="D170" s="10">
        <v>6.1930041126071407</v>
      </c>
      <c r="E170">
        <v>21.383721036049511</v>
      </c>
      <c r="F170">
        <v>0</v>
      </c>
      <c r="G170">
        <v>-12.662741230877749</v>
      </c>
      <c r="H170">
        <v>115.38034309966491</v>
      </c>
      <c r="I170">
        <v>616.90551120057864</v>
      </c>
      <c r="J170">
        <v>216.90551120057864</v>
      </c>
      <c r="K170">
        <v>2.1802102363481675</v>
      </c>
      <c r="L170">
        <v>1.0200885955692276</v>
      </c>
      <c r="M170">
        <v>86875.246213859617</v>
      </c>
      <c r="N170">
        <v>296.74011417719623</v>
      </c>
    </row>
    <row r="171" spans="2:14">
      <c r="B171">
        <v>126</v>
      </c>
      <c r="C171">
        <v>2.5561835523114849</v>
      </c>
      <c r="D171" s="10">
        <v>6.1624354757471984</v>
      </c>
      <c r="E171">
        <v>21.38370549988738</v>
      </c>
      <c r="F171">
        <v>0</v>
      </c>
      <c r="G171">
        <v>-12.648654101747278</v>
      </c>
      <c r="H171">
        <v>115.12575820538331</v>
      </c>
      <c r="I171">
        <v>619.22013471799812</v>
      </c>
      <c r="J171">
        <v>219.22013471799812</v>
      </c>
      <c r="K171">
        <v>2.1802102363481675</v>
      </c>
      <c r="L171">
        <v>1.0195477113586242</v>
      </c>
      <c r="M171">
        <v>86824.779791863213</v>
      </c>
      <c r="N171">
        <v>296.725069124333</v>
      </c>
    </row>
    <row r="172" spans="2:14">
      <c r="B172">
        <v>127</v>
      </c>
      <c r="C172">
        <v>2.5763109818572447</v>
      </c>
      <c r="D172" s="10">
        <v>6.1319949259145377</v>
      </c>
      <c r="E172">
        <v>21.383689998079042</v>
      </c>
      <c r="F172">
        <v>0</v>
      </c>
      <c r="G172">
        <v>-12.634626017431289</v>
      </c>
      <c r="H172">
        <v>114.87145566038043</v>
      </c>
      <c r="I172">
        <v>621.52964262034232</v>
      </c>
      <c r="J172">
        <v>221.52964262034232</v>
      </c>
      <c r="K172">
        <v>2.1802102363481675</v>
      </c>
      <c r="L172">
        <v>1.0190082819549209</v>
      </c>
      <c r="M172">
        <v>86774.451650658535</v>
      </c>
      <c r="N172">
        <v>296.71005732296777</v>
      </c>
    </row>
    <row r="173" spans="2:14">
      <c r="B173">
        <v>128</v>
      </c>
      <c r="C173">
        <v>2.5964384114030046</v>
      </c>
      <c r="D173" s="10">
        <v>6.1016818582522614</v>
      </c>
      <c r="E173">
        <v>21.383674530586475</v>
      </c>
      <c r="F173">
        <v>0</v>
      </c>
      <c r="G173">
        <v>-12.620656698723746</v>
      </c>
      <c r="H173">
        <v>114.61743428185565</v>
      </c>
      <c r="I173">
        <v>623.83404055486642</v>
      </c>
      <c r="J173">
        <v>223.83404055486642</v>
      </c>
      <c r="K173">
        <v>2.1802102363481675</v>
      </c>
      <c r="L173">
        <v>1.0184703042068974</v>
      </c>
      <c r="M173">
        <v>86724.261476937711</v>
      </c>
      <c r="N173">
        <v>296.69507873639338</v>
      </c>
    </row>
    <row r="174" spans="2:14">
      <c r="B174">
        <v>129</v>
      </c>
      <c r="C174">
        <v>2.6165658409487644</v>
      </c>
      <c r="D174" s="10">
        <v>6.0714956717079698</v>
      </c>
      <c r="E174">
        <v>21.383659097371819</v>
      </c>
      <c r="F174">
        <v>0</v>
      </c>
      <c r="G174">
        <v>-12.606745868176668</v>
      </c>
      <c r="H174">
        <v>114.36369289259262</v>
      </c>
      <c r="I174">
        <v>626.1333341451874</v>
      </c>
      <c r="J174">
        <v>226.1333341451874</v>
      </c>
      <c r="K174">
        <v>2.1802102363481675</v>
      </c>
      <c r="L174">
        <v>1.0179337749767019</v>
      </c>
      <c r="M174">
        <v>86674.20895873601</v>
      </c>
      <c r="N174">
        <v>296.68013332805629</v>
      </c>
    </row>
    <row r="175" spans="2:14">
      <c r="B175">
        <v>130</v>
      </c>
      <c r="C175">
        <v>2.6366932704945243</v>
      </c>
      <c r="D175" s="10">
        <v>6.0414357690057816</v>
      </c>
      <c r="E175">
        <v>21.383643698397371</v>
      </c>
      <c r="F175">
        <v>0</v>
      </c>
      <c r="G175">
        <v>-12.592893250087169</v>
      </c>
      <c r="H175">
        <v>114.11023032092422</v>
      </c>
      <c r="I175">
        <v>628.42752899139532</v>
      </c>
      <c r="J175">
        <v>228.42752899139532</v>
      </c>
      <c r="K175">
        <v>2.1802102363481675</v>
      </c>
      <c r="L175">
        <v>1.0173986911397925</v>
      </c>
      <c r="M175">
        <v>86624.293785425849</v>
      </c>
      <c r="N175">
        <v>296.66522106155594</v>
      </c>
    </row>
    <row r="176" spans="2:14">
      <c r="B176">
        <v>131</v>
      </c>
      <c r="C176">
        <v>2.6568207000402841</v>
      </c>
      <c r="D176" s="10">
        <v>6.0115015566185406</v>
      </c>
      <c r="E176">
        <v>21.383628333625598</v>
      </c>
      <c r="F176">
        <v>0</v>
      </c>
      <c r="G176">
        <v>-12.579098570484613</v>
      </c>
      <c r="H176">
        <v>113.85704540069761</v>
      </c>
      <c r="I176">
        <v>630.71663067016425</v>
      </c>
      <c r="J176">
        <v>230.71663067016425</v>
      </c>
      <c r="K176">
        <v>2.1802102363481675</v>
      </c>
      <c r="L176">
        <v>1.0168650495848672</v>
      </c>
      <c r="M176">
        <v>86574.515647709675</v>
      </c>
      <c r="N176">
        <v>296.65034190064392</v>
      </c>
    </row>
    <row r="177" spans="2:14">
      <c r="B177">
        <v>132</v>
      </c>
      <c r="C177">
        <v>2.676948129586044</v>
      </c>
      <c r="D177" s="10">
        <v>5.981692444740311</v>
      </c>
      <c r="E177">
        <v>21.383613003019107</v>
      </c>
      <c r="F177">
        <v>0</v>
      </c>
      <c r="G177">
        <v>-12.565361557117875</v>
      </c>
      <c r="H177">
        <v>113.60413697123973</v>
      </c>
      <c r="I177">
        <v>633.00064473486202</v>
      </c>
      <c r="J177">
        <v>233.00064473486202</v>
      </c>
      <c r="K177">
        <v>2.1802102363481675</v>
      </c>
      <c r="L177">
        <v>1.0163328472138031</v>
      </c>
      <c r="M177">
        <v>86524.874237613796</v>
      </c>
      <c r="N177">
        <v>296.63549580922341</v>
      </c>
    </row>
    <row r="178" spans="2:14">
      <c r="B178">
        <v>133</v>
      </c>
      <c r="C178">
        <v>2.6970755591318039</v>
      </c>
      <c r="D178" s="10">
        <v>5.9520078472590825</v>
      </c>
      <c r="E178">
        <v>21.383597706540673</v>
      </c>
      <c r="F178">
        <v>0</v>
      </c>
      <c r="G178">
        <v>-12.551681939442711</v>
      </c>
      <c r="H178">
        <v>113.35150387732281</v>
      </c>
      <c r="I178">
        <v>635.27957671565935</v>
      </c>
      <c r="J178">
        <v>235.27957671565935</v>
      </c>
      <c r="K178">
        <v>2.1802102363481675</v>
      </c>
      <c r="L178">
        <v>1.0158020809415911</v>
      </c>
      <c r="M178">
        <v>86475.369248481758</v>
      </c>
      <c r="N178">
        <v>296.62068275134823</v>
      </c>
    </row>
    <row r="179" spans="2:14">
      <c r="B179">
        <v>134</v>
      </c>
      <c r="C179">
        <v>2.7172029886775637</v>
      </c>
      <c r="D179" s="10">
        <v>5.9224471817297299</v>
      </c>
      <c r="E179">
        <v>21.383582444153223</v>
      </c>
      <c r="F179">
        <v>0</v>
      </c>
      <c r="G179">
        <v>-12.538059448609253</v>
      </c>
      <c r="H179">
        <v>113.09914496913038</v>
      </c>
      <c r="I179">
        <v>637.55343211963873</v>
      </c>
      <c r="J179">
        <v>237.55343211963873</v>
      </c>
      <c r="K179">
        <v>2.1802102363481675</v>
      </c>
      <c r="L179">
        <v>1.0152727476962731</v>
      </c>
      <c r="M179">
        <v>86426.00037496796</v>
      </c>
      <c r="N179">
        <v>296.60590269122235</v>
      </c>
    </row>
    <row r="180" spans="2:14">
      <c r="B180">
        <v>135</v>
      </c>
      <c r="C180">
        <v>2.7373304182233236</v>
      </c>
      <c r="D180" s="10">
        <v>5.8930098693472104</v>
      </c>
      <c r="E180">
        <v>21.383567215819827</v>
      </c>
      <c r="F180">
        <v>0</v>
      </c>
      <c r="G180">
        <v>-12.524493817449599</v>
      </c>
      <c r="H180">
        <v>112.84705910222335</v>
      </c>
      <c r="I180">
        <v>639.82221643090213</v>
      </c>
      <c r="J180">
        <v>239.82221643090213</v>
      </c>
      <c r="K180">
        <v>2.1802102363481675</v>
      </c>
      <c r="L180">
        <v>1.0147448444188807</v>
      </c>
      <c r="M180">
        <v>86376.767313031378</v>
      </c>
      <c r="N180">
        <v>296.59115559319912</v>
      </c>
    </row>
    <row r="181" spans="2:14">
      <c r="B181">
        <v>136</v>
      </c>
      <c r="C181">
        <v>2.7574578477690834</v>
      </c>
      <c r="D181" s="10">
        <v>5.8636953349199779</v>
      </c>
      <c r="E181">
        <v>21.383552021503736</v>
      </c>
      <c r="F181">
        <v>0</v>
      </c>
      <c r="G181">
        <v>-12.510984780465511</v>
      </c>
      <c r="H181">
        <v>112.59524513750647</v>
      </c>
      <c r="I181">
        <v>642.08593511067807</v>
      </c>
      <c r="J181">
        <v>242.08593511067807</v>
      </c>
      <c r="K181">
        <v>2.1802102363481675</v>
      </c>
      <c r="L181">
        <v>1.0142183680633705</v>
      </c>
      <c r="M181">
        <v>86327.669759929107</v>
      </c>
      <c r="N181">
        <v>296.5764414217806</v>
      </c>
    </row>
    <row r="182" spans="2:14">
      <c r="B182">
        <v>137</v>
      </c>
      <c r="C182">
        <v>2.7775852773148433</v>
      </c>
      <c r="D182" s="10">
        <v>5.8345030068436188</v>
      </c>
      <c r="E182">
        <v>21.383536861168324</v>
      </c>
      <c r="F182">
        <v>0</v>
      </c>
      <c r="G182">
        <v>-12.497532073816242</v>
      </c>
      <c r="H182">
        <v>112.34370194119485</v>
      </c>
      <c r="I182">
        <v>644.34459359742857</v>
      </c>
      <c r="J182">
        <v>244.34459359742857</v>
      </c>
      <c r="K182">
        <v>2.1802102363481675</v>
      </c>
      <c r="L182">
        <v>1.0136933155965611</v>
      </c>
      <c r="M182">
        <v>86278.707414209857</v>
      </c>
      <c r="N182">
        <v>296.56176014161673</v>
      </c>
    </row>
    <row r="183" spans="2:14">
      <c r="B183">
        <v>138</v>
      </c>
      <c r="C183">
        <v>2.7977127068606031</v>
      </c>
      <c r="D183" s="10">
        <v>5.8054323170747768</v>
      </c>
      <c r="E183">
        <v>21.383521734777137</v>
      </c>
      <c r="F183">
        <v>0</v>
      </c>
      <c r="G183">
        <v>-12.48413543530642</v>
      </c>
      <c r="H183">
        <v>112.092428384781</v>
      </c>
      <c r="I183">
        <v>646.5981973069546</v>
      </c>
      <c r="J183">
        <v>246.5981973069546</v>
      </c>
      <c r="K183">
        <v>2.1802102363481675</v>
      </c>
      <c r="L183">
        <v>1.0131696839980751</v>
      </c>
      <c r="M183">
        <v>86229.8799757081</v>
      </c>
      <c r="N183">
        <v>296.54711171750478</v>
      </c>
    </row>
    <row r="184" spans="2:14">
      <c r="B184">
        <v>139</v>
      </c>
      <c r="C184">
        <v>2.817840136406363</v>
      </c>
      <c r="D184" s="10">
        <v>5.7764827011052295</v>
      </c>
      <c r="E184">
        <v>21.383506642293874</v>
      </c>
      <c r="F184">
        <v>0</v>
      </c>
      <c r="G184">
        <v>-12.470794604374102</v>
      </c>
      <c r="H184">
        <v>111.84142334500181</v>
      </c>
      <c r="I184">
        <v>648.84675163250176</v>
      </c>
      <c r="J184">
        <v>248.84675163250176</v>
      </c>
      <c r="K184">
        <v>2.1802102363481675</v>
      </c>
      <c r="L184">
        <v>1.012647470260277</v>
      </c>
      <c r="M184">
        <v>86181.187145537726</v>
      </c>
      <c r="N184">
        <v>296.53249611438872</v>
      </c>
    </row>
    <row r="185" spans="2:14">
      <c r="B185">
        <v>140</v>
      </c>
      <c r="C185">
        <v>2.8379675659521229</v>
      </c>
      <c r="D185" s="10">
        <v>5.7476535979362087</v>
      </c>
      <c r="E185">
        <v>21.38349158368236</v>
      </c>
      <c r="F185">
        <v>0</v>
      </c>
      <c r="G185">
        <v>-12.457509322078884</v>
      </c>
      <c r="H185">
        <v>111.59068570380603</v>
      </c>
      <c r="I185">
        <v>651.09026194486432</v>
      </c>
      <c r="J185">
        <v>251.09026194486432</v>
      </c>
      <c r="K185">
        <v>2.1802102363481675</v>
      </c>
      <c r="L185">
        <v>1.0121266713882064</v>
      </c>
      <c r="M185">
        <v>86132.628626085425</v>
      </c>
      <c r="N185">
        <v>296.5179132973584</v>
      </c>
    </row>
    <row r="186" spans="2:14">
      <c r="B186">
        <v>141</v>
      </c>
      <c r="C186">
        <v>2.8580949954978827</v>
      </c>
      <c r="D186" s="10">
        <v>5.7189444500529971</v>
      </c>
      <c r="E186">
        <v>21.383476558906604</v>
      </c>
      <c r="F186">
        <v>0</v>
      </c>
      <c r="G186">
        <v>-12.444279331090103</v>
      </c>
      <c r="H186">
        <v>111.34021434832177</v>
      </c>
      <c r="I186">
        <v>653.32873359248958</v>
      </c>
      <c r="J186">
        <v>253.32873359248958</v>
      </c>
      <c r="K186">
        <v>2.1802102363481675</v>
      </c>
      <c r="L186">
        <v>1.0116072843995279</v>
      </c>
      <c r="M186">
        <v>86084.204121005285</v>
      </c>
      <c r="N186">
        <v>296.50336323164879</v>
      </c>
    </row>
    <row r="187" spans="2:14">
      <c r="B187">
        <v>142</v>
      </c>
      <c r="C187">
        <v>2.8782224250436426</v>
      </c>
      <c r="D187" s="10">
        <v>5.6903547033996658</v>
      </c>
      <c r="E187">
        <v>21.383461567930745</v>
      </c>
      <c r="F187">
        <v>0</v>
      </c>
      <c r="G187">
        <v>-12.431104375675217</v>
      </c>
      <c r="H187">
        <v>111.09000817082438</v>
      </c>
      <c r="I187">
        <v>655.562171901581</v>
      </c>
      <c r="J187">
        <v>255.562171901581</v>
      </c>
      <c r="K187">
        <v>2.1802102363481675</v>
      </c>
      <c r="L187">
        <v>1.011089306324463</v>
      </c>
      <c r="M187">
        <v>86035.913335212215</v>
      </c>
      <c r="N187">
        <v>296.48884588263974</v>
      </c>
    </row>
    <row r="188" spans="2:14">
      <c r="B188">
        <v>143</v>
      </c>
      <c r="C188">
        <v>2.8983498545894024</v>
      </c>
      <c r="D188" s="10">
        <v>5.6618838073540676</v>
      </c>
      <c r="E188">
        <v>21.383446610719073</v>
      </c>
      <c r="F188">
        <v>0</v>
      </c>
      <c r="G188">
        <v>-12.417984201688187</v>
      </c>
      <c r="H188">
        <v>110.84006606870454</v>
      </c>
      <c r="I188">
        <v>657.7905821762007</v>
      </c>
      <c r="J188">
        <v>257.7905821762007</v>
      </c>
      <c r="K188">
        <v>2.1802102363481675</v>
      </c>
      <c r="L188">
        <v>1.0105727342057316</v>
      </c>
      <c r="M188">
        <v>85987.755974875749</v>
      </c>
      <c r="N188">
        <v>296.47436121585469</v>
      </c>
    </row>
    <row r="189" spans="2:14">
      <c r="B189">
        <v>144</v>
      </c>
      <c r="C189">
        <v>2.9184772841351623</v>
      </c>
      <c r="D189" s="10">
        <v>5.6335312147030496</v>
      </c>
      <c r="E189">
        <v>21.383431687236033</v>
      </c>
      <c r="F189">
        <v>0</v>
      </c>
      <c r="G189">
        <v>-12.404918556558025</v>
      </c>
      <c r="H189">
        <v>110.59038694443653</v>
      </c>
      <c r="I189">
        <v>660.01396969837174</v>
      </c>
      <c r="J189">
        <v>260.01396969837174</v>
      </c>
      <c r="K189">
        <v>2.1802102363481675</v>
      </c>
      <c r="L189">
        <v>1.0100575650984944</v>
      </c>
      <c r="M189">
        <v>85939.731747414407</v>
      </c>
      <c r="N189">
        <v>296.45990919696061</v>
      </c>
    </row>
    <row r="190" spans="2:14">
      <c r="B190">
        <v>145</v>
      </c>
      <c r="C190">
        <v>2.9386047136809221</v>
      </c>
      <c r="D190" s="10">
        <v>5.6052963816178822</v>
      </c>
      <c r="E190">
        <v>21.383416797446213</v>
      </c>
      <c r="F190">
        <v>0</v>
      </c>
      <c r="G190">
        <v>-12.391907189277422</v>
      </c>
      <c r="H190">
        <v>110.34096970554675</v>
      </c>
      <c r="I190">
        <v>662.23233972817934</v>
      </c>
      <c r="J190">
        <v>262.23233972817934</v>
      </c>
      <c r="K190">
        <v>2.1802102363481675</v>
      </c>
      <c r="L190">
        <v>1.0095437960702947</v>
      </c>
      <c r="M190">
        <v>85891.840361489536</v>
      </c>
      <c r="N190">
        <v>296.44548979176682</v>
      </c>
    </row>
    <row r="191" spans="2:14">
      <c r="B191">
        <v>146</v>
      </c>
      <c r="C191">
        <v>2.958732143226682</v>
      </c>
      <c r="D191" s="10">
        <v>5.5771787676298663</v>
      </c>
      <c r="E191">
        <v>21.383401941314343</v>
      </c>
      <c r="F191">
        <v>0</v>
      </c>
      <c r="G191">
        <v>-12.378949850391468</v>
      </c>
      <c r="H191">
        <v>110.09181326458251</v>
      </c>
      <c r="I191">
        <v>664.44569750387143</v>
      </c>
      <c r="J191">
        <v>264.44569750387143</v>
      </c>
      <c r="K191">
        <v>2.1802102363481675</v>
      </c>
      <c r="L191">
        <v>1.0090314242009966</v>
      </c>
      <c r="M191">
        <v>85844.081526999362</v>
      </c>
      <c r="N191">
        <v>296.43110296622484</v>
      </c>
    </row>
    <row r="192" spans="2:14">
      <c r="B192">
        <v>147</v>
      </c>
      <c r="C192">
        <v>2.9788595727724418</v>
      </c>
      <c r="D192" s="10">
        <v>5.5491778356061943</v>
      </c>
      <c r="E192">
        <v>21.383387118805306</v>
      </c>
      <c r="F192">
        <v>0</v>
      </c>
      <c r="G192">
        <v>-12.366046291986473</v>
      </c>
      <c r="H192">
        <v>109.84291653908095</v>
      </c>
      <c r="I192">
        <v>666.65404824195923</v>
      </c>
      <c r="J192">
        <v>266.65404824195923</v>
      </c>
      <c r="K192">
        <v>2.1802102363481675</v>
      </c>
      <c r="L192">
        <v>1.0085204465827313</v>
      </c>
      <c r="M192">
        <v>85796.454955073175</v>
      </c>
      <c r="N192">
        <v>296.41674868642724</v>
      </c>
    </row>
    <row r="193" spans="2:14">
      <c r="B193">
        <v>148</v>
      </c>
      <c r="C193">
        <v>2.9989870023182017</v>
      </c>
      <c r="D193" s="10">
        <v>5.5212930517259764</v>
      </c>
      <c r="E193">
        <v>21.383372329884132</v>
      </c>
      <c r="F193">
        <v>0</v>
      </c>
      <c r="G193">
        <v>-12.353196267678893</v>
      </c>
      <c r="H193">
        <v>109.5942784515383</v>
      </c>
      <c r="I193">
        <v>668.85739713731618</v>
      </c>
      <c r="J193">
        <v>268.85739713731618</v>
      </c>
      <c r="K193">
        <v>2.1802102363481675</v>
      </c>
      <c r="L193">
        <v>1.0080108603198346</v>
      </c>
      <c r="M193">
        <v>85748.960358065247</v>
      </c>
      <c r="N193">
        <v>296.40242691860743</v>
      </c>
    </row>
    <row r="194" spans="2:14">
      <c r="B194">
        <v>149</v>
      </c>
      <c r="C194">
        <v>3.0191144318639616</v>
      </c>
      <c r="D194" s="10">
        <v>5.4935238854564954</v>
      </c>
      <c r="E194">
        <v>21.383357574515987</v>
      </c>
      <c r="F194">
        <v>0</v>
      </c>
      <c r="G194">
        <v>-12.340399532604334</v>
      </c>
      <c r="H194">
        <v>109.34589792937928</v>
      </c>
      <c r="I194">
        <v>671.05574936327741</v>
      </c>
      <c r="J194">
        <v>271.05574936327741</v>
      </c>
      <c r="K194">
        <v>2.1802102363481675</v>
      </c>
      <c r="L194">
        <v>1.0075026625287911</v>
      </c>
      <c r="M194">
        <v>85701.597449549095</v>
      </c>
      <c r="N194">
        <v>296.38813762913867</v>
      </c>
    </row>
    <row r="195" spans="2:14">
      <c r="B195">
        <v>150</v>
      </c>
      <c r="C195">
        <v>3.0392418614097214</v>
      </c>
      <c r="D195" s="10">
        <v>5.4658698095296758</v>
      </c>
      <c r="E195">
        <v>21.3833428526662</v>
      </c>
      <c r="F195">
        <v>0</v>
      </c>
      <c r="G195">
        <v>-12.327655843406651</v>
      </c>
      <c r="H195">
        <v>109.09777390492674</v>
      </c>
      <c r="I195">
        <v>673.24911007173762</v>
      </c>
      <c r="J195">
        <v>273.24911007173762</v>
      </c>
      <c r="K195">
        <v>2.1802102363481675</v>
      </c>
      <c r="L195">
        <v>1.0069958503381795</v>
      </c>
      <c r="M195">
        <v>85654.365944311896</v>
      </c>
      <c r="N195">
        <v>296.3738807845337</v>
      </c>
    </row>
    <row r="196" spans="2:14">
      <c r="B196">
        <v>151</v>
      </c>
      <c r="C196">
        <v>3.0593692909554813</v>
      </c>
      <c r="D196" s="10">
        <v>5.438330299918718</v>
      </c>
      <c r="E196">
        <v>21.383328164300217</v>
      </c>
      <c r="F196">
        <v>0</v>
      </c>
      <c r="G196">
        <v>-12.314964958227177</v>
      </c>
      <c r="H196">
        <v>108.84990531537153</v>
      </c>
      <c r="I196">
        <v>675.43748439324895</v>
      </c>
      <c r="J196">
        <v>275.43748439324895</v>
      </c>
      <c r="K196">
        <v>2.1802102363481675</v>
      </c>
      <c r="L196">
        <v>1.006490420888613</v>
      </c>
      <c r="M196">
        <v>85607.265558348445</v>
      </c>
      <c r="N196">
        <v>296.3596563514439</v>
      </c>
    </row>
    <row r="197" spans="2:14">
      <c r="B197">
        <v>152</v>
      </c>
      <c r="C197">
        <v>3.0794967205012411</v>
      </c>
      <c r="D197" s="10">
        <v>5.4109048358149563</v>
      </c>
      <c r="E197">
        <v>21.383313509383647</v>
      </c>
      <c r="F197">
        <v>0</v>
      </c>
      <c r="G197">
        <v>-12.302326636693978</v>
      </c>
      <c r="H197">
        <v>108.60229110274256</v>
      </c>
      <c r="I197">
        <v>677.62087743711788</v>
      </c>
      <c r="J197">
        <v>277.62087743711788</v>
      </c>
      <c r="K197">
        <v>2.1802102363481675</v>
      </c>
      <c r="L197">
        <v>1.0059863713326833</v>
      </c>
      <c r="M197">
        <v>85560.296008855468</v>
      </c>
      <c r="N197">
        <v>296.34546429665875</v>
      </c>
    </row>
    <row r="198" spans="2:14">
      <c r="B198">
        <v>153</v>
      </c>
      <c r="C198">
        <v>3.099624150047001</v>
      </c>
      <c r="D198" s="10">
        <v>5.3835928996049125</v>
      </c>
      <c r="E198">
        <v>21.383298887882237</v>
      </c>
      <c r="F198">
        <v>0</v>
      </c>
      <c r="G198">
        <v>-12.289740639911258</v>
      </c>
      <c r="H198">
        <v>108.35493021387708</v>
      </c>
      <c r="I198">
        <v>679.79929429150195</v>
      </c>
      <c r="J198">
        <v>279.79929429150195</v>
      </c>
      <c r="K198">
        <v>2.1802102363481675</v>
      </c>
      <c r="L198">
        <v>1.0054836988349052</v>
      </c>
      <c r="M198">
        <v>85513.457014226049</v>
      </c>
      <c r="N198">
        <v>296.33130458710525</v>
      </c>
    </row>
    <row r="199" spans="2:14">
      <c r="B199">
        <v>154</v>
      </c>
      <c r="C199">
        <v>3.1197515795927608</v>
      </c>
      <c r="D199" s="10">
        <v>5.3563939768475519</v>
      </c>
      <c r="E199">
        <v>21.383284299761868</v>
      </c>
      <c r="F199">
        <v>0</v>
      </c>
      <c r="G199">
        <v>-12.277206730448826</v>
      </c>
      <c r="H199">
        <v>108.10782160039125</v>
      </c>
      <c r="I199">
        <v>681.97274002350537</v>
      </c>
      <c r="J199">
        <v>281.97274002350537</v>
      </c>
      <c r="K199">
        <v>2.1802102363481675</v>
      </c>
      <c r="L199">
        <v>1.0049824005716628</v>
      </c>
      <c r="M199">
        <v>85466.748294044082</v>
      </c>
      <c r="N199">
        <v>296.3171771898472</v>
      </c>
    </row>
    <row r="200" spans="2:14">
      <c r="B200">
        <v>155</v>
      </c>
      <c r="C200">
        <v>3.1398790091385207</v>
      </c>
      <c r="D200" s="10">
        <v>5.3293075562516989</v>
      </c>
      <c r="E200">
        <v>21.383269744988581</v>
      </c>
      <c r="F200">
        <v>0</v>
      </c>
      <c r="G200">
        <v>-12.264724672331665</v>
      </c>
      <c r="H200">
        <v>107.86096421865075</v>
      </c>
      <c r="I200">
        <v>684.14121967927451</v>
      </c>
      <c r="J200">
        <v>284.14121967927451</v>
      </c>
      <c r="K200">
        <v>2.1802102363481675</v>
      </c>
      <c r="L200">
        <v>1.00448247373115</v>
      </c>
      <c r="M200">
        <v>85420.169569078367</v>
      </c>
      <c r="N200">
        <v>296.30308207208469</v>
      </c>
    </row>
    <row r="201" spans="2:14">
      <c r="B201">
        <v>156</v>
      </c>
      <c r="C201">
        <v>3.1600064386842805</v>
      </c>
      <c r="D201" s="10">
        <v>5.3023331296536806</v>
      </c>
      <c r="E201">
        <v>21.383255223528526</v>
      </c>
      <c r="F201">
        <v>0</v>
      </c>
      <c r="G201">
        <v>-12.252294231029575</v>
      </c>
      <c r="H201">
        <v>107.61435702974178</v>
      </c>
      <c r="I201">
        <v>686.30473828409276</v>
      </c>
      <c r="J201">
        <v>286.30473828409276</v>
      </c>
      <c r="K201">
        <v>2.1802102363481675</v>
      </c>
      <c r="L201">
        <v>1.0039839155133186</v>
      </c>
      <c r="M201">
        <v>85373.720561277165</v>
      </c>
      <c r="N201">
        <v>296.28901920115339</v>
      </c>
    </row>
    <row r="202" spans="2:14">
      <c r="B202">
        <v>157</v>
      </c>
      <c r="C202">
        <v>3.1801338682300404</v>
      </c>
      <c r="D202" s="10">
        <v>5.2754701919951454</v>
      </c>
      <c r="E202">
        <v>21.383240735348021</v>
      </c>
      <c r="F202">
        <v>0</v>
      </c>
      <c r="G202">
        <v>-12.239915173446908</v>
      </c>
      <c r="H202">
        <v>107.36799899944215</v>
      </c>
      <c r="I202">
        <v>688.46330084247427</v>
      </c>
      <c r="J202">
        <v>288.46330084247427</v>
      </c>
      <c r="K202">
        <v>2.1802102363481675</v>
      </c>
      <c r="L202">
        <v>1.003486723129823</v>
      </c>
      <c r="M202">
        <v>85327.400993762742</v>
      </c>
      <c r="N202">
        <v>296.27498854452392</v>
      </c>
    </row>
    <row r="203" spans="2:14">
      <c r="B203">
        <v>158</v>
      </c>
      <c r="C203">
        <v>3.2002612977758003</v>
      </c>
      <c r="D203" s="10">
        <v>5.2487182413010789</v>
      </c>
      <c r="E203">
        <v>21.383226280413513</v>
      </c>
      <c r="F203">
        <v>0</v>
      </c>
      <c r="G203">
        <v>-12.227587267912414</v>
      </c>
      <c r="H203">
        <v>107.12188909819261</v>
      </c>
      <c r="I203">
        <v>690.61691233825786</v>
      </c>
      <c r="J203">
        <v>290.61691233825786</v>
      </c>
      <c r="K203">
        <v>2.1802102363481675</v>
      </c>
      <c r="L203">
        <v>1.0029908938039673</v>
      </c>
      <c r="M203">
        <v>85281.210590825838</v>
      </c>
      <c r="N203">
        <v>296.26099006980132</v>
      </c>
    </row>
    <row r="204" spans="2:14">
      <c r="B204">
        <v>159</v>
      </c>
      <c r="C204">
        <v>3.2203887273215601</v>
      </c>
      <c r="D204" s="10">
        <v>5.2220767786579669</v>
      </c>
      <c r="E204">
        <v>21.383211858691592</v>
      </c>
      <c r="F204">
        <v>0</v>
      </c>
      <c r="G204">
        <v>-12.215310284169135</v>
      </c>
      <c r="H204">
        <v>106.87602630106841</v>
      </c>
      <c r="I204">
        <v>692.76557773469983</v>
      </c>
      <c r="J204">
        <v>292.76557773469983</v>
      </c>
      <c r="K204">
        <v>2.1802102363481675</v>
      </c>
      <c r="L204">
        <v>1.0024964247706465</v>
      </c>
      <c r="M204">
        <v>85235.149077919923</v>
      </c>
      <c r="N204">
        <v>296.24702374472446</v>
      </c>
    </row>
    <row r="205" spans="2:14">
      <c r="B205">
        <v>160</v>
      </c>
      <c r="C205">
        <v>3.24051615686732</v>
      </c>
      <c r="D205" s="10">
        <v>5.1955453081922194</v>
      </c>
      <c r="E205">
        <v>21.383197470148975</v>
      </c>
      <c r="F205">
        <v>0</v>
      </c>
      <c r="G205">
        <v>-12.203083993364409</v>
      </c>
      <c r="H205">
        <v>106.63040958775098</v>
      </c>
      <c r="I205">
        <v>694.90930197456646</v>
      </c>
      <c r="J205">
        <v>294.90930197456646</v>
      </c>
      <c r="K205">
        <v>2.1802102363481675</v>
      </c>
      <c r="L205">
        <v>1.0020033132763015</v>
      </c>
      <c r="M205">
        <v>85189.216181656389</v>
      </c>
      <c r="N205">
        <v>296.23308953716531</v>
      </c>
    </row>
    <row r="206" spans="2:14">
      <c r="B206">
        <v>161</v>
      </c>
      <c r="C206">
        <v>3.2606435864130798</v>
      </c>
      <c r="D206" s="10">
        <v>5.1691233370486778</v>
      </c>
      <c r="E206">
        <v>21.383183114752519</v>
      </c>
      <c r="F206">
        <v>0</v>
      </c>
      <c r="G206">
        <v>-12.190908168039954</v>
      </c>
      <c r="H206">
        <v>106.38503794249992</v>
      </c>
      <c r="I206">
        <v>697.048089980226</v>
      </c>
      <c r="J206">
        <v>297.048089980226</v>
      </c>
      <c r="K206">
        <v>2.1802102363481675</v>
      </c>
      <c r="L206">
        <v>1.0015115565788553</v>
      </c>
      <c r="M206">
        <v>85143.411629798284</v>
      </c>
      <c r="N206">
        <v>296.21918741512854</v>
      </c>
    </row>
    <row r="207" spans="2:14">
      <c r="B207">
        <v>162</v>
      </c>
      <c r="C207">
        <v>3.2807710159588397</v>
      </c>
      <c r="D207" s="10">
        <v>5.142810375369411</v>
      </c>
      <c r="E207">
        <v>21.383168792469235</v>
      </c>
      <c r="F207">
        <v>0</v>
      </c>
      <c r="G207">
        <v>-12.178782582122022</v>
      </c>
      <c r="H207">
        <v>106.13991035412513</v>
      </c>
      <c r="I207">
        <v>699.18194665373949</v>
      </c>
      <c r="J207">
        <v>299.18194665373949</v>
      </c>
      <c r="K207">
        <v>2.1802102363481675</v>
      </c>
      <c r="L207">
        <v>1.0010211519476711</v>
      </c>
      <c r="M207">
        <v>85097.735151255838</v>
      </c>
      <c r="N207">
        <v>296.20531734675069</v>
      </c>
    </row>
    <row r="208" spans="2:14">
      <c r="B208">
        <v>163</v>
      </c>
      <c r="C208">
        <v>3.3008984455045995</v>
      </c>
      <c r="D208" s="10">
        <v>5.1166059362725758</v>
      </c>
      <c r="E208">
        <v>21.383154503266244</v>
      </c>
      <c r="F208">
        <v>0</v>
      </c>
      <c r="G208">
        <v>-12.166707010911674</v>
      </c>
      <c r="H208">
        <v>105.89502581595912</v>
      </c>
      <c r="I208">
        <v>701.31087687695219</v>
      </c>
      <c r="J208">
        <v>301.31087687695219</v>
      </c>
      <c r="K208">
        <v>2.1802102363481675</v>
      </c>
      <c r="L208">
        <v>1.000532096663489</v>
      </c>
      <c r="M208">
        <v>85052.186476080344</v>
      </c>
      <c r="N208">
        <v>296.19147930029982</v>
      </c>
    </row>
    <row r="209" spans="2:14">
      <c r="B209">
        <v>164</v>
      </c>
      <c r="C209">
        <v>3.3210258750503594</v>
      </c>
      <c r="D209" s="10">
        <v>5.0905095358315586</v>
      </c>
      <c r="E209">
        <v>21.383140247110823</v>
      </c>
      <c r="F209">
        <v>0</v>
      </c>
      <c r="G209">
        <v>-12.154681231075072</v>
      </c>
      <c r="H209">
        <v>105.65038332582948</v>
      </c>
      <c r="I209">
        <v>703.43488551158339</v>
      </c>
      <c r="J209">
        <v>303.43488551158339</v>
      </c>
      <c r="K209">
        <v>2.1802102363481675</v>
      </c>
      <c r="L209">
        <v>1.0000443880183822</v>
      </c>
      <c r="M209">
        <v>85006.765335459393</v>
      </c>
      <c r="N209">
        <v>296.17767324417468</v>
      </c>
    </row>
    <row r="210" spans="2:14">
      <c r="B210">
        <v>165</v>
      </c>
      <c r="C210">
        <v>3.3411533045961193</v>
      </c>
      <c r="D210" s="10">
        <v>5.0645206930542344</v>
      </c>
      <c r="E210">
        <v>21.38312602397038</v>
      </c>
      <c r="F210">
        <v>0</v>
      </c>
      <c r="G210">
        <v>-12.142705020633931</v>
      </c>
      <c r="H210">
        <v>105.40598188603173</v>
      </c>
      <c r="I210">
        <v>705.55397739931595</v>
      </c>
      <c r="J210">
        <v>305.55397739931595</v>
      </c>
      <c r="K210">
        <v>2.1802102363481675</v>
      </c>
      <c r="L210">
        <v>0.99955802331570154</v>
      </c>
      <c r="M210">
        <v>84961.471461711422</v>
      </c>
      <c r="N210">
        <v>296.16389914690444</v>
      </c>
    </row>
    <row r="211" spans="2:14">
      <c r="B211">
        <v>166</v>
      </c>
      <c r="C211">
        <v>3.3612807341418791</v>
      </c>
      <c r="D211" s="10">
        <v>5.0386389298624117</v>
      </c>
      <c r="E211">
        <v>21.383111833812439</v>
      </c>
      <c r="F211">
        <v>0</v>
      </c>
      <c r="G211">
        <v>-12.130778158955984</v>
      </c>
      <c r="H211">
        <v>105.1618205033021</v>
      </c>
      <c r="I211">
        <v>707.66815736188562</v>
      </c>
      <c r="J211">
        <v>307.66815736188562</v>
      </c>
      <c r="K211">
        <v>2.1802102363481675</v>
      </c>
      <c r="L211">
        <v>0.99907299987002585</v>
      </c>
      <c r="M211">
        <v>84916.304588280618</v>
      </c>
      <c r="N211">
        <v>296.15015697714773</v>
      </c>
    </row>
    <row r="212" spans="2:14">
      <c r="B212">
        <v>167</v>
      </c>
      <c r="C212">
        <v>3.381408163687639</v>
      </c>
      <c r="D212" s="10">
        <v>5.0128637710714283</v>
      </c>
      <c r="E212">
        <v>21.383097676604681</v>
      </c>
      <c r="F212">
        <v>0</v>
      </c>
      <c r="G212">
        <v>-12.118900426745563</v>
      </c>
      <c r="H212">
        <v>104.9178981887907</v>
      </c>
      <c r="I212">
        <v>709.77743020116975</v>
      </c>
      <c r="J212">
        <v>309.77743020116975</v>
      </c>
      <c r="K212">
        <v>2.1802102363481675</v>
      </c>
      <c r="L212">
        <v>0.99858931500710402</v>
      </c>
      <c r="M212">
        <v>84871.26444973117</v>
      </c>
      <c r="N212">
        <v>296.1364467036924</v>
      </c>
    </row>
    <row r="213" spans="2:14">
      <c r="B213">
        <v>168</v>
      </c>
      <c r="C213">
        <v>3.4015355932333988</v>
      </c>
      <c r="D213" s="10">
        <v>4.987194744369984</v>
      </c>
      <c r="E213">
        <v>21.383083552314908</v>
      </c>
      <c r="F213">
        <v>0</v>
      </c>
      <c r="G213">
        <v>-12.107071606034244</v>
      </c>
      <c r="H213">
        <v>104.67421395803478</v>
      </c>
      <c r="I213">
        <v>711.88180069927489</v>
      </c>
      <c r="J213">
        <v>311.88180069927489</v>
      </c>
      <c r="K213">
        <v>2.1802102363481675</v>
      </c>
      <c r="L213">
        <v>0.9981069660638151</v>
      </c>
      <c r="M213">
        <v>84826.350781742993</v>
      </c>
      <c r="N213">
        <v>296.1227682954547</v>
      </c>
    </row>
    <row r="214" spans="2:14">
      <c r="B214">
        <v>169</v>
      </c>
      <c r="C214">
        <v>3.4216630227791587</v>
      </c>
      <c r="D214" s="10">
        <v>4.9616313803000542</v>
      </c>
      <c r="E214">
        <v>21.383069460911059</v>
      </c>
      <c r="F214">
        <v>0</v>
      </c>
      <c r="G214">
        <v>-12.095291480171596</v>
      </c>
      <c r="H214">
        <v>104.4307668309322</v>
      </c>
      <c r="I214">
        <v>713.98127361862475</v>
      </c>
      <c r="J214">
        <v>313.98127361862475</v>
      </c>
      <c r="K214">
        <v>2.1802102363481675</v>
      </c>
      <c r="L214">
        <v>0.99762595038810731</v>
      </c>
      <c r="M214">
        <v>84781.563321105728</v>
      </c>
      <c r="N214">
        <v>296.10912172147891</v>
      </c>
    </row>
    <row r="215" spans="2:14">
      <c r="B215">
        <v>170</v>
      </c>
      <c r="C215">
        <v>3.4417904523249185</v>
      </c>
      <c r="D215" s="10">
        <v>4.9361732122370547</v>
      </c>
      <c r="E215">
        <v>21.383055402361205</v>
      </c>
      <c r="F215">
        <v>0</v>
      </c>
      <c r="G215">
        <v>-12.083559833815958</v>
      </c>
      <c r="H215">
        <v>104.1875558317151</v>
      </c>
      <c r="I215">
        <v>716.07585370204674</v>
      </c>
      <c r="J215">
        <v>316.07585370204674</v>
      </c>
      <c r="K215">
        <v>2.1802102363481675</v>
      </c>
      <c r="L215">
        <v>0.99714626533895656</v>
      </c>
      <c r="M215">
        <v>84736.901805714442</v>
      </c>
      <c r="N215">
        <v>296.09550695093668</v>
      </c>
    </row>
    <row r="216" spans="2:14">
      <c r="B216">
        <v>171</v>
      </c>
      <c r="C216">
        <v>3.4619178818706784</v>
      </c>
      <c r="D216" s="10">
        <v>4.9108197763700874</v>
      </c>
      <c r="E216">
        <v>21.38304137663355</v>
      </c>
      <c r="F216">
        <v>0</v>
      </c>
      <c r="G216">
        <v>-12.071876452925352</v>
      </c>
      <c r="H216">
        <v>103.94457998892373</v>
      </c>
      <c r="I216">
        <v>718.1655456728588</v>
      </c>
      <c r="J216">
        <v>318.1655456728588</v>
      </c>
      <c r="K216">
        <v>2.1802102363481675</v>
      </c>
      <c r="L216">
        <v>0.99666790828630747</v>
      </c>
      <c r="M216">
        <v>84692.365974563698</v>
      </c>
      <c r="N216">
        <v>296.08192395312642</v>
      </c>
    </row>
    <row r="217" spans="2:14">
      <c r="B217">
        <v>172</v>
      </c>
      <c r="C217">
        <v>3.4820453114164382</v>
      </c>
      <c r="D217" s="10">
        <v>4.8855706116824358</v>
      </c>
      <c r="E217">
        <v>21.383027383696415</v>
      </c>
      <c r="F217">
        <v>0</v>
      </c>
      <c r="G217">
        <v>-12.060241124748417</v>
      </c>
      <c r="H217">
        <v>103.70183833538049</v>
      </c>
      <c r="I217">
        <v>720.25035423495513</v>
      </c>
      <c r="J217">
        <v>320.25035423495513</v>
      </c>
      <c r="K217">
        <v>2.1802102363481675</v>
      </c>
      <c r="L217">
        <v>0.99619087661103178</v>
      </c>
      <c r="M217">
        <v>84647.955567743265</v>
      </c>
      <c r="N217">
        <v>296.0683726974728</v>
      </c>
    </row>
    <row r="218" spans="2:14">
      <c r="B218">
        <v>173</v>
      </c>
      <c r="C218">
        <v>3.5021727409621981</v>
      </c>
      <c r="D218" s="10">
        <v>4.8604252599321613</v>
      </c>
      <c r="E218">
        <v>21.383013423518264</v>
      </c>
      <c r="F218">
        <v>0</v>
      </c>
      <c r="G218">
        <v>-12.048653637815459</v>
      </c>
      <c r="H218">
        <v>103.45932990816409</v>
      </c>
      <c r="I218">
        <v>722.33028407289169</v>
      </c>
      <c r="J218">
        <v>322.33028407289169</v>
      </c>
      <c r="K218">
        <v>2.1802102363481675</v>
      </c>
      <c r="L218">
        <v>0.99571516770487489</v>
      </c>
      <c r="M218">
        <v>84603.670326432766</v>
      </c>
      <c r="N218">
        <v>296.05485315352621</v>
      </c>
    </row>
    <row r="219" spans="2:14">
      <c r="B219">
        <v>174</v>
      </c>
      <c r="C219">
        <v>3.522300170507958</v>
      </c>
      <c r="D219" s="10">
        <v>4.835383265632875</v>
      </c>
      <c r="E219">
        <v>21.382999496067693</v>
      </c>
      <c r="F219">
        <v>0</v>
      </c>
      <c r="G219">
        <v>-12.037113781929557</v>
      </c>
      <c r="H219">
        <v>103.21705374858401</v>
      </c>
      <c r="I219">
        <v>724.40533985197089</v>
      </c>
      <c r="J219">
        <v>324.40533985197089</v>
      </c>
      <c r="K219">
        <v>2.1802102363481675</v>
      </c>
      <c r="L219">
        <v>0.99524077897040575</v>
      </c>
      <c r="M219">
        <v>84559.509992896579</v>
      </c>
      <c r="N219">
        <v>296.04136529096218</v>
      </c>
    </row>
    <row r="220" spans="2:14">
      <c r="B220">
        <v>175</v>
      </c>
      <c r="C220">
        <v>3.5424276000537178</v>
      </c>
      <c r="D220" s="10">
        <v>4.8104441760347054</v>
      </c>
      <c r="E220">
        <v>21.382985601313418</v>
      </c>
      <c r="F220">
        <v>0</v>
      </c>
      <c r="G220">
        <v>-12.025621348157747</v>
      </c>
      <c r="H220">
        <v>102.97500890215498</v>
      </c>
      <c r="I220">
        <v>726.47552621832631</v>
      </c>
      <c r="J220">
        <v>326.47552621832631</v>
      </c>
      <c r="K220">
        <v>2.1802102363481675</v>
      </c>
      <c r="L220">
        <v>0.99476770782097357</v>
      </c>
      <c r="M220">
        <v>84515.474310479374</v>
      </c>
      <c r="N220">
        <v>296.02790907958087</v>
      </c>
    </row>
    <row r="221" spans="2:14">
      <c r="B221">
        <v>176</v>
      </c>
      <c r="C221">
        <v>3.5625550295994777</v>
      </c>
      <c r="D221" s="10">
        <v>4.7856075411053416</v>
      </c>
      <c r="E221">
        <v>21.382971739224292</v>
      </c>
      <c r="F221">
        <v>0</v>
      </c>
      <c r="G221">
        <v>-12.014176128822275</v>
      </c>
      <c r="H221">
        <v>102.73319441857177</v>
      </c>
      <c r="I221">
        <v>728.5408477990062</v>
      </c>
      <c r="J221">
        <v>328.5408477990062</v>
      </c>
      <c r="K221">
        <v>2.1802102363481675</v>
      </c>
      <c r="L221">
        <v>0.99429595168064966</v>
      </c>
      <c r="M221">
        <v>84471.563023600393</v>
      </c>
      <c r="N221">
        <v>296.01448448930648</v>
      </c>
    </row>
    <row r="222" spans="2:14">
      <c r="B222">
        <v>177</v>
      </c>
      <c r="C222">
        <v>3.5826824591452375</v>
      </c>
      <c r="D222" s="10">
        <v>4.7608729135113483</v>
      </c>
      <c r="E222">
        <v>21.382957909769289</v>
      </c>
      <c r="F222">
        <v>0</v>
      </c>
      <c r="G222">
        <v>-12.002777917491924</v>
      </c>
      <c r="H222">
        <v>102.49160935168405</v>
      </c>
      <c r="I222">
        <v>730.60130920205722</v>
      </c>
      <c r="J222">
        <v>330.60130920205722</v>
      </c>
      <c r="K222">
        <v>2.1802102363481675</v>
      </c>
      <c r="L222">
        <v>0.993825507984192</v>
      </c>
      <c r="M222">
        <v>84427.775877749576</v>
      </c>
      <c r="N222">
        <v>296.00109149018664</v>
      </c>
    </row>
    <row r="223" spans="2:14">
      <c r="B223">
        <v>178</v>
      </c>
      <c r="C223">
        <v>3.6028098886909974</v>
      </c>
      <c r="D223" s="10">
        <v>4.7362398485995287</v>
      </c>
      <c r="E223">
        <v>21.38294411291751</v>
      </c>
      <c r="F223">
        <v>0</v>
      </c>
      <c r="G223">
        <v>-11.991426508973428</v>
      </c>
      <c r="H223">
        <v>102.25025275947154</v>
      </c>
      <c r="I223">
        <v>732.65691501660706</v>
      </c>
      <c r="J223">
        <v>332.65691501660706</v>
      </c>
      <c r="K223">
        <v>2.1802102363481675</v>
      </c>
      <c r="L223">
        <v>0.99335637417698663</v>
      </c>
      <c r="M223">
        <v>84384.112619481893</v>
      </c>
      <c r="N223">
        <v>295.98773005239207</v>
      </c>
    </row>
    <row r="224" spans="2:14">
      <c r="B224">
        <v>179</v>
      </c>
      <c r="C224">
        <v>3.6229373182367572</v>
      </c>
      <c r="D224" s="10">
        <v>4.7117079043785024</v>
      </c>
      <c r="E224">
        <v>21.382930348638187</v>
      </c>
      <c r="F224">
        <v>0</v>
      </c>
      <c r="G224">
        <v>-11.980121699302925</v>
      </c>
      <c r="H224">
        <v>102.00912370401919</v>
      </c>
      <c r="I224">
        <v>734.70766981294685</v>
      </c>
      <c r="J224">
        <v>334.70766981294685</v>
      </c>
      <c r="K224">
        <v>2.1802102363481675</v>
      </c>
      <c r="L224">
        <v>0.99288854771500612</v>
      </c>
      <c r="M224">
        <v>84340.572996412942</v>
      </c>
      <c r="N224">
        <v>295.97440014621583</v>
      </c>
    </row>
    <row r="225" spans="2:14">
      <c r="B225">
        <v>180</v>
      </c>
      <c r="C225">
        <v>3.6430647477825171</v>
      </c>
      <c r="D225" s="10">
        <v>4.6872766415003992</v>
      </c>
      <c r="E225">
        <v>21.382916616900676</v>
      </c>
      <c r="F225">
        <v>0</v>
      </c>
      <c r="G225">
        <v>-11.968863285737514</v>
      </c>
      <c r="H225">
        <v>101.76822125149268</v>
      </c>
      <c r="I225">
        <v>736.75357814261326</v>
      </c>
      <c r="J225">
        <v>336.75357814261326</v>
      </c>
      <c r="K225">
        <v>2.1802102363481675</v>
      </c>
      <c r="L225">
        <v>0.99242202606475682</v>
      </c>
      <c r="M225">
        <v>84297.156757213786</v>
      </c>
      <c r="N225">
        <v>295.96110174207303</v>
      </c>
    </row>
    <row r="226" spans="2:14">
      <c r="B226">
        <v>181</v>
      </c>
      <c r="C226">
        <v>3.663192177328277</v>
      </c>
      <c r="D226" s="10">
        <v>4.6629456232427708</v>
      </c>
      <c r="E226">
        <v>21.38290291767446</v>
      </c>
      <c r="F226">
        <v>0</v>
      </c>
      <c r="G226">
        <v>-11.957651066746854</v>
      </c>
      <c r="H226">
        <v>101.52754447211395</v>
      </c>
      <c r="I226">
        <v>738.79464453846958</v>
      </c>
      <c r="J226">
        <v>338.79464453846958</v>
      </c>
      <c r="K226">
        <v>2.1802102363481675</v>
      </c>
      <c r="L226">
        <v>0.99195680670324182</v>
      </c>
      <c r="M226">
        <v>84253.863651606909</v>
      </c>
      <c r="N226">
        <v>295.94783481049996</v>
      </c>
    </row>
    <row r="227" spans="2:14">
      <c r="B227">
        <v>182</v>
      </c>
      <c r="C227">
        <v>3.6833196068740368</v>
      </c>
      <c r="D227" s="10">
        <v>4.6387144154905373</v>
      </c>
      <c r="E227">
        <v>21.382889250929153</v>
      </c>
      <c r="F227">
        <v>0</v>
      </c>
      <c r="G227">
        <v>-11.946484842004867</v>
      </c>
      <c r="H227">
        <v>101.287092440137</v>
      </c>
      <c r="I227">
        <v>740.83087351478696</v>
      </c>
      <c r="J227">
        <v>340.83087351478696</v>
      </c>
      <c r="K227">
        <v>2.1802102363481675</v>
      </c>
      <c r="L227">
        <v>0.99149288711790129</v>
      </c>
      <c r="M227">
        <v>84210.693430360479</v>
      </c>
      <c r="N227">
        <v>295.93459932215387</v>
      </c>
    </row>
    <row r="228" spans="2:14">
      <c r="B228">
        <v>183</v>
      </c>
      <c r="C228">
        <v>3.7034470364197967</v>
      </c>
      <c r="D228" s="10">
        <v>4.6145825867182024</v>
      </c>
      <c r="E228">
        <v>21.382875616634475</v>
      </c>
      <c r="F228">
        <v>0</v>
      </c>
      <c r="G228">
        <v>-11.93536441238146</v>
      </c>
      <c r="H228">
        <v>101.04686423382383</v>
      </c>
      <c r="I228">
        <v>742.86226956732446</v>
      </c>
      <c r="J228">
        <v>342.86226956732446</v>
      </c>
      <c r="K228">
        <v>2.1802102363481675</v>
      </c>
      <c r="L228">
        <v>0.9910302648065763</v>
      </c>
      <c r="M228">
        <v>84167.645845284482</v>
      </c>
      <c r="N228">
        <v>295.92139524781237</v>
      </c>
    </row>
    <row r="229" spans="2:14">
      <c r="B229">
        <v>184</v>
      </c>
      <c r="C229">
        <v>3.7235744659655565</v>
      </c>
      <c r="D229" s="10">
        <v>4.5905497079721371</v>
      </c>
      <c r="E229">
        <v>21.382862014760288</v>
      </c>
      <c r="F229">
        <v>0</v>
      </c>
      <c r="G229">
        <v>-11.924289579934358</v>
      </c>
      <c r="H229">
        <v>100.80685893542046</v>
      </c>
      <c r="I229">
        <v>744.88883717340934</v>
      </c>
      <c r="J229">
        <v>344.88883717340934</v>
      </c>
      <c r="K229">
        <v>2.1802102363481675</v>
      </c>
      <c r="L229">
        <v>0.99056893727745821</v>
      </c>
      <c r="M229">
        <v>84124.720649225666</v>
      </c>
      <c r="N229">
        <v>295.90822255837281</v>
      </c>
    </row>
    <row r="230" spans="2:14">
      <c r="B230">
        <v>185</v>
      </c>
      <c r="C230">
        <v>3.7437018955113164</v>
      </c>
      <c r="D230" s="10">
        <v>4.566615352853038</v>
      </c>
      <c r="E230">
        <v>21.382848445276576</v>
      </c>
      <c r="F230">
        <v>0</v>
      </c>
      <c r="G230">
        <v>-11.913260147900992</v>
      </c>
      <c r="H230">
        <v>100.56707563113328</v>
      </c>
      <c r="I230">
        <v>746.91058079201639</v>
      </c>
      <c r="J230">
        <v>346.91058079201639</v>
      </c>
      <c r="K230">
        <v>2.1802102363481675</v>
      </c>
      <c r="L230">
        <v>0.99010890204904489</v>
      </c>
      <c r="M230">
        <v>84081.917596063053</v>
      </c>
      <c r="N230">
        <v>295.89508122485188</v>
      </c>
    </row>
    <row r="231" spans="2:14">
      <c r="B231">
        <v>186</v>
      </c>
      <c r="C231">
        <v>3.7638293250570762</v>
      </c>
      <c r="D231" s="10">
        <v>4.5427790974985216</v>
      </c>
      <c r="E231">
        <v>21.382834908153431</v>
      </c>
      <c r="F231">
        <v>0</v>
      </c>
      <c r="G231">
        <v>-11.902275920690442</v>
      </c>
      <c r="H231">
        <v>100.32751341110539</v>
      </c>
      <c r="I231">
        <v>748.92750486384693</v>
      </c>
      <c r="J231">
        <v>348.92750486384693</v>
      </c>
      <c r="K231">
        <v>2.1802102363481675</v>
      </c>
      <c r="L231">
        <v>0.98965015665009259</v>
      </c>
      <c r="M231">
        <v>84039.236440703098</v>
      </c>
      <c r="N231">
        <v>295.88197121838499</v>
      </c>
    </row>
    <row r="232" spans="2:14">
      <c r="B232">
        <v>187</v>
      </c>
      <c r="C232">
        <v>3.7839567546028361</v>
      </c>
      <c r="D232" s="10">
        <v>4.5190405205658646</v>
      </c>
      <c r="E232">
        <v>21.382821403361092</v>
      </c>
      <c r="F232">
        <v>0</v>
      </c>
      <c r="G232">
        <v>-11.891336703875458</v>
      </c>
      <c r="H232">
        <v>100.08817136939322</v>
      </c>
      <c r="I232">
        <v>750.93961381140741</v>
      </c>
      <c r="J232">
        <v>350.93961381140741</v>
      </c>
      <c r="K232">
        <v>2.1802102363481675</v>
      </c>
      <c r="L232">
        <v>0.98919269861957282</v>
      </c>
      <c r="M232">
        <v>83996.676939075318</v>
      </c>
      <c r="N232">
        <v>295.86889251022586</v>
      </c>
    </row>
    <row r="233" spans="2:14">
      <c r="B233">
        <v>188</v>
      </c>
      <c r="C233">
        <v>3.8040841841485959</v>
      </c>
      <c r="D233" s="10">
        <v>4.495399203214884</v>
      </c>
      <c r="E233">
        <v>21.382807930869895</v>
      </c>
      <c r="F233">
        <v>0</v>
      </c>
      <c r="G233">
        <v>-11.880442304184546</v>
      </c>
      <c r="H233">
        <v>99.849048603943288</v>
      </c>
      <c r="I233">
        <v>752.94691203908724</v>
      </c>
      <c r="J233">
        <v>352.94691203908724</v>
      </c>
      <c r="K233">
        <v>2.1802102363481675</v>
      </c>
      <c r="L233">
        <v>0.98873652550662627</v>
      </c>
      <c r="M233">
        <v>83954.238848127599</v>
      </c>
      <c r="N233">
        <v>295.85584507174593</v>
      </c>
    </row>
    <row r="234" spans="2:14">
      <c r="B234">
        <v>189</v>
      </c>
      <c r="C234">
        <v>3.8242116136943558</v>
      </c>
      <c r="D234" s="10">
        <v>4.4718547290909703</v>
      </c>
      <c r="E234">
        <v>21.382794490650312</v>
      </c>
      <c r="F234">
        <v>0</v>
      </c>
      <c r="G234">
        <v>-11.869592529494101</v>
      </c>
      <c r="H234">
        <v>99.610144216569026</v>
      </c>
      <c r="I234">
        <v>754.94940393323668</v>
      </c>
      <c r="J234">
        <v>354.94940393323668</v>
      </c>
      <c r="K234">
        <v>2.1802102363481675</v>
      </c>
      <c r="L234">
        <v>0.98828163487052123</v>
      </c>
      <c r="M234">
        <v>83911.921925821938</v>
      </c>
      <c r="N234">
        <v>295.84282887443396</v>
      </c>
    </row>
    <row r="235" spans="2:14">
      <c r="B235">
        <v>190</v>
      </c>
      <c r="C235">
        <v>3.8443390432401157</v>
      </c>
      <c r="D235" s="10">
        <v>4.4484066843082104</v>
      </c>
      <c r="E235">
        <v>21.382781082672928</v>
      </c>
      <c r="F235">
        <v>0</v>
      </c>
      <c r="G235">
        <v>-11.858787188820646</v>
      </c>
      <c r="H235">
        <v>99.371457312927873</v>
      </c>
      <c r="I235">
        <v>756.94709386224383</v>
      </c>
      <c r="J235">
        <v>356.94709386224383</v>
      </c>
      <c r="K235">
        <v>2.1802102363481675</v>
      </c>
      <c r="L235">
        <v>0.9878280242806019</v>
      </c>
      <c r="M235">
        <v>83869.72593112936</v>
      </c>
      <c r="N235">
        <v>295.82984388989541</v>
      </c>
    </row>
    <row r="236" spans="2:14">
      <c r="B236">
        <v>191</v>
      </c>
      <c r="C236">
        <v>3.8644664727858755</v>
      </c>
      <c r="D236" s="10">
        <v>4.4250546574327281</v>
      </c>
      <c r="E236">
        <v>21.382767706908464</v>
      </c>
      <c r="F236">
        <v>0</v>
      </c>
      <c r="G236">
        <v>-11.848026092313072</v>
      </c>
      <c r="H236">
        <v>99.132987002498524</v>
      </c>
      <c r="I236">
        <v>758.93998617661134</v>
      </c>
      <c r="J236">
        <v>358.93998617661134</v>
      </c>
      <c r="K236">
        <v>2.1802102363481675</v>
      </c>
      <c r="L236">
        <v>0.98737569131625225</v>
      </c>
      <c r="M236">
        <v>83827.65062402605</v>
      </c>
      <c r="N236">
        <v>295.81689008985205</v>
      </c>
    </row>
    <row r="237" spans="2:14">
      <c r="B237">
        <v>192</v>
      </c>
      <c r="C237">
        <v>3.8845939023316354</v>
      </c>
      <c r="D237" s="10">
        <v>4.4017982394660899</v>
      </c>
      <c r="E237">
        <v>21.382754363327734</v>
      </c>
      <c r="F237">
        <v>0</v>
      </c>
      <c r="G237">
        <v>-11.837309051245013</v>
      </c>
      <c r="H237">
        <v>98.894732398558205</v>
      </c>
      <c r="I237">
        <v>760.9280852090327</v>
      </c>
      <c r="J237">
        <v>360.9280852090327</v>
      </c>
      <c r="K237">
        <v>2.1802102363481675</v>
      </c>
      <c r="L237">
        <v>0.9869246335668479</v>
      </c>
      <c r="M237">
        <v>83785.695765488606</v>
      </c>
      <c r="N237">
        <v>295.80396744614131</v>
      </c>
    </row>
    <row r="238" spans="2:14">
      <c r="B238">
        <v>193</v>
      </c>
      <c r="C238">
        <v>3.9047213318773952</v>
      </c>
      <c r="D238" s="10">
        <v>4.3786370238288832</v>
      </c>
      <c r="E238">
        <v>21.3827410519017</v>
      </c>
      <c r="F238">
        <v>0</v>
      </c>
      <c r="G238">
        <v>-11.826635878007213</v>
      </c>
      <c r="H238">
        <v>98.656692618160264</v>
      </c>
      <c r="I238">
        <v>762.91139527446785</v>
      </c>
      <c r="J238">
        <v>362.91139527446785</v>
      </c>
      <c r="K238">
        <v>2.1802102363481675</v>
      </c>
      <c r="L238">
        <v>0.98647484863171431</v>
      </c>
      <c r="M238">
        <v>83743.861117489738</v>
      </c>
      <c r="N238">
        <v>295.79107593071598</v>
      </c>
    </row>
    <row r="239" spans="2:14">
      <c r="B239">
        <v>194</v>
      </c>
      <c r="C239">
        <v>3.9248487614231551</v>
      </c>
      <c r="D239" s="10">
        <v>4.3555706063444024</v>
      </c>
      <c r="E239">
        <v>21.382727772601424</v>
      </c>
      <c r="F239">
        <v>0</v>
      </c>
      <c r="G239">
        <v>-11.816006386100021</v>
      </c>
      <c r="H239">
        <v>98.418866782111792</v>
      </c>
      <c r="I239">
        <v>764.88992067021866</v>
      </c>
      <c r="J239">
        <v>364.88992067021866</v>
      </c>
      <c r="K239">
        <v>2.1802102363481675</v>
      </c>
      <c r="L239">
        <v>0.98602633412008001</v>
      </c>
      <c r="M239">
        <v>83702.146442993602</v>
      </c>
      <c r="N239">
        <v>295.77821551564358</v>
      </c>
    </row>
    <row r="240" spans="2:14">
      <c r="B240">
        <v>195</v>
      </c>
      <c r="C240">
        <v>3.9449761909689149</v>
      </c>
      <c r="D240" s="10">
        <v>4.3325985852225077</v>
      </c>
      <c r="E240">
        <v>21.382714525398089</v>
      </c>
      <c r="F240">
        <v>0</v>
      </c>
      <c r="G240">
        <v>-11.805420390125883</v>
      </c>
      <c r="H240">
        <v>98.181254014951463</v>
      </c>
      <c r="I240">
        <v>766.86366567600385</v>
      </c>
      <c r="J240">
        <v>366.86366567600385</v>
      </c>
      <c r="K240">
        <v>2.1802102363481675</v>
      </c>
      <c r="L240">
        <v>0.98557908765103974</v>
      </c>
      <c r="M240">
        <v>83660.551505951953</v>
      </c>
      <c r="N240">
        <v>295.76538617310598</v>
      </c>
    </row>
    <row r="241" spans="2:14">
      <c r="B241">
        <v>196</v>
      </c>
      <c r="C241">
        <v>3.9651036205146748</v>
      </c>
      <c r="D241" s="10">
        <v>4.3097205610435561</v>
      </c>
      <c r="E241">
        <v>21.382701310263009</v>
      </c>
      <c r="F241">
        <v>0</v>
      </c>
      <c r="G241">
        <v>-11.79487770578195</v>
      </c>
      <c r="H241">
        <v>97.943853444927484</v>
      </c>
      <c r="I241">
        <v>768.83263455403323</v>
      </c>
      <c r="J241">
        <v>368.83263455403323</v>
      </c>
      <c r="K241">
        <v>2.1802102363481675</v>
      </c>
      <c r="L241">
        <v>0.98513310685350419</v>
      </c>
      <c r="M241">
        <v>83619.076071299161</v>
      </c>
      <c r="N241">
        <v>295.75258787539877</v>
      </c>
    </row>
    <row r="242" spans="2:14">
      <c r="B242">
        <v>197</v>
      </c>
      <c r="C242">
        <v>3.9852310500604347</v>
      </c>
      <c r="D242" s="10">
        <v>4.2869361367425256</v>
      </c>
      <c r="E242">
        <v>21.38268812716759</v>
      </c>
      <c r="F242">
        <v>0</v>
      </c>
      <c r="G242">
        <v>-11.784378149852714</v>
      </c>
      <c r="H242">
        <v>97.706664203975734</v>
      </c>
      <c r="I242">
        <v>770.79683154908184</v>
      </c>
      <c r="J242">
        <v>370.79683154908184</v>
      </c>
      <c r="K242">
        <v>2.1802102363481675</v>
      </c>
      <c r="L242">
        <v>0.98468838936616321</v>
      </c>
      <c r="M242">
        <v>83577.719904948404</v>
      </c>
      <c r="N242">
        <v>295.73982059493096</v>
      </c>
    </row>
    <row r="243" spans="2:14">
      <c r="B243">
        <v>198</v>
      </c>
      <c r="C243">
        <v>4.0053584796061941</v>
      </c>
      <c r="D243" s="10">
        <v>4.2642449175932207</v>
      </c>
      <c r="E243">
        <v>21.382674976083386</v>
      </c>
      <c r="F243">
        <v>0</v>
      </c>
      <c r="G243">
        <v>-11.773921540202704</v>
      </c>
      <c r="H243">
        <v>97.469685427697996</v>
      </c>
      <c r="I243">
        <v>772.75626088856347</v>
      </c>
      <c r="J243">
        <v>372.75626088856347</v>
      </c>
      <c r="K243">
        <v>2.1802102363481675</v>
      </c>
      <c r="L243">
        <v>0.98424493283744119</v>
      </c>
      <c r="M243">
        <v>83536.482773787167</v>
      </c>
      <c r="N243">
        <v>295.72708430422432</v>
      </c>
    </row>
    <row r="244" spans="2:14">
      <c r="B244">
        <v>199</v>
      </c>
      <c r="C244">
        <v>4.0254859091519535</v>
      </c>
      <c r="D244" s="10">
        <v>4.2416465111926298</v>
      </c>
      <c r="E244">
        <v>21.382661856982043</v>
      </c>
      <c r="F244">
        <v>0</v>
      </c>
      <c r="G244">
        <v>-11.76350769576927</v>
      </c>
      <c r="H244">
        <v>97.232916255340399</v>
      </c>
      <c r="I244">
        <v>774.71092678260402</v>
      </c>
      <c r="J244">
        <v>374.71092678260402</v>
      </c>
      <c r="K244">
        <v>2.1802102363481675</v>
      </c>
      <c r="L244">
        <v>0.98380273492545522</v>
      </c>
      <c r="M244">
        <v>83495.364445673025</v>
      </c>
      <c r="N244">
        <v>295.71437897591306</v>
      </c>
    </row>
    <row r="245" spans="2:14">
      <c r="B245">
        <v>200</v>
      </c>
      <c r="C245">
        <v>4.0456133386977129</v>
      </c>
      <c r="D245" s="10">
        <v>4.2191405274453997</v>
      </c>
      <c r="E245">
        <v>21.382648769835328</v>
      </c>
      <c r="F245">
        <v>0</v>
      </c>
      <c r="G245">
        <v>-11.753136436555383</v>
      </c>
      <c r="H245">
        <v>96.996355829771929</v>
      </c>
      <c r="I245">
        <v>776.66083342411378</v>
      </c>
      <c r="J245">
        <v>376.66083342411378</v>
      </c>
      <c r="K245">
        <v>2.1802102363481675</v>
      </c>
      <c r="L245">
        <v>0.98336179329797369</v>
      </c>
      <c r="M245">
        <v>83454.364689429422</v>
      </c>
      <c r="N245">
        <v>295.70170458274328</v>
      </c>
    </row>
    <row r="246" spans="2:14">
      <c r="B246">
        <v>201</v>
      </c>
      <c r="C246">
        <v>4.0657407682434723</v>
      </c>
      <c r="D246" s="10">
        <v>4.1967265785484402</v>
      </c>
      <c r="E246">
        <v>21.382635714615134</v>
      </c>
      <c r="F246">
        <v>0</v>
      </c>
      <c r="G246">
        <v>-11.742807583622529</v>
      </c>
      <c r="H246">
        <v>96.760003297463157</v>
      </c>
      <c r="I246">
        <v>778.60598498885997</v>
      </c>
      <c r="J246">
        <v>378.60598498885997</v>
      </c>
      <c r="K246">
        <v>2.1802102363481675</v>
      </c>
      <c r="L246">
        <v>0.98292210563237536</v>
      </c>
      <c r="M246">
        <v>83413.483274841463</v>
      </c>
      <c r="N246">
        <v>295.68906109757239</v>
      </c>
    </row>
    <row r="247" spans="2:14">
      <c r="B247">
        <v>202</v>
      </c>
      <c r="C247">
        <v>4.0858681977892317</v>
      </c>
      <c r="D247" s="10">
        <v>4.1744042789756381</v>
      </c>
      <c r="E247">
        <v>21.382622691293459</v>
      </c>
      <c r="F247">
        <v>0</v>
      </c>
      <c r="G247">
        <v>-11.732520959083642</v>
      </c>
      <c r="H247">
        <v>96.523857808465053</v>
      </c>
      <c r="I247">
        <v>780.54638563553863</v>
      </c>
      <c r="J247">
        <v>380.54638563553863</v>
      </c>
      <c r="K247">
        <v>2.1802102363481675</v>
      </c>
      <c r="L247">
        <v>0.98248366961560407</v>
      </c>
      <c r="M247">
        <v>83372.719972651525</v>
      </c>
      <c r="N247">
        <v>295.67644849336898</v>
      </c>
    </row>
    <row r="248" spans="2:14">
      <c r="B248">
        <v>203</v>
      </c>
      <c r="C248">
        <v>4.1059956273349911</v>
      </c>
      <c r="D248" s="10">
        <v>4.1521732454627278</v>
      </c>
      <c r="E248">
        <v>21.382609699842419</v>
      </c>
      <c r="F248">
        <v>0</v>
      </c>
      <c r="G248">
        <v>-11.722276386096089</v>
      </c>
      <c r="H248">
        <v>96.287918516387975</v>
      </c>
      <c r="I248">
        <v>782.48203950584593</v>
      </c>
      <c r="J248">
        <v>382.48203950584593</v>
      </c>
      <c r="K248">
        <v>2.1802102363481675</v>
      </c>
      <c r="L248">
        <v>0.98204648294413477</v>
      </c>
      <c r="M248">
        <v>83332.074554555555</v>
      </c>
      <c r="N248">
        <v>295.663866743212</v>
      </c>
    </row>
    <row r="249" spans="2:14">
      <c r="B249">
        <v>204</v>
      </c>
      <c r="C249">
        <v>4.1261230568807505</v>
      </c>
      <c r="D249" s="10">
        <v>4.1300330969922419</v>
      </c>
      <c r="E249">
        <v>21.382596740234234</v>
      </c>
      <c r="F249">
        <v>0</v>
      </c>
      <c r="G249">
        <v>-11.712073688854741</v>
      </c>
      <c r="H249">
        <v>96.052184578380803</v>
      </c>
      <c r="I249">
        <v>784.41295072454921</v>
      </c>
      <c r="J249">
        <v>384.41295072454921</v>
      </c>
      <c r="K249">
        <v>2.1802102363481675</v>
      </c>
      <c r="L249">
        <v>0.98161054332392639</v>
      </c>
      <c r="M249">
        <v>83291.54679319846</v>
      </c>
      <c r="N249">
        <v>295.65131582029045</v>
      </c>
    </row>
    <row r="250" spans="2:14">
      <c r="B250">
        <v>205</v>
      </c>
      <c r="C250">
        <v>4.14625048642651</v>
      </c>
      <c r="D250" s="10">
        <v>4.1079834547786174</v>
      </c>
      <c r="E250">
        <v>21.382583812441261</v>
      </c>
      <c r="F250">
        <v>0</v>
      </c>
      <c r="G250">
        <v>-11.701912692585053</v>
      </c>
      <c r="H250">
        <v>95.816655155110169</v>
      </c>
      <c r="I250">
        <v>786.33912339955759</v>
      </c>
      <c r="J250">
        <v>386.33912339955759</v>
      </c>
      <c r="K250">
        <v>2.1802102363481675</v>
      </c>
      <c r="L250">
        <v>0.98117584847038464</v>
      </c>
      <c r="M250">
        <v>83251.136462170281</v>
      </c>
      <c r="N250">
        <v>295.63879569790288</v>
      </c>
    </row>
    <row r="251" spans="2:14">
      <c r="B251">
        <v>206</v>
      </c>
      <c r="C251">
        <v>4.1663779159722694</v>
      </c>
      <c r="D251" s="10">
        <v>4.0860239422533962</v>
      </c>
      <c r="E251">
        <v>21.382570916435949</v>
      </c>
      <c r="F251">
        <v>0</v>
      </c>
      <c r="G251">
        <v>-11.691793223536253</v>
      </c>
      <c r="H251">
        <v>95.581329410739855</v>
      </c>
      <c r="I251">
        <v>788.26056162199222</v>
      </c>
      <c r="J251">
        <v>388.26056162199222</v>
      </c>
      <c r="K251">
        <v>2.1802102363481675</v>
      </c>
      <c r="L251">
        <v>0.98074239610832126</v>
      </c>
      <c r="M251">
        <v>83210.843336002086</v>
      </c>
      <c r="N251">
        <v>295.62630634945702</v>
      </c>
    </row>
    <row r="252" spans="2:14">
      <c r="B252">
        <v>207</v>
      </c>
      <c r="C252">
        <v>4.1865053455180288</v>
      </c>
      <c r="D252" s="10">
        <v>4.0641541850505591</v>
      </c>
      <c r="E252">
        <v>21.382558052190859</v>
      </c>
      <c r="F252">
        <v>0</v>
      </c>
      <c r="G252">
        <v>-11.681715108974542</v>
      </c>
      <c r="H252">
        <v>95.346206512910328</v>
      </c>
      <c r="I252">
        <v>790.17726946625601</v>
      </c>
      <c r="J252">
        <v>390.17726946625601</v>
      </c>
      <c r="K252">
        <v>2.1802102363481675</v>
      </c>
      <c r="L252">
        <v>0.9803101839719125</v>
      </c>
      <c r="M252">
        <v>83170.667190161752</v>
      </c>
      <c r="N252">
        <v>295.61384774846931</v>
      </c>
    </row>
    <row r="253" spans="2:14">
      <c r="B253">
        <v>208</v>
      </c>
      <c r="C253">
        <v>4.2066327750637882</v>
      </c>
      <c r="D253" s="10">
        <v>4.0423738109919745</v>
      </c>
      <c r="E253">
        <v>21.382545219678683</v>
      </c>
      <c r="F253">
        <v>0</v>
      </c>
      <c r="G253">
        <v>-11.671678177176359</v>
      </c>
      <c r="H253">
        <v>95.111285632718435</v>
      </c>
      <c r="I253">
        <v>792.08925099010276</v>
      </c>
      <c r="J253">
        <v>392.08925099010276</v>
      </c>
      <c r="K253">
        <v>2.1802102363481675</v>
      </c>
      <c r="L253">
        <v>0.97987920980466081</v>
      </c>
      <c r="M253">
        <v>83130.607801050093</v>
      </c>
      <c r="N253">
        <v>295.60141986856434</v>
      </c>
    </row>
    <row r="254" spans="2:14">
      <c r="B254">
        <v>209</v>
      </c>
      <c r="C254">
        <v>4.2267602046095476</v>
      </c>
      <c r="D254" s="10">
        <v>4.0206824500729637</v>
      </c>
      <c r="E254">
        <v>21.382532418872199</v>
      </c>
      <c r="F254">
        <v>0</v>
      </c>
      <c r="G254">
        <v>-11.661682257421727</v>
      </c>
      <c r="H254">
        <v>94.876565944697148</v>
      </c>
      <c r="I254">
        <v>793.99651023470642</v>
      </c>
      <c r="J254">
        <v>393.99651023470642</v>
      </c>
      <c r="K254">
        <v>2.1802102363481675</v>
      </c>
      <c r="L254">
        <v>0.97944947135935623</v>
      </c>
      <c r="M254">
        <v>83090.664945996876</v>
      </c>
      <c r="N254">
        <v>295.58902268347441</v>
      </c>
    </row>
    <row r="255" spans="2:14">
      <c r="B255">
        <v>210</v>
      </c>
      <c r="C255">
        <v>4.246887634155307</v>
      </c>
      <c r="D255" s="10">
        <v>3.9990797344479718</v>
      </c>
      <c r="E255">
        <v>21.382519649744324</v>
      </c>
      <c r="F255">
        <v>0</v>
      </c>
      <c r="G255">
        <v>-11.651727179987613</v>
      </c>
      <c r="H255">
        <v>94.642046626795533</v>
      </c>
      <c r="I255">
        <v>795.89905122472965</v>
      </c>
      <c r="J255">
        <v>395.89905122472965</v>
      </c>
      <c r="K255">
        <v>2.1802102363481675</v>
      </c>
      <c r="L255">
        <v>0.97902096639803371</v>
      </c>
      <c r="M255">
        <v>83050.838403256625</v>
      </c>
      <c r="N255">
        <v>295.57665616703923</v>
      </c>
    </row>
    <row r="256" spans="2:14">
      <c r="B256">
        <v>211</v>
      </c>
      <c r="C256">
        <v>4.2670150637010664</v>
      </c>
      <c r="D256" s="10">
        <v>3.9775652984163665</v>
      </c>
      <c r="E256">
        <v>21.382506912268063</v>
      </c>
      <c r="F256">
        <v>0</v>
      </c>
      <c r="G256">
        <v>-11.641812776141371</v>
      </c>
      <c r="H256">
        <v>94.407726860358821</v>
      </c>
      <c r="I256">
        <v>797.79687796839175</v>
      </c>
      <c r="J256">
        <v>397.79687796839175</v>
      </c>
      <c r="K256">
        <v>2.1802102363481675</v>
      </c>
      <c r="L256">
        <v>0.97859369269193697</v>
      </c>
      <c r="M256">
        <v>83011.12795200487</v>
      </c>
      <c r="N256">
        <v>295.56432029320547</v>
      </c>
    </row>
    <row r="257" spans="2:14">
      <c r="B257">
        <v>212</v>
      </c>
      <c r="C257">
        <v>4.2871424932468258</v>
      </c>
      <c r="D257" s="10">
        <v>3.9561387784083522</v>
      </c>
      <c r="E257">
        <v>21.382494206416538</v>
      </c>
      <c r="F257">
        <v>0</v>
      </c>
      <c r="G257">
        <v>-11.631938878134212</v>
      </c>
      <c r="H257">
        <v>94.173605830108585</v>
      </c>
      <c r="I257">
        <v>799.68999445753661</v>
      </c>
      <c r="J257">
        <v>399.68999445753661</v>
      </c>
      <c r="K257">
        <v>2.1802102363481675</v>
      </c>
      <c r="L257">
        <v>0.97816764802147982</v>
      </c>
      <c r="M257">
        <v>82971.533372334205</v>
      </c>
      <c r="N257">
        <v>295.55201503602603</v>
      </c>
    </row>
    <row r="258" spans="2:14">
      <c r="B258">
        <v>213</v>
      </c>
      <c r="C258">
        <v>4.3072699227925852</v>
      </c>
      <c r="D258" s="10">
        <v>3.9347998129709691</v>
      </c>
      <c r="E258">
        <v>21.382481532162988</v>
      </c>
      <c r="F258">
        <v>0</v>
      </c>
      <c r="G258">
        <v>-11.622105319194755</v>
      </c>
      <c r="H258">
        <v>93.939682724123088</v>
      </c>
      <c r="I258">
        <v>801.57840466769994</v>
      </c>
      <c r="J258">
        <v>401.57840466769994</v>
      </c>
      <c r="K258">
        <v>2.1802102363481675</v>
      </c>
      <c r="L258">
        <v>0.97774283017620411</v>
      </c>
      <c r="M258">
        <v>82932.054445250134</v>
      </c>
      <c r="N258">
        <v>295.53974036965997</v>
      </c>
    </row>
    <row r="259" spans="2:14">
      <c r="B259">
        <v>214</v>
      </c>
      <c r="C259">
        <v>4.3273973523383447</v>
      </c>
      <c r="D259" s="10">
        <v>3.9135480427542482</v>
      </c>
      <c r="E259">
        <v>21.382468889480744</v>
      </c>
      <c r="F259">
        <v>0</v>
      </c>
      <c r="G259">
        <v>-11.612311933522601</v>
      </c>
      <c r="H259">
        <v>93.705956733817729</v>
      </c>
      <c r="I259">
        <v>803.46211255817639</v>
      </c>
      <c r="J259">
        <v>403.46211255817639</v>
      </c>
      <c r="K259">
        <v>2.1802102363481675</v>
      </c>
      <c r="L259">
        <v>0.9773192369547461</v>
      </c>
      <c r="M259">
        <v>82892.690952667559</v>
      </c>
      <c r="N259">
        <v>295.52749626837186</v>
      </c>
    </row>
    <row r="260" spans="2:14">
      <c r="B260">
        <v>215</v>
      </c>
      <c r="C260">
        <v>4.3475247818841041</v>
      </c>
      <c r="D260" s="10">
        <v>3.8923831104974314</v>
      </c>
      <c r="E260">
        <v>21.382456278343277</v>
      </c>
      <c r="F260">
        <v>0</v>
      </c>
      <c r="G260">
        <v>-11.602558556281982</v>
      </c>
      <c r="H260">
        <v>93.472427053925614</v>
      </c>
      <c r="I260">
        <v>805.34112207208602</v>
      </c>
      <c r="J260">
        <v>405.34112207208602</v>
      </c>
      <c r="K260">
        <v>2.1802102363481675</v>
      </c>
      <c r="L260">
        <v>0.97689686616479476</v>
      </c>
      <c r="M260">
        <v>82853.442677406594</v>
      </c>
      <c r="N260">
        <v>295.51528270653142</v>
      </c>
    </row>
    <row r="261" spans="2:14">
      <c r="B261">
        <v>216</v>
      </c>
      <c r="C261">
        <v>4.3676522114298635</v>
      </c>
      <c r="D261" s="10">
        <v>3.8713046610153286</v>
      </c>
      <c r="E261">
        <v>21.382443698724128</v>
      </c>
      <c r="F261">
        <v>0</v>
      </c>
      <c r="G261">
        <v>-11.592845023595448</v>
      </c>
      <c r="H261">
        <v>93.239092882478289</v>
      </c>
      <c r="I261">
        <v>807.21543713644041</v>
      </c>
      <c r="J261">
        <v>407.21543713644041</v>
      </c>
      <c r="K261">
        <v>2.1802102363481675</v>
      </c>
      <c r="L261">
        <v>0.97647571562305469</v>
      </c>
      <c r="M261">
        <v>82814.309403188847</v>
      </c>
      <c r="N261">
        <v>295.50309965861311</v>
      </c>
    </row>
    <row r="262" spans="2:14">
      <c r="B262">
        <v>217</v>
      </c>
      <c r="C262">
        <v>4.3877796409756229</v>
      </c>
      <c r="D262" s="10">
        <v>3.8503123411847793</v>
      </c>
      <c r="E262">
        <v>21.382431150596979</v>
      </c>
      <c r="F262">
        <v>0</v>
      </c>
      <c r="G262">
        <v>-11.583171172537588</v>
      </c>
      <c r="H262">
        <v>93.005953420786568</v>
      </c>
      <c r="I262">
        <v>809.08506166220877</v>
      </c>
      <c r="J262">
        <v>409.08506166220877</v>
      </c>
      <c r="K262">
        <v>2.1802102363481675</v>
      </c>
      <c r="L262">
        <v>0.9760557831552098</v>
      </c>
      <c r="M262">
        <v>82775.290914633675</v>
      </c>
      <c r="N262">
        <v>295.49094709919564</v>
      </c>
    </row>
    <row r="263" spans="2:14">
      <c r="B263">
        <v>218</v>
      </c>
      <c r="C263">
        <v>4.4079070705213823</v>
      </c>
      <c r="D263" s="10">
        <v>3.8294057999312172</v>
      </c>
      <c r="E263">
        <v>21.382418633935597</v>
      </c>
      <c r="F263">
        <v>0</v>
      </c>
      <c r="G263">
        <v>-11.573536841128853</v>
      </c>
      <c r="H263">
        <v>92.773007873421491</v>
      </c>
      <c r="I263">
        <v>810.94999954438299</v>
      </c>
      <c r="J263">
        <v>410.94999954438299</v>
      </c>
      <c r="K263">
        <v>2.1802102363481675</v>
      </c>
      <c r="L263">
        <v>0.97563706659588523</v>
      </c>
      <c r="M263">
        <v>82736.386997254333</v>
      </c>
      <c r="N263">
        <v>295.47882500296151</v>
      </c>
    </row>
    <row r="264" spans="2:14">
      <c r="B264">
        <v>219</v>
      </c>
      <c r="C264">
        <v>4.4280345000671417</v>
      </c>
      <c r="D264" s="10">
        <v>3.808584688215332</v>
      </c>
      <c r="E264">
        <v>21.382406148713862</v>
      </c>
      <c r="F264">
        <v>0</v>
      </c>
      <c r="G264">
        <v>-11.563941868329357</v>
      </c>
      <c r="H264">
        <v>92.540255448195438</v>
      </c>
      <c r="I264">
        <v>812.81025466204301</v>
      </c>
      <c r="J264">
        <v>412.81025466204301</v>
      </c>
      <c r="K264">
        <v>2.1802102363481675</v>
      </c>
      <c r="L264">
        <v>0.9752195637886073</v>
      </c>
      <c r="M264">
        <v>82697.59743745398</v>
      </c>
      <c r="N264">
        <v>295.46673334469671</v>
      </c>
    </row>
    <row r="265" spans="2:14">
      <c r="B265">
        <v>220</v>
      </c>
      <c r="C265">
        <v>4.4481619296129011</v>
      </c>
      <c r="D265" s="10">
        <v>3.7878486590198599</v>
      </c>
      <c r="E265">
        <v>21.382393694905772</v>
      </c>
      <c r="F265">
        <v>0</v>
      </c>
      <c r="G265">
        <v>-11.554386094032784</v>
      </c>
      <c r="H265">
        <v>92.307695356143284</v>
      </c>
      <c r="I265">
        <v>814.66583087842127</v>
      </c>
      <c r="J265">
        <v>414.66583087842127</v>
      </c>
      <c r="K265">
        <v>2.1802102363481675</v>
      </c>
      <c r="L265">
        <v>0.9748032725857716</v>
      </c>
      <c r="M265">
        <v>82658.922022522383</v>
      </c>
      <c r="N265">
        <v>295.45467209929024</v>
      </c>
    </row>
    <row r="266" spans="2:14">
      <c r="B266">
        <v>221</v>
      </c>
      <c r="C266">
        <v>4.4682893591586605</v>
      </c>
      <c r="D266" s="10">
        <v>3.7671973673364572</v>
      </c>
      <c r="E266">
        <v>21.382381272485414</v>
      </c>
      <c r="F266">
        <v>0</v>
      </c>
      <c r="G266">
        <v>-11.544869359060327</v>
      </c>
      <c r="H266">
        <v>92.0753268115038</v>
      </c>
      <c r="I266">
        <v>816.51673204096721</v>
      </c>
      <c r="J266">
        <v>416.51673204096721</v>
      </c>
      <c r="K266">
        <v>2.1802102363481675</v>
      </c>
      <c r="L266">
        <v>0.97438819084860151</v>
      </c>
      <c r="M266">
        <v>82620.360540631751</v>
      </c>
      <c r="N266">
        <v>295.44264124173372</v>
      </c>
    </row>
    <row r="267" spans="2:14">
      <c r="B267">
        <v>222</v>
      </c>
      <c r="C267">
        <v>4.48841678870442</v>
      </c>
      <c r="D267" s="10">
        <v>3.7466304701526947</v>
      </c>
      <c r="E267">
        <v>21.382368881426995</v>
      </c>
      <c r="F267">
        <v>0</v>
      </c>
      <c r="G267">
        <v>-11.535391505154655</v>
      </c>
      <c r="H267">
        <v>91.843149031701046</v>
      </c>
      <c r="I267">
        <v>818.36296198141099</v>
      </c>
      <c r="J267">
        <v>418.36296198141099</v>
      </c>
      <c r="K267">
        <v>2.1802102363481675</v>
      </c>
      <c r="L267">
        <v>0.97397431644711618</v>
      </c>
      <c r="M267">
        <v>82581.912780833431</v>
      </c>
      <c r="N267">
        <v>295.43064074712083</v>
      </c>
    </row>
    <row r="268" spans="2:14">
      <c r="B268">
        <v>223</v>
      </c>
      <c r="C268">
        <v>4.5085442182501794</v>
      </c>
      <c r="D268" s="10">
        <v>3.7261476264391273</v>
      </c>
      <c r="E268">
        <v>21.382356521704818</v>
      </c>
      <c r="F268">
        <v>0</v>
      </c>
      <c r="G268">
        <v>-11.525952374973956</v>
      </c>
      <c r="H268">
        <v>91.611161237325973</v>
      </c>
      <c r="I268">
        <v>820.20452451582707</v>
      </c>
      <c r="J268">
        <v>420.20452451582707</v>
      </c>
      <c r="K268">
        <v>2.1802102363481675</v>
      </c>
      <c r="L268">
        <v>0.9735616472600882</v>
      </c>
      <c r="M268">
        <v>82543.578533053733</v>
      </c>
      <c r="N268">
        <v>295.41867059064714</v>
      </c>
    </row>
    <row r="269" spans="2:14">
      <c r="B269">
        <v>224</v>
      </c>
      <c r="C269">
        <v>4.5286716477959388</v>
      </c>
      <c r="D269" s="10">
        <v>3.7057484971365011</v>
      </c>
      <c r="E269">
        <v>21.382344193293303</v>
      </c>
      <c r="F269">
        <v>0</v>
      </c>
      <c r="G269">
        <v>-11.516551812086005</v>
      </c>
      <c r="H269">
        <v>91.379362652118118</v>
      </c>
      <c r="I269">
        <v>822.04142344469767</v>
      </c>
      <c r="J269">
        <v>422.04142344469767</v>
      </c>
      <c r="K269">
        <v>2.1802102363481675</v>
      </c>
      <c r="L269">
        <v>0.97315018117501295</v>
      </c>
      <c r="M269">
        <v>82505.357588090716</v>
      </c>
      <c r="N269">
        <v>295.40673074760946</v>
      </c>
    </row>
    <row r="270" spans="2:14">
      <c r="B270">
        <v>225</v>
      </c>
      <c r="C270">
        <v>4.5487990773416982</v>
      </c>
      <c r="D270" s="10">
        <v>3.6854327451430442</v>
      </c>
      <c r="E270">
        <v>21.382331896166949</v>
      </c>
      <c r="F270">
        <v>0</v>
      </c>
      <c r="G270">
        <v>-11.5071896609623</v>
      </c>
      <c r="H270">
        <v>91.147752502947398</v>
      </c>
      <c r="I270">
        <v>823.87366255297536</v>
      </c>
      <c r="J270">
        <v>423.87366255297536</v>
      </c>
      <c r="K270">
        <v>2.1802102363481675</v>
      </c>
      <c r="L270">
        <v>0.97273991608807153</v>
      </c>
      <c r="M270">
        <v>82467.249737610488</v>
      </c>
      <c r="N270">
        <v>295.39482119340568</v>
      </c>
    </row>
    <row r="271" spans="2:14">
      <c r="B271">
        <v>226</v>
      </c>
      <c r="C271">
        <v>4.5689265068874576</v>
      </c>
      <c r="D271" s="10">
        <v>3.6652000353018437</v>
      </c>
      <c r="E271">
        <v>21.38231963030039</v>
      </c>
      <c r="F271">
        <v>0</v>
      </c>
      <c r="G271">
        <v>-11.497865766972213</v>
      </c>
      <c r="H271">
        <v>90.916330019796064</v>
      </c>
      <c r="I271">
        <v>825.70124561014541</v>
      </c>
      <c r="J271">
        <v>425.70124561014541</v>
      </c>
      <c r="K271">
        <v>2.1802102363481675</v>
      </c>
      <c r="L271">
        <v>0.97233084990409235</v>
      </c>
      <c r="M271">
        <v>82429.254774143279</v>
      </c>
      <c r="N271">
        <v>295.38294190353406</v>
      </c>
    </row>
    <row r="272" spans="2:14">
      <c r="B272">
        <v>227</v>
      </c>
      <c r="C272">
        <v>4.589053936433217</v>
      </c>
      <c r="D272" s="10">
        <v>3.6450500343883379</v>
      </c>
      <c r="E272">
        <v>21.382307395668349</v>
      </c>
      <c r="F272">
        <v>0</v>
      </c>
      <c r="G272">
        <v>-11.488579976377235</v>
      </c>
      <c r="H272">
        <v>90.685094435740709</v>
      </c>
      <c r="I272">
        <v>827.52417637028805</v>
      </c>
      <c r="J272">
        <v>427.52417637028805</v>
      </c>
      <c r="K272">
        <v>2.1802102363481675</v>
      </c>
      <c r="L272">
        <v>0.9719229805365166</v>
      </c>
      <c r="M272">
        <v>82391.372491080037</v>
      </c>
      <c r="N272">
        <v>295.37109285359315</v>
      </c>
    </row>
    <row r="273" spans="2:14">
      <c r="B273">
        <v>228</v>
      </c>
      <c r="C273">
        <v>4.6091813659789764</v>
      </c>
      <c r="D273" s="10">
        <v>3.6249824110979265</v>
      </c>
      <c r="E273">
        <v>21.382295192245646</v>
      </c>
      <c r="F273">
        <v>0</v>
      </c>
      <c r="G273">
        <v>-11.479332136325203</v>
      </c>
      <c r="H273">
        <v>90.454044986934449</v>
      </c>
      <c r="I273">
        <v>829.34245857214034</v>
      </c>
      <c r="J273">
        <v>429.34245857214034</v>
      </c>
      <c r="K273">
        <v>2.1802102363481675</v>
      </c>
      <c r="L273">
        <v>0.97151630590736848</v>
      </c>
      <c r="M273">
        <v>82353.602682669225</v>
      </c>
      <c r="N273">
        <v>295.35927401928109</v>
      </c>
    </row>
    <row r="274" spans="2:14">
      <c r="B274">
        <v>229</v>
      </c>
      <c r="C274">
        <v>4.6293087955247358</v>
      </c>
      <c r="D274" s="10">
        <v>3.604996836033612</v>
      </c>
      <c r="E274">
        <v>21.382283020007215</v>
      </c>
      <c r="F274">
        <v>0</v>
      </c>
      <c r="G274">
        <v>-11.470122094844641</v>
      </c>
      <c r="H274">
        <v>90.2231809125892</v>
      </c>
      <c r="I274">
        <v>831.15609593915735</v>
      </c>
      <c r="J274">
        <v>431.15609593915735</v>
      </c>
      <c r="K274">
        <v>2.1802102363481675</v>
      </c>
      <c r="L274">
        <v>0.9711108239472086</v>
      </c>
      <c r="M274">
        <v>82315.945144012367</v>
      </c>
      <c r="N274">
        <v>295.34748537639547</v>
      </c>
    </row>
    <row r="275" spans="2:14">
      <c r="B275">
        <v>230</v>
      </c>
      <c r="C275">
        <v>4.6494362250704953</v>
      </c>
      <c r="D275" s="10">
        <v>3.5850929816938293</v>
      </c>
      <c r="E275">
        <v>21.382270878928093</v>
      </c>
      <c r="F275">
        <v>0</v>
      </c>
      <c r="G275">
        <v>-11.460949700839079</v>
      </c>
      <c r="H275">
        <v>89.99250145495806</v>
      </c>
      <c r="I275">
        <v>832.96509217957316</v>
      </c>
      <c r="J275">
        <v>432.96509217957316</v>
      </c>
      <c r="K275">
        <v>2.1802102363481675</v>
      </c>
      <c r="L275">
        <v>0.97070653259511175</v>
      </c>
      <c r="M275">
        <v>82278.399671061532</v>
      </c>
      <c r="N275">
        <v>295.33572690083275</v>
      </c>
    </row>
    <row r="276" spans="2:14">
      <c r="B276">
        <v>231</v>
      </c>
      <c r="C276">
        <v>4.6695636546162547</v>
      </c>
      <c r="D276" s="10">
        <v>3.5652705224602914</v>
      </c>
      <c r="E276">
        <v>21.382258768983405</v>
      </c>
      <c r="F276">
        <v>0</v>
      </c>
      <c r="G276">
        <v>-11.451814804081478</v>
      </c>
      <c r="H276">
        <v>89.762005859317824</v>
      </c>
      <c r="I276">
        <v>834.76945098646172</v>
      </c>
      <c r="J276">
        <v>434.76945098646172</v>
      </c>
      <c r="K276">
        <v>2.1802102363481675</v>
      </c>
      <c r="L276">
        <v>0.97030342979862405</v>
      </c>
      <c r="M276">
        <v>82240.966060615188</v>
      </c>
      <c r="N276">
        <v>295.32399856858802</v>
      </c>
    </row>
    <row r="277" spans="2:14">
      <c r="B277">
        <v>232</v>
      </c>
      <c r="C277">
        <v>4.6896910841620141</v>
      </c>
      <c r="D277" s="10">
        <v>3.5455291345859696</v>
      </c>
      <c r="E277">
        <v>21.382246690148389</v>
      </c>
      <c r="F277">
        <v>0</v>
      </c>
      <c r="G277">
        <v>-11.442717255208645</v>
      </c>
      <c r="H277">
        <v>89.531693373951569</v>
      </c>
      <c r="I277">
        <v>836.56917603779709</v>
      </c>
      <c r="J277">
        <v>436.56917603779709</v>
      </c>
      <c r="K277">
        <v>2.1802102363481675</v>
      </c>
      <c r="L277">
        <v>0.96990151351373122</v>
      </c>
      <c r="M277">
        <v>82203.644110314825</v>
      </c>
      <c r="N277">
        <v>295.3123003557543</v>
      </c>
    </row>
    <row r="278" spans="2:14">
      <c r="B278">
        <v>233</v>
      </c>
      <c r="C278">
        <v>4.7098185137077735</v>
      </c>
      <c r="D278" s="10">
        <v>3.5258684961831519</v>
      </c>
      <c r="E278">
        <v>21.382234642398391</v>
      </c>
      <c r="F278">
        <v>0</v>
      </c>
      <c r="G278">
        <v>-11.433656905715734</v>
      </c>
      <c r="H278">
        <v>89.30156325013138</v>
      </c>
      <c r="I278">
        <v>838.3642709965136</v>
      </c>
      <c r="J278">
        <v>438.3642709965136</v>
      </c>
      <c r="K278">
        <v>2.1802102363481675</v>
      </c>
      <c r="L278">
        <v>0.9695007817048219</v>
      </c>
      <c r="M278">
        <v>82166.433618641473</v>
      </c>
      <c r="N278">
        <v>295.30063223852267</v>
      </c>
    </row>
    <row r="279" spans="2:14">
      <c r="B279">
        <v>234</v>
      </c>
      <c r="C279">
        <v>4.7299459432535329</v>
      </c>
      <c r="D279" s="10">
        <v>3.5062882872116328</v>
      </c>
      <c r="E279">
        <v>21.382222625708835</v>
      </c>
      <c r="F279">
        <v>0</v>
      </c>
      <c r="G279">
        <v>-11.42463360795076</v>
      </c>
      <c r="H279">
        <v>89.071614742101232</v>
      </c>
      <c r="I279">
        <v>840.15473951056504</v>
      </c>
      <c r="J279">
        <v>440.15473951056504</v>
      </c>
      <c r="K279">
        <v>2.1802102363481675</v>
      </c>
      <c r="L279">
        <v>0.9691012323446615</v>
      </c>
      <c r="M279">
        <v>82129.334384912727</v>
      </c>
      <c r="N279">
        <v>295.28899419318134</v>
      </c>
    </row>
    <row r="280" spans="2:14">
      <c r="B280">
        <v>235</v>
      </c>
      <c r="C280">
        <v>4.7500733727992923</v>
      </c>
      <c r="D280" s="10">
        <v>3.4867881894669117</v>
      </c>
      <c r="E280">
        <v>21.38221064005527</v>
      </c>
      <c r="F280">
        <v>0</v>
      </c>
      <c r="G280">
        <v>-11.415647215109171</v>
      </c>
      <c r="H280">
        <v>88.841847107059877</v>
      </c>
      <c r="I280">
        <v>841.9405852129845</v>
      </c>
      <c r="J280">
        <v>441.9405852129845</v>
      </c>
      <c r="K280">
        <v>2.1802102363481675</v>
      </c>
      <c r="L280">
        <v>0.96870286341434486</v>
      </c>
      <c r="M280">
        <v>82092.346209278316</v>
      </c>
      <c r="N280">
        <v>295.27738619611563</v>
      </c>
    </row>
    <row r="281" spans="2:14">
      <c r="B281">
        <v>236</v>
      </c>
      <c r="C281">
        <v>4.7702008023450517</v>
      </c>
      <c r="D281" s="10">
        <v>3.4673678865685886</v>
      </c>
      <c r="E281">
        <v>21.382198685413336</v>
      </c>
      <c r="F281">
        <v>0</v>
      </c>
      <c r="G281">
        <v>-11.406697581228466</v>
      </c>
      <c r="H281">
        <v>88.612259605143919</v>
      </c>
      <c r="I281">
        <v>843.72181172194291</v>
      </c>
      <c r="J281">
        <v>443.72181172194291</v>
      </c>
      <c r="K281">
        <v>2.1802102363481675</v>
      </c>
      <c r="L281">
        <v>0.96830567290327674</v>
      </c>
      <c r="M281">
        <v>82055.468892717807</v>
      </c>
      <c r="N281">
        <v>295.26580822380737</v>
      </c>
    </row>
    <row r="282" spans="2:14">
      <c r="B282">
        <v>237</v>
      </c>
      <c r="C282">
        <v>4.7903282318908111</v>
      </c>
      <c r="D282" s="10">
        <v>3.4480270639487607</v>
      </c>
      <c r="E282">
        <v>21.38218676175876</v>
      </c>
      <c r="F282">
        <v>0</v>
      </c>
      <c r="G282">
        <v>-11.397784561182835</v>
      </c>
      <c r="H282">
        <v>88.382851499410961</v>
      </c>
      <c r="I282">
        <v>845.49842264080792</v>
      </c>
      <c r="J282">
        <v>445.49842264080792</v>
      </c>
      <c r="K282">
        <v>2.1802102363481675</v>
      </c>
      <c r="L282">
        <v>0.96790965880912838</v>
      </c>
      <c r="M282">
        <v>82018.702237036443</v>
      </c>
      <c r="N282">
        <v>295.25426025283474</v>
      </c>
    </row>
    <row r="283" spans="2:14">
      <c r="B283">
        <v>238</v>
      </c>
      <c r="C283">
        <v>4.8104556614365706</v>
      </c>
      <c r="D283" s="10">
        <v>3.428765408840567</v>
      </c>
      <c r="E283">
        <v>21.382174869067388</v>
      </c>
      <c r="F283">
        <v>0</v>
      </c>
      <c r="G283">
        <v>-11.388908010677863</v>
      </c>
      <c r="H283">
        <v>88.153622055822908</v>
      </c>
      <c r="I283">
        <v>847.2704215582022</v>
      </c>
      <c r="J283">
        <v>447.2704215582022</v>
      </c>
      <c r="K283">
        <v>2.1802102363481675</v>
      </c>
      <c r="L283">
        <v>0.96751481913780979</v>
      </c>
      <c r="M283">
        <v>81982.046044862189</v>
      </c>
      <c r="N283">
        <v>295.2427422598717</v>
      </c>
    </row>
    <row r="284" spans="2:14">
      <c r="B284">
        <v>239</v>
      </c>
      <c r="C284">
        <v>4.83058309098233</v>
      </c>
      <c r="D284" s="10">
        <v>3.4095826102667863</v>
      </c>
      <c r="E284">
        <v>21.382163007315157</v>
      </c>
      <c r="F284">
        <v>0</v>
      </c>
      <c r="G284">
        <v>-11.380067786245265</v>
      </c>
      <c r="H284">
        <v>87.924570543229279</v>
      </c>
      <c r="I284">
        <v>849.03781204806114</v>
      </c>
      <c r="J284">
        <v>449.03781204806114</v>
      </c>
      <c r="K284">
        <v>2.1802102363481675</v>
      </c>
      <c r="L284">
        <v>0.96712115190343351</v>
      </c>
      <c r="M284">
        <v>81945.500119642122</v>
      </c>
      <c r="N284">
        <v>295.23125422168761</v>
      </c>
    </row>
    <row r="285" spans="2:14">
      <c r="B285">
        <v>240</v>
      </c>
      <c r="C285">
        <v>4.8507105205280894</v>
      </c>
      <c r="D285" s="10">
        <v>3.3904783590285517</v>
      </c>
      <c r="E285">
        <v>21.382151176478096</v>
      </c>
      <c r="F285">
        <v>0</v>
      </c>
      <c r="G285">
        <v>-11.371263745237659</v>
      </c>
      <c r="H285">
        <v>87.695696233350759</v>
      </c>
      <c r="I285">
        <v>850.80059766969077</v>
      </c>
      <c r="J285">
        <v>450.80059766969077</v>
      </c>
      <c r="K285">
        <v>2.1802102363481675</v>
      </c>
      <c r="L285">
        <v>0.96672865512828421</v>
      </c>
      <c r="M285">
        <v>81909.064265639347</v>
      </c>
      <c r="N285">
        <v>295.21979611514701</v>
      </c>
    </row>
    <row r="286" spans="2:14">
      <c r="B286">
        <v>241</v>
      </c>
      <c r="C286">
        <v>4.8708379500738488</v>
      </c>
      <c r="D286" s="10">
        <v>3.3714523476941203</v>
      </c>
      <c r="E286">
        <v>21.382139376532344</v>
      </c>
      <c r="F286">
        <v>0</v>
      </c>
      <c r="G286">
        <v>-11.362495745823384</v>
      </c>
      <c r="H286">
        <v>87.466998400762705</v>
      </c>
      <c r="I286">
        <v>852.55878196782487</v>
      </c>
      <c r="J286">
        <v>452.55878196782487</v>
      </c>
      <c r="K286">
        <v>2.1802102363481675</v>
      </c>
      <c r="L286">
        <v>0.9663373268427824</v>
      </c>
      <c r="M286">
        <v>81872.738287929373</v>
      </c>
      <c r="N286">
        <v>295.20836791720916</v>
      </c>
    </row>
    <row r="287" spans="2:14">
      <c r="B287">
        <v>242</v>
      </c>
      <c r="C287">
        <v>4.8909653796196082</v>
      </c>
      <c r="D287" s="10">
        <v>3.3525042705877679</v>
      </c>
      <c r="E287">
        <v>21.382127607454127</v>
      </c>
      <c r="F287">
        <v>0</v>
      </c>
      <c r="G287">
        <v>-11.35376364698136</v>
      </c>
      <c r="H287">
        <v>87.238476322878881</v>
      </c>
      <c r="I287">
        <v>854.3123684726819</v>
      </c>
      <c r="J287">
        <v>454.3123684726819</v>
      </c>
      <c r="K287">
        <v>2.1802102363481675</v>
      </c>
      <c r="L287">
        <v>0.96594716508545642</v>
      </c>
      <c r="M287">
        <v>81836.52199239716</v>
      </c>
      <c r="N287">
        <v>295.19696960492757</v>
      </c>
    </row>
    <row r="288" spans="2:14">
      <c r="B288">
        <v>243</v>
      </c>
      <c r="C288">
        <v>4.9110928091653676</v>
      </c>
      <c r="D288" s="10">
        <v>3.3336338237787477</v>
      </c>
      <c r="E288">
        <v>21.382115869219778</v>
      </c>
      <c r="F288">
        <v>0</v>
      </c>
      <c r="G288">
        <v>-11.345067308495983</v>
      </c>
      <c r="H288">
        <v>87.010129279935228</v>
      </c>
      <c r="I288">
        <v>856.06136070002185</v>
      </c>
      <c r="J288">
        <v>456.06136070002185</v>
      </c>
      <c r="K288">
        <v>2.1802102363481675</v>
      </c>
      <c r="L288">
        <v>0.96555816790290994</v>
      </c>
      <c r="M288">
        <v>81800.415185733887</v>
      </c>
      <c r="N288">
        <v>295.18560115544983</v>
      </c>
    </row>
    <row r="289" spans="2:14">
      <c r="B289">
        <v>244</v>
      </c>
      <c r="C289">
        <v>4.931220238711127</v>
      </c>
      <c r="D289" s="10">
        <v>3.3148407050703139</v>
      </c>
      <c r="E289">
        <v>21.382104161805707</v>
      </c>
      <c r="F289">
        <v>0</v>
      </c>
      <c r="G289">
        <v>-11.336406590952064</v>
      </c>
      <c r="H289">
        <v>86.78195655497376</v>
      </c>
      <c r="I289">
        <v>857.80576215120232</v>
      </c>
      <c r="J289">
        <v>457.80576215120232</v>
      </c>
      <c r="K289">
        <v>2.1802102363481675</v>
      </c>
      <c r="L289">
        <v>0.96517033334978286</v>
      </c>
      <c r="M289">
        <v>81764.417675433113</v>
      </c>
      <c r="N289">
        <v>295.17426254601719</v>
      </c>
    </row>
    <row r="290" spans="2:14">
      <c r="B290">
        <v>245</v>
      </c>
      <c r="C290">
        <v>4.9513476682568864</v>
      </c>
      <c r="D290" s="10">
        <v>3.296124613988888</v>
      </c>
      <c r="E290">
        <v>21.382092485188455</v>
      </c>
      <c r="F290">
        <v>0</v>
      </c>
      <c r="G290">
        <v>-11.327781355729794</v>
      </c>
      <c r="H290">
        <v>86.55395743382654</v>
      </c>
      <c r="I290">
        <v>859.54557631323462</v>
      </c>
      <c r="J290">
        <v>459.54557631323462</v>
      </c>
      <c r="K290">
        <v>2.1802102363481675</v>
      </c>
      <c r="L290">
        <v>0.96478365948873046</v>
      </c>
      <c r="M290">
        <v>81728.5292697884</v>
      </c>
      <c r="N290">
        <v>295.16295375396396</v>
      </c>
    </row>
    <row r="291" spans="2:14">
      <c r="B291">
        <v>246</v>
      </c>
      <c r="C291">
        <v>4.9714750978026458</v>
      </c>
      <c r="D291" s="10">
        <v>3.2774852517732409</v>
      </c>
      <c r="E291">
        <v>21.382080839344628</v>
      </c>
      <c r="F291">
        <v>0</v>
      </c>
      <c r="G291">
        <v>-11.319191464999786</v>
      </c>
      <c r="H291">
        <v>86.326131205099799</v>
      </c>
      <c r="I291">
        <v>861.28080665883954</v>
      </c>
      <c r="J291">
        <v>461.28080665883954</v>
      </c>
      <c r="K291">
        <v>2.1802102363481675</v>
      </c>
      <c r="L291">
        <v>0.96439814439038074</v>
      </c>
      <c r="M291">
        <v>81692.749777889287</v>
      </c>
      <c r="N291">
        <v>295.15167475671757</v>
      </c>
    </row>
    <row r="292" spans="2:14">
      <c r="B292">
        <v>247</v>
      </c>
      <c r="C292">
        <v>4.9916025273484053</v>
      </c>
      <c r="D292" s="10">
        <v>3.2589223213638108</v>
      </c>
      <c r="E292">
        <v>21.382069224250941</v>
      </c>
      <c r="F292">
        <v>0</v>
      </c>
      <c r="G292">
        <v>-11.310636781718088</v>
      </c>
      <c r="H292">
        <v>86.098477160158083</v>
      </c>
      <c r="I292">
        <v>863.01145664650267</v>
      </c>
      <c r="J292">
        <v>463.01145664650267</v>
      </c>
      <c r="K292">
        <v>2.1802102363481675</v>
      </c>
      <c r="L292">
        <v>0.96401378613331035</v>
      </c>
      <c r="M292">
        <v>81657.079009618639</v>
      </c>
      <c r="N292">
        <v>295.14042553179775</v>
      </c>
    </row>
    <row r="293" spans="2:14">
      <c r="B293">
        <v>248</v>
      </c>
      <c r="C293">
        <v>5.0117299568941647</v>
      </c>
      <c r="D293" s="10">
        <v>3.2404355273920884</v>
      </c>
      <c r="E293">
        <v>21.382057639884202</v>
      </c>
      <c r="F293">
        <v>0</v>
      </c>
      <c r="G293">
        <v>-11.302117169621308</v>
      </c>
      <c r="H293">
        <v>85.870994593108605</v>
      </c>
      <c r="I293">
        <v>864.73752972052921</v>
      </c>
      <c r="J293">
        <v>464.73752972052921</v>
      </c>
      <c r="K293">
        <v>2.1802102363481675</v>
      </c>
      <c r="L293">
        <v>0.96363058280401281</v>
      </c>
      <c r="M293">
        <v>81621.516775649507</v>
      </c>
      <c r="N293">
        <v>295.12920605681654</v>
      </c>
    </row>
    <row r="294" spans="2:14">
      <c r="B294">
        <v>249</v>
      </c>
      <c r="C294">
        <v>5.0318573864399241</v>
      </c>
      <c r="D294" s="10">
        <v>3.2220245761700577</v>
      </c>
      <c r="E294">
        <v>21.382046086221322</v>
      </c>
      <c r="F294">
        <v>0</v>
      </c>
      <c r="G294">
        <v>-11.293632493221729</v>
      </c>
      <c r="H294">
        <v>85.643682800785584</v>
      </c>
      <c r="I294">
        <v>866.45902931109902</v>
      </c>
      <c r="J294">
        <v>466.45902931109902</v>
      </c>
      <c r="K294">
        <v>2.1802102363481675</v>
      </c>
      <c r="L294">
        <v>0.96324853249686282</v>
      </c>
      <c r="M294">
        <v>81586.062887441571</v>
      </c>
      <c r="N294">
        <v>295.11801630947787</v>
      </c>
    </row>
    <row r="295" spans="2:14">
      <c r="B295">
        <v>250</v>
      </c>
      <c r="C295">
        <v>5.0519848159856835</v>
      </c>
      <c r="D295" s="10">
        <v>3.2036891756797523</v>
      </c>
      <c r="E295">
        <v>21.382034563239294</v>
      </c>
      <c r="F295">
        <v>0</v>
      </c>
      <c r="G295">
        <v>-11.285182617802482</v>
      </c>
      <c r="H295">
        <v>85.416541082734739</v>
      </c>
      <c r="I295">
        <v>868.1759588343208</v>
      </c>
      <c r="J295">
        <v>468.1759588343208</v>
      </c>
      <c r="K295">
        <v>2.1802102363481675</v>
      </c>
      <c r="L295">
        <v>0.96286763331408765</v>
      </c>
      <c r="M295">
        <v>81550.717157238134</v>
      </c>
      <c r="N295">
        <v>295.10685626757692</v>
      </c>
    </row>
    <row r="296" spans="2:14">
      <c r="B296">
        <v>251</v>
      </c>
      <c r="C296">
        <v>5.0721122455314429</v>
      </c>
      <c r="D296" s="10">
        <v>3.1854290355628829</v>
      </c>
      <c r="E296">
        <v>21.38202307091521</v>
      </c>
      <c r="F296">
        <v>0</v>
      </c>
      <c r="G296">
        <v>-11.276767409412733</v>
      </c>
      <c r="H296">
        <v>85.18956874119786</v>
      </c>
      <c r="I296">
        <v>869.88832169228635</v>
      </c>
      <c r="J296">
        <v>469.88832169228635</v>
      </c>
      <c r="K296">
        <v>2.1802102363481675</v>
      </c>
      <c r="L296">
        <v>0.96248788336573921</v>
      </c>
      <c r="M296">
        <v>81515.479398063369</v>
      </c>
      <c r="N296">
        <v>295.09572590900012</v>
      </c>
    </row>
    <row r="297" spans="2:14">
      <c r="B297">
        <v>252</v>
      </c>
      <c r="C297">
        <v>5.0922396750772023</v>
      </c>
      <c r="D297" s="10">
        <v>3.1672438671105252</v>
      </c>
      <c r="E297">
        <v>21.382011609226254</v>
      </c>
      <c r="F297">
        <v>0</v>
      </c>
      <c r="G297">
        <v>-11.268386734862943</v>
      </c>
      <c r="H297">
        <v>84.96276508109753</v>
      </c>
      <c r="I297">
        <v>871.59612127312437</v>
      </c>
      <c r="J297">
        <v>471.59612127312437</v>
      </c>
      <c r="K297">
        <v>2.1802102363481675</v>
      </c>
      <c r="L297">
        <v>0.96210928076965674</v>
      </c>
      <c r="M297">
        <v>81480.349423718581</v>
      </c>
      <c r="N297">
        <v>295.0846252117247</v>
      </c>
    </row>
    <row r="298" spans="2:14">
      <c r="B298">
        <v>253</v>
      </c>
      <c r="C298">
        <v>5.1123671046229617</v>
      </c>
      <c r="D298" s="10">
        <v>3.149133383252932</v>
      </c>
      <c r="E298">
        <v>21.382000178149713</v>
      </c>
      <c r="F298">
        <v>0</v>
      </c>
      <c r="G298">
        <v>-11.260040461720132</v>
      </c>
      <c r="H298">
        <v>84.73612941002186</v>
      </c>
      <c r="I298">
        <v>873.29936095105393</v>
      </c>
      <c r="J298">
        <v>473.29936095105393</v>
      </c>
      <c r="K298">
        <v>2.1802102363481675</v>
      </c>
      <c r="L298">
        <v>0.96173182365144683</v>
      </c>
      <c r="M298">
        <v>81445.327048779989</v>
      </c>
      <c r="N298">
        <v>295.07355415381812</v>
      </c>
    </row>
    <row r="299" spans="2:14">
      <c r="B299">
        <v>254</v>
      </c>
      <c r="C299">
        <v>5.1324945341687211</v>
      </c>
      <c r="D299" s="10">
        <v>3.1310972985493484</v>
      </c>
      <c r="E299">
        <v>21.381988777662958</v>
      </c>
      <c r="F299">
        <v>0</v>
      </c>
      <c r="G299">
        <v>-11.25172845830321</v>
      </c>
      <c r="H299">
        <v>84.509661038209344</v>
      </c>
      <c r="I299">
        <v>874.99804408643752</v>
      </c>
      <c r="J299">
        <v>474.99804408643752</v>
      </c>
      <c r="K299">
        <v>2.1802102363481675</v>
      </c>
      <c r="L299">
        <v>0.96135551014443987</v>
      </c>
      <c r="M299">
        <v>81410.412088594618</v>
      </c>
      <c r="N299">
        <v>295.06251271343814</v>
      </c>
    </row>
    <row r="300" spans="2:14">
      <c r="B300">
        <v>255</v>
      </c>
      <c r="C300">
        <v>5.1526219637144806</v>
      </c>
      <c r="D300" s="10">
        <v>3.1131353291779909</v>
      </c>
      <c r="E300">
        <v>21.381977407743456</v>
      </c>
      <c r="F300">
        <v>0</v>
      </c>
      <c r="G300">
        <v>-11.243450593678299</v>
      </c>
      <c r="H300">
        <v>84.283359278533851</v>
      </c>
      <c r="I300">
        <v>876.69217402583422</v>
      </c>
      <c r="J300">
        <v>476.69217402583422</v>
      </c>
      <c r="K300">
        <v>2.1802102363481675</v>
      </c>
      <c r="L300">
        <v>0.96098033838967156</v>
      </c>
      <c r="M300">
        <v>81375.604359278179</v>
      </c>
      <c r="N300">
        <v>295.05150086883208</v>
      </c>
    </row>
    <row r="301" spans="2:14">
      <c r="B301">
        <v>256</v>
      </c>
      <c r="C301">
        <v>5.17274939326024</v>
      </c>
      <c r="D301" s="10">
        <v>3.0952471929260432</v>
      </c>
      <c r="E301">
        <v>21.381966068368762</v>
      </c>
      <c r="F301">
        <v>0</v>
      </c>
      <c r="G301">
        <v>-11.235206737654135</v>
      </c>
      <c r="H301">
        <v>84.057223446489672</v>
      </c>
      <c r="I301">
        <v>878.38175410205201</v>
      </c>
      <c r="J301">
        <v>478.38175410205201</v>
      </c>
      <c r="K301">
        <v>2.1802102363481675</v>
      </c>
      <c r="L301">
        <v>0.960606306535847</v>
      </c>
      <c r="M301">
        <v>81340.903677711525</v>
      </c>
      <c r="N301">
        <v>295.04051859833669</v>
      </c>
    </row>
    <row r="302" spans="2:14">
      <c r="B302">
        <v>257</v>
      </c>
      <c r="C302">
        <v>5.1928768228059994</v>
      </c>
      <c r="D302" s="10">
        <v>3.0774326091797515</v>
      </c>
      <c r="E302">
        <v>21.381954759516532</v>
      </c>
      <c r="F302">
        <v>0</v>
      </c>
      <c r="G302">
        <v>-11.226996760777491</v>
      </c>
      <c r="H302">
        <v>83.831252860176647</v>
      </c>
      <c r="I302">
        <v>880.0667876342003</v>
      </c>
      <c r="J302">
        <v>480.0667876342003</v>
      </c>
      <c r="K302">
        <v>2.1802102363481675</v>
      </c>
      <c r="L302">
        <v>0.96023341273931295</v>
      </c>
      <c r="M302">
        <v>81306.30986153784</v>
      </c>
      <c r="N302">
        <v>295.02956588037767</v>
      </c>
    </row>
    <row r="303" spans="2:14">
      <c r="B303">
        <v>258</v>
      </c>
      <c r="C303">
        <v>5.2130042523517588</v>
      </c>
      <c r="D303" s="10">
        <v>3.0596912989145855</v>
      </c>
      <c r="E303">
        <v>21.381943481164516</v>
      </c>
      <c r="F303">
        <v>0</v>
      </c>
      <c r="G303">
        <v>-11.218820534328623</v>
      </c>
      <c r="H303">
        <v>83.605446840285424</v>
      </c>
      <c r="I303">
        <v>881.74727792774172</v>
      </c>
      <c r="J303">
        <v>481.74727792774172</v>
      </c>
      <c r="K303">
        <v>2.1802102363481675</v>
      </c>
      <c r="L303">
        <v>0.95986165516402644</v>
      </c>
      <c r="M303">
        <v>81271.822729159525</v>
      </c>
      <c r="N303">
        <v>295.0186426934697</v>
      </c>
    </row>
    <row r="304" spans="2:14">
      <c r="B304">
        <v>259</v>
      </c>
      <c r="C304">
        <v>5.2331316818975182</v>
      </c>
      <c r="D304" s="10">
        <v>3.0420229846854898</v>
      </c>
      <c r="E304">
        <v>21.381932233290534</v>
      </c>
      <c r="F304">
        <v>0</v>
      </c>
      <c r="G304">
        <v>-11.210677930316766</v>
      </c>
      <c r="H304">
        <v>83.379804710082766</v>
      </c>
      <c r="I304">
        <v>883.42322827454404</v>
      </c>
      <c r="J304">
        <v>483.42322827454404</v>
      </c>
      <c r="K304">
        <v>2.1802102363481675</v>
      </c>
      <c r="L304">
        <v>0.95949103198152808</v>
      </c>
      <c r="M304">
        <v>81237.442099735359</v>
      </c>
      <c r="N304">
        <v>295.00774901621548</v>
      </c>
    </row>
    <row r="305" spans="2:14">
      <c r="B305">
        <v>260</v>
      </c>
      <c r="C305">
        <v>5.2532591114432776</v>
      </c>
      <c r="D305" s="10">
        <v>3.0244273906171952</v>
      </c>
      <c r="E305">
        <v>21.381921015872518</v>
      </c>
      <c r="F305">
        <v>0</v>
      </c>
      <c r="G305">
        <v>-11.202568821475642</v>
      </c>
      <c r="H305">
        <v>83.154325795396986</v>
      </c>
      <c r="I305">
        <v>885.0946419529314</v>
      </c>
      <c r="J305">
        <v>485.0946419529314</v>
      </c>
      <c r="K305">
        <v>2.1802102363481675</v>
      </c>
      <c r="L305">
        <v>0.95912154137091132</v>
      </c>
      <c r="M305">
        <v>81203.16779317749</v>
      </c>
      <c r="N305">
        <v>294.99688482730596</v>
      </c>
    </row>
    <row r="306" spans="2:14">
      <c r="B306">
        <v>261</v>
      </c>
      <c r="C306">
        <v>5.273386540989037</v>
      </c>
      <c r="D306" s="10">
        <v>3.0069042423946004</v>
      </c>
      <c r="E306">
        <v>21.381909828888489</v>
      </c>
      <c r="F306">
        <v>0</v>
      </c>
      <c r="G306">
        <v>-11.194493081259047</v>
      </c>
      <c r="H306">
        <v>82.92900942460345</v>
      </c>
      <c r="I306">
        <v>886.76152222773544</v>
      </c>
      <c r="J306">
        <v>486.76152222773544</v>
      </c>
      <c r="K306">
        <v>2.1802102363481675</v>
      </c>
      <c r="L306">
        <v>0.95875318151879085</v>
      </c>
      <c r="M306">
        <v>81168.999630148275</v>
      </c>
      <c r="N306">
        <v>294.98605010551972</v>
      </c>
    </row>
    <row r="307" spans="2:14">
      <c r="B307">
        <v>262</v>
      </c>
      <c r="C307">
        <v>5.2935139705347964</v>
      </c>
      <c r="D307" s="10">
        <v>2.9894532672532579</v>
      </c>
      <c r="E307">
        <v>21.381898672316552</v>
      </c>
      <c r="F307">
        <v>0</v>
      </c>
      <c r="G307">
        <v>-11.186450583836416</v>
      </c>
      <c r="H307">
        <v>82.703854928610156</v>
      </c>
      <c r="I307">
        <v>888.4238723503463</v>
      </c>
      <c r="J307">
        <v>488.4238723503463</v>
      </c>
      <c r="K307">
        <v>2.1802102363481675</v>
      </c>
      <c r="L307">
        <v>0.95838595061928133</v>
      </c>
      <c r="M307">
        <v>81134.937432057966</v>
      </c>
      <c r="N307">
        <v>294.97524482972273</v>
      </c>
    </row>
    <row r="308" spans="2:14">
      <c r="B308">
        <v>263</v>
      </c>
      <c r="C308">
        <v>5.3136414000805559</v>
      </c>
      <c r="D308" s="10">
        <v>2.9720741939698856</v>
      </c>
      <c r="E308">
        <v>21.381887546134905</v>
      </c>
      <c r="F308">
        <v>0</v>
      </c>
      <c r="G308">
        <v>-11.178441204088466</v>
      </c>
      <c r="H308">
        <v>82.478861640843448</v>
      </c>
      <c r="I308">
        <v>890.08169555876293</v>
      </c>
      <c r="J308">
        <v>490.08169555876293</v>
      </c>
      <c r="K308">
        <v>2.1802102363481675</v>
      </c>
      <c r="L308">
        <v>0.9580198468739608</v>
      </c>
      <c r="M308">
        <v>81100.981021061176</v>
      </c>
      <c r="N308">
        <v>294.96446897886807</v>
      </c>
    </row>
    <row r="309" spans="2:14">
      <c r="B309">
        <v>264</v>
      </c>
      <c r="C309">
        <v>5.3337688296263153</v>
      </c>
      <c r="D309" s="10">
        <v>2.9547667528529784</v>
      </c>
      <c r="E309">
        <v>21.381876450321833</v>
      </c>
      <c r="F309">
        <v>0</v>
      </c>
      <c r="G309">
        <v>-11.170464817602847</v>
      </c>
      <c r="H309">
        <v>82.254028897233752</v>
      </c>
      <c r="I309">
        <v>891.73499507764359</v>
      </c>
      <c r="J309">
        <v>491.73499507764359</v>
      </c>
      <c r="K309">
        <v>2.1802102363481675</v>
      </c>
      <c r="L309">
        <v>0.95765486849184367</v>
      </c>
      <c r="M309">
        <v>81067.130220054067</v>
      </c>
      <c r="N309">
        <v>294.95372253199531</v>
      </c>
    </row>
    <row r="310" spans="2:14">
      <c r="B310">
        <v>265</v>
      </c>
      <c r="C310">
        <v>5.3538962591720747</v>
      </c>
      <c r="D310" s="10">
        <v>2.9375306757335036</v>
      </c>
      <c r="E310">
        <v>21.381865384855711</v>
      </c>
      <c r="F310">
        <v>0</v>
      </c>
      <c r="G310">
        <v>-11.162521300669825</v>
      </c>
      <c r="H310">
        <v>82.029356036201477</v>
      </c>
      <c r="I310">
        <v>893.38377411835563</v>
      </c>
      <c r="J310">
        <v>493.38377411835563</v>
      </c>
      <c r="K310">
        <v>2.1802102363481675</v>
      </c>
      <c r="L310">
        <v>0.95729101368935721</v>
      </c>
      <c r="M310">
        <v>81033.384852671967</v>
      </c>
      <c r="N310">
        <v>294.94300546823069</v>
      </c>
    </row>
    <row r="311" spans="2:14">
      <c r="B311">
        <v>266</v>
      </c>
      <c r="C311">
        <v>5.3740236887178341</v>
      </c>
      <c r="D311" s="10">
        <v>2.920365695955629</v>
      </c>
      <c r="E311">
        <v>21.38185434971501</v>
      </c>
      <c r="F311">
        <v>0</v>
      </c>
      <c r="G311">
        <v>-11.154610530278028</v>
      </c>
      <c r="H311">
        <v>81.804842398642919</v>
      </c>
      <c r="I311">
        <v>895.02803587902531</v>
      </c>
      <c r="J311">
        <v>495.02803587902531</v>
      </c>
      <c r="K311">
        <v>2.1802102363481675</v>
      </c>
      <c r="L311">
        <v>0.95692828069030755</v>
      </c>
      <c r="M311">
        <v>80999.744743285977</v>
      </c>
      <c r="N311">
        <v>294.93231776678635</v>
      </c>
    </row>
    <row r="312" spans="2:14">
      <c r="B312">
        <v>267</v>
      </c>
      <c r="C312">
        <v>5.3941511182635935</v>
      </c>
      <c r="D312" s="10">
        <v>2.9032715483675595</v>
      </c>
      <c r="E312">
        <v>21.381843344878277</v>
      </c>
      <c r="F312">
        <v>0</v>
      </c>
      <c r="G312">
        <v>-11.146732384110186</v>
      </c>
      <c r="H312">
        <v>81.580487327916302</v>
      </c>
      <c r="I312">
        <v>896.667783544587</v>
      </c>
      <c r="J312">
        <v>496.667783544587</v>
      </c>
      <c r="K312">
        <v>2.1802102363481675</v>
      </c>
      <c r="L312">
        <v>0.95656666772585619</v>
      </c>
      <c r="M312">
        <v>80966.2097170005</v>
      </c>
      <c r="N312">
        <v>294.9216594069602</v>
      </c>
    </row>
    <row r="313" spans="2:14">
      <c r="B313">
        <v>268</v>
      </c>
      <c r="C313">
        <v>5.4142785478093529</v>
      </c>
      <c r="D313" s="10">
        <v>2.8862479693124086</v>
      </c>
      <c r="E313">
        <v>21.381832370324165</v>
      </c>
      <c r="F313">
        <v>0</v>
      </c>
      <c r="G313">
        <v>-11.138886740538924</v>
      </c>
      <c r="H313">
        <v>81.356290169827901</v>
      </c>
      <c r="I313">
        <v>898.30302028683275</v>
      </c>
      <c r="J313">
        <v>498.30302028683275</v>
      </c>
      <c r="K313">
        <v>2.1802102363481675</v>
      </c>
      <c r="L313">
        <v>0.95620617303448796</v>
      </c>
      <c r="M313">
        <v>80932.779599650137</v>
      </c>
      <c r="N313">
        <v>294.91103036813558</v>
      </c>
    </row>
    <row r="314" spans="2:14">
      <c r="B314">
        <v>269</v>
      </c>
      <c r="C314">
        <v>5.4344059773551123</v>
      </c>
      <c r="D314" s="10">
        <v>2.8692946966191766</v>
      </c>
      <c r="E314">
        <v>21.381821426031397</v>
      </c>
      <c r="F314">
        <v>0</v>
      </c>
      <c r="G314">
        <v>-11.131073478622589</v>
      </c>
      <c r="H314">
        <v>81.132250272618251</v>
      </c>
      <c r="I314">
        <v>899.93374926446052</v>
      </c>
      <c r="J314">
        <v>499.93374926446052</v>
      </c>
      <c r="K314">
        <v>2.1802102363481675</v>
      </c>
      <c r="L314">
        <v>0.95584679486198754</v>
      </c>
      <c r="M314">
        <v>80899.454217797174</v>
      </c>
      <c r="N314">
        <v>294.900430629781</v>
      </c>
    </row>
    <row r="315" spans="2:14">
      <c r="B315">
        <v>270</v>
      </c>
      <c r="C315">
        <v>5.4545334069008717</v>
      </c>
      <c r="D315" s="10">
        <v>2.8524114695937546</v>
      </c>
      <c r="E315">
        <v>21.381810511978795</v>
      </c>
      <c r="F315">
        <v>0</v>
      </c>
      <c r="G315">
        <v>-11.123292478101092</v>
      </c>
      <c r="H315">
        <v>80.908366986948394</v>
      </c>
      <c r="I315">
        <v>901.55997362312337</v>
      </c>
      <c r="J315">
        <v>501.55997362312337</v>
      </c>
      <c r="K315">
        <v>2.1802102363481675</v>
      </c>
      <c r="L315">
        <v>0.95548853146140722</v>
      </c>
      <c r="M315">
        <v>80866.233398728436</v>
      </c>
      <c r="N315">
        <v>294.8898601714497</v>
      </c>
    </row>
    <row r="316" spans="2:14">
      <c r="B316">
        <v>271</v>
      </c>
      <c r="C316">
        <v>5.4746608364466312</v>
      </c>
      <c r="D316" s="10">
        <v>2.8355980290100318</v>
      </c>
      <c r="E316">
        <v>21.381799628145266</v>
      </c>
      <c r="F316">
        <v>0</v>
      </c>
      <c r="G316">
        <v>-11.115543619391795</v>
      </c>
      <c r="H316">
        <v>80.684639665886266</v>
      </c>
      <c r="I316">
        <v>903.18169649547747</v>
      </c>
      <c r="J316">
        <v>503.18169649547747</v>
      </c>
      <c r="K316">
        <v>2.1802102363481675</v>
      </c>
      <c r="L316">
        <v>0.95513138109304285</v>
      </c>
      <c r="M316">
        <v>80833.1169704528</v>
      </c>
      <c r="N316">
        <v>294.8793189727794</v>
      </c>
    </row>
    <row r="317" spans="2:14">
      <c r="B317">
        <v>272</v>
      </c>
      <c r="C317">
        <v>5.4947882659923906</v>
      </c>
      <c r="D317" s="10">
        <v>2.8188541171010573</v>
      </c>
      <c r="E317">
        <v>21.381788774509804</v>
      </c>
      <c r="F317">
        <v>0</v>
      </c>
      <c r="G317">
        <v>-11.107826783585432</v>
      </c>
      <c r="H317">
        <v>80.46106766489315</v>
      </c>
      <c r="I317">
        <v>904.79892100123004</v>
      </c>
      <c r="J317">
        <v>504.79892100123004</v>
      </c>
      <c r="K317">
        <v>2.1802102363481675</v>
      </c>
      <c r="L317">
        <v>0.95477534202440684</v>
      </c>
      <c r="M317">
        <v>80800.104761698429</v>
      </c>
      <c r="N317">
        <v>294.86880701349202</v>
      </c>
    </row>
    <row r="318" spans="2:14">
      <c r="B318">
        <v>273</v>
      </c>
      <c r="C318">
        <v>5.51491569553815</v>
      </c>
      <c r="D318" s="10">
        <v>2.8021794775502613</v>
      </c>
      <c r="E318">
        <v>21.381777951051482</v>
      </c>
      <c r="F318">
        <v>0</v>
      </c>
      <c r="G318">
        <v>-11.100141852442047</v>
      </c>
      <c r="H318">
        <v>80.237650341810181</v>
      </c>
      <c r="I318">
        <v>906.41165024718725</v>
      </c>
      <c r="J318">
        <v>506.41165024718725</v>
      </c>
      <c r="K318">
        <v>2.1802102363481675</v>
      </c>
      <c r="L318">
        <v>0.95442041253019927</v>
      </c>
      <c r="M318">
        <v>80767.196601909905</v>
      </c>
      <c r="N318">
        <v>294.85832427339329</v>
      </c>
    </row>
    <row r="319" spans="2:14">
      <c r="B319">
        <v>274</v>
      </c>
      <c r="C319">
        <v>5.5350431250839094</v>
      </c>
      <c r="D319" s="10">
        <v>2.7855738554827552</v>
      </c>
      <c r="E319">
        <v>21.381767157749479</v>
      </c>
      <c r="F319">
        <v>0</v>
      </c>
      <c r="G319">
        <v>-11.092488708386973</v>
      </c>
      <c r="H319">
        <v>80.014387056844981</v>
      </c>
      <c r="I319">
        <v>908.01988732730194</v>
      </c>
      <c r="J319">
        <v>508.01988732730194</v>
      </c>
      <c r="K319">
        <v>2.1802102363481675</v>
      </c>
      <c r="L319">
        <v>0.95406659089228274</v>
      </c>
      <c r="M319">
        <v>80734.392321245658</v>
      </c>
      <c r="N319">
        <v>294.84787073237254</v>
      </c>
    </row>
    <row r="320" spans="2:14">
      <c r="B320">
        <v>275</v>
      </c>
      <c r="C320">
        <v>5.5551705546296688</v>
      </c>
      <c r="D320" s="10">
        <v>2.7690369974566833</v>
      </c>
      <c r="E320">
        <v>21.381756394583046</v>
      </c>
      <c r="F320">
        <v>0</v>
      </c>
      <c r="G320">
        <v>-11.084867234506849</v>
      </c>
      <c r="H320">
        <v>79.791277172558338</v>
      </c>
      <c r="I320">
        <v>909.62363532272036</v>
      </c>
      <c r="J320">
        <v>509.62363532272036</v>
      </c>
      <c r="K320">
        <v>2.1802102363481675</v>
      </c>
      <c r="L320">
        <v>0.95371387539965335</v>
      </c>
      <c r="M320">
        <v>80701.691750575046</v>
      </c>
      <c r="N320">
        <v>294.83744637040229</v>
      </c>
    </row>
    <row r="321" spans="2:14">
      <c r="B321">
        <v>276</v>
      </c>
      <c r="C321">
        <v>5.5752979841754282</v>
      </c>
      <c r="D321" s="10">
        <v>2.7525686514546508</v>
      </c>
      <c r="E321">
        <v>21.381745661531511</v>
      </c>
      <c r="F321">
        <v>0</v>
      </c>
      <c r="G321">
        <v>-11.077277314545634</v>
      </c>
      <c r="H321">
        <v>79.568320053850982</v>
      </c>
      <c r="I321">
        <v>911.22289730182945</v>
      </c>
      <c r="J321">
        <v>511.22289730182945</v>
      </c>
      <c r="K321">
        <v>2.1802102363481675</v>
      </c>
      <c r="L321">
        <v>0.95336226434841553</v>
      </c>
      <c r="M321">
        <v>80669.094721475834</v>
      </c>
      <c r="N321">
        <v>294.82705116753812</v>
      </c>
    </row>
    <row r="322" spans="2:14">
      <c r="B322">
        <v>277</v>
      </c>
      <c r="C322">
        <v>5.5954254137211876</v>
      </c>
      <c r="D322" s="10">
        <v>2.7361685668752127</v>
      </c>
      <c r="E322">
        <v>21.381734958574313</v>
      </c>
      <c r="F322">
        <v>0</v>
      </c>
      <c r="G322">
        <v>-11.069718832900685</v>
      </c>
      <c r="H322">
        <v>79.345515067950402</v>
      </c>
      <c r="I322">
        <v>912.81767632030358</v>
      </c>
      <c r="J322">
        <v>512.81767632030358</v>
      </c>
      <c r="K322">
        <v>2.1802102363481675</v>
      </c>
      <c r="L322">
        <v>0.95301175604175581</v>
      </c>
      <c r="M322">
        <v>80636.601066231451</v>
      </c>
      <c r="N322">
        <v>294.81668510391802</v>
      </c>
    </row>
    <row r="323" spans="2:14">
      <c r="B323">
        <v>278</v>
      </c>
      <c r="C323">
        <v>5.615552843266947</v>
      </c>
      <c r="D323" s="10">
        <v>2.7198364945244276</v>
      </c>
      <c r="E323">
        <v>21.381724285690943</v>
      </c>
      <c r="F323">
        <v>0</v>
      </c>
      <c r="G323">
        <v>-11.062191674618864</v>
      </c>
      <c r="H323">
        <v>79.122861584397825</v>
      </c>
      <c r="I323">
        <v>914.40797542115081</v>
      </c>
      <c r="J323">
        <v>514.40797542115081</v>
      </c>
      <c r="K323">
        <v>2.1802102363481675</v>
      </c>
      <c r="L323">
        <v>0.95266234878991651</v>
      </c>
      <c r="M323">
        <v>80604.21061782843</v>
      </c>
      <c r="N323">
        <v>294.80634815976254</v>
      </c>
    </row>
    <row r="324" spans="2:14">
      <c r="B324">
        <v>279</v>
      </c>
      <c r="C324">
        <v>5.6356802728127064</v>
      </c>
      <c r="D324" s="10">
        <v>2.7035721866074689</v>
      </c>
      <c r="E324">
        <v>21.381713642861019</v>
      </c>
      <c r="F324">
        <v>0</v>
      </c>
      <c r="G324">
        <v>-11.054695725392643</v>
      </c>
      <c r="H324">
        <v>78.900358975035175</v>
      </c>
      <c r="I324">
        <v>915.99379763475918</v>
      </c>
      <c r="J324">
        <v>515.99379763475918</v>
      </c>
      <c r="K324">
        <v>2.1802102363481675</v>
      </c>
      <c r="L324">
        <v>0.95231404091016836</v>
      </c>
      <c r="M324">
        <v>80571.923209953573</v>
      </c>
      <c r="N324">
        <v>294.79604031537406</v>
      </c>
    </row>
    <row r="325" spans="2:14">
      <c r="B325">
        <v>280</v>
      </c>
      <c r="C325">
        <v>5.6558077023584659</v>
      </c>
      <c r="D325" s="10">
        <v>2.6873753967203089</v>
      </c>
      <c r="E325">
        <v>21.381703030064205</v>
      </c>
      <c r="F325">
        <v>0</v>
      </c>
      <c r="G325">
        <v>-11.047230871556279</v>
      </c>
      <c r="H325">
        <v>78.678006613992181</v>
      </c>
      <c r="I325">
        <v>917.57514597894249</v>
      </c>
      <c r="J325">
        <v>517.57514597894249</v>
      </c>
      <c r="K325">
        <v>2.1802102363481675</v>
      </c>
      <c r="L325">
        <v>0.95196683072678656</v>
      </c>
      <c r="M325">
        <v>80539.738676991561</v>
      </c>
      <c r="N325">
        <v>294.78576155113689</v>
      </c>
    </row>
    <row r="326" spans="2:14">
      <c r="B326">
        <v>281</v>
      </c>
      <c r="C326">
        <v>5.6759351319042253</v>
      </c>
      <c r="D326" s="10">
        <v>2.6712458798414578</v>
      </c>
      <c r="E326">
        <v>21.381692447280269</v>
      </c>
      <c r="F326">
        <v>0</v>
      </c>
      <c r="G326">
        <v>-11.039797000081975</v>
      </c>
      <c r="H326">
        <v>78.455803877673546</v>
      </c>
      <c r="I326">
        <v>919.15202345898626</v>
      </c>
      <c r="J326">
        <v>519.15202345898626</v>
      </c>
      <c r="K326">
        <v>2.1802102363481675</v>
      </c>
      <c r="L326">
        <v>0.95162071657102343</v>
      </c>
      <c r="M326">
        <v>80507.656854022178</v>
      </c>
      <c r="N326">
        <v>294.77551184751661</v>
      </c>
    </row>
    <row r="327" spans="2:14">
      <c r="B327">
        <v>282</v>
      </c>
      <c r="C327">
        <v>5.6960625614499847</v>
      </c>
      <c r="D327" s="10">
        <v>2.6551833923237562</v>
      </c>
      <c r="E327">
        <v>21.381681894489063</v>
      </c>
      <c r="F327">
        <v>0</v>
      </c>
      <c r="G327">
        <v>-11.032393998576111</v>
      </c>
      <c r="H327">
        <v>78.233750144746139</v>
      </c>
      <c r="I327">
        <v>920.72443306769276</v>
      </c>
      <c r="J327">
        <v>520.72443306769276</v>
      </c>
      <c r="K327">
        <v>2.1802102363481675</v>
      </c>
      <c r="L327">
        <v>0.9512756967810807</v>
      </c>
      <c r="M327">
        <v>80475.677576817528</v>
      </c>
      <c r="N327">
        <v>294.76529118505999</v>
      </c>
    </row>
    <row r="328" spans="2:14">
      <c r="B328">
        <v>283</v>
      </c>
      <c r="C328">
        <v>5.7161899909957441</v>
      </c>
      <c r="D328" s="10">
        <v>2.639187691886264</v>
      </c>
      <c r="E328">
        <v>21.381671371670507</v>
      </c>
      <c r="F328">
        <v>0</v>
      </c>
      <c r="G328">
        <v>-11.025021755275469</v>
      </c>
      <c r="H328">
        <v>78.011844796126368</v>
      </c>
      <c r="I328">
        <v>922.29237778542642</v>
      </c>
      <c r="J328">
        <v>522.29237778542642</v>
      </c>
      <c r="K328">
        <v>2.1802102363481675</v>
      </c>
      <c r="L328">
        <v>0.95093176970209026</v>
      </c>
      <c r="M328">
        <v>80443.800681840046</v>
      </c>
      <c r="N328">
        <v>294.75509954439474</v>
      </c>
    </row>
    <row r="329" spans="2:14">
      <c r="B329">
        <v>284</v>
      </c>
      <c r="C329">
        <v>5.7363174205415035</v>
      </c>
      <c r="D329" s="10">
        <v>2.6232585376061612</v>
      </c>
      <c r="E329">
        <v>21.381660878804627</v>
      </c>
      <c r="F329">
        <v>0</v>
      </c>
      <c r="G329">
        <v>-11.017680159043511</v>
      </c>
      <c r="H329">
        <v>77.7900872149675</v>
      </c>
      <c r="I329">
        <v>923.85586058015872</v>
      </c>
      <c r="J329">
        <v>523.85586058015872</v>
      </c>
      <c r="K329">
        <v>2.1802102363481675</v>
      </c>
      <c r="L329">
        <v>0.95058893368608322</v>
      </c>
      <c r="M329">
        <v>80412.026006239394</v>
      </c>
      <c r="N329">
        <v>294.74493690622899</v>
      </c>
    </row>
    <row r="330" spans="2:14">
      <c r="B330">
        <v>285</v>
      </c>
      <c r="C330">
        <v>5.7564448500872629</v>
      </c>
      <c r="D330" s="10">
        <v>2.6073956899107404</v>
      </c>
      <c r="E330">
        <v>21.381650415871515</v>
      </c>
      <c r="F330">
        <v>0</v>
      </c>
      <c r="G330">
        <v>-11.010369099366679</v>
      </c>
      <c r="H330">
        <v>77.568476786647182</v>
      </c>
      <c r="I330">
        <v>925.41488440751255</v>
      </c>
      <c r="J330">
        <v>525.41488440751255</v>
      </c>
      <c r="K330">
        <v>2.1802102363481675</v>
      </c>
      <c r="L330">
        <v>0.95024718709196465</v>
      </c>
      <c r="M330">
        <v>80380.353387849929</v>
      </c>
      <c r="N330">
        <v>294.7348032513512</v>
      </c>
    </row>
    <row r="331" spans="2:14">
      <c r="B331">
        <v>286</v>
      </c>
      <c r="C331">
        <v>5.7765722796330223</v>
      </c>
      <c r="D331" s="10">
        <v>2.5915989105694588</v>
      </c>
      <c r="E331">
        <v>21.381639982851357</v>
      </c>
      <c r="F331">
        <v>0</v>
      </c>
      <c r="G331">
        <v>-11.0030884663507</v>
      </c>
      <c r="H331">
        <v>77.34701289875494</v>
      </c>
      <c r="I331">
        <v>926.96945221080693</v>
      </c>
      <c r="J331">
        <v>526.96945221080693</v>
      </c>
      <c r="K331">
        <v>2.1802102363481675</v>
      </c>
      <c r="L331">
        <v>0.9499065282854926</v>
      </c>
      <c r="M331">
        <v>80348.782665188526</v>
      </c>
      <c r="N331">
        <v>294.72469856062975</v>
      </c>
    </row>
    <row r="332" spans="2:14">
      <c r="B332">
        <v>287</v>
      </c>
      <c r="C332">
        <v>5.7966997091787817</v>
      </c>
      <c r="D332" s="10">
        <v>2.5758679626860288</v>
      </c>
      <c r="E332">
        <v>21.381629579724411</v>
      </c>
      <c r="F332">
        <v>0</v>
      </c>
      <c r="G332">
        <v>-10.995838150716958</v>
      </c>
      <c r="H332">
        <v>77.125694941079814</v>
      </c>
      <c r="I332">
        <v>928.51956692110116</v>
      </c>
      <c r="J332">
        <v>528.51956692110116</v>
      </c>
      <c r="K332">
        <v>2.1802102363481675</v>
      </c>
      <c r="L332">
        <v>0.9495669556392472</v>
      </c>
      <c r="M332">
        <v>80317.313677451559</v>
      </c>
      <c r="N332">
        <v>294.71462281501283</v>
      </c>
    </row>
    <row r="333" spans="2:14">
      <c r="B333">
        <v>288</v>
      </c>
      <c r="C333">
        <v>5.8168271387245412</v>
      </c>
      <c r="D333" s="10">
        <v>2.5602026106906015</v>
      </c>
      <c r="E333">
        <v>21.381619206471026</v>
      </c>
      <c r="F333">
        <v>0</v>
      </c>
      <c r="G333">
        <v>-10.988618043798855</v>
      </c>
      <c r="H333">
        <v>76.904522305597993</v>
      </c>
      <c r="I333">
        <v>930.06523145723838</v>
      </c>
      <c r="J333">
        <v>530.06523145723838</v>
      </c>
      <c r="K333">
        <v>2.1802102363481675</v>
      </c>
      <c r="L333">
        <v>0.94922846753261458</v>
      </c>
      <c r="M333">
        <v>80285.946264513084</v>
      </c>
      <c r="N333">
        <v>294.70457599552793</v>
      </c>
    </row>
    <row r="334" spans="2:14">
      <c r="B334">
        <v>289</v>
      </c>
      <c r="C334">
        <v>5.8369545682703006</v>
      </c>
      <c r="D334" s="10">
        <v>2.544602620331966</v>
      </c>
      <c r="E334">
        <v>21.381608863071634</v>
      </c>
      <c r="F334">
        <v>0</v>
      </c>
      <c r="G334">
        <v>-10.981428037538235</v>
      </c>
      <c r="H334">
        <v>76.683494386460609</v>
      </c>
      <c r="I334">
        <v>931.60644872588944</v>
      </c>
      <c r="J334">
        <v>531.60644872588944</v>
      </c>
      <c r="K334">
        <v>2.1802102363481675</v>
      </c>
      <c r="L334">
        <v>0.94889106235175269</v>
      </c>
      <c r="M334">
        <v>80254.680266921612</v>
      </c>
      <c r="N334">
        <v>294.69455808328172</v>
      </c>
    </row>
    <row r="335" spans="2:14">
      <c r="B335">
        <v>290</v>
      </c>
      <c r="C335">
        <v>5.85708199781606</v>
      </c>
      <c r="D335" s="10">
        <v>2.5290677586698398</v>
      </c>
      <c r="E335">
        <v>21.381598549506734</v>
      </c>
      <c r="F335">
        <v>0</v>
      </c>
      <c r="G335">
        <v>-10.974268024481798</v>
      </c>
      <c r="H335">
        <v>76.462610579981572</v>
      </c>
      <c r="I335">
        <v>933.14322162159647</v>
      </c>
      <c r="J335">
        <v>533.14322162159647</v>
      </c>
      <c r="K335">
        <v>2.1802102363481675</v>
      </c>
      <c r="L335">
        <v>0.94855473848957128</v>
      </c>
      <c r="M335">
        <v>80223.515525897921</v>
      </c>
      <c r="N335">
        <v>294.68456905945965</v>
      </c>
    </row>
    <row r="336" spans="2:14">
      <c r="B336">
        <v>291</v>
      </c>
      <c r="C336">
        <v>5.8772094273618194</v>
      </c>
      <c r="D336" s="10">
        <v>2.5135977940672096</v>
      </c>
      <c r="E336">
        <v>21.381588265756918</v>
      </c>
      <c r="F336">
        <v>0</v>
      </c>
      <c r="G336">
        <v>-10.967137897777567</v>
      </c>
      <c r="H336">
        <v>76.241870284625421</v>
      </c>
      <c r="I336">
        <v>934.67555302681592</v>
      </c>
      <c r="J336">
        <v>534.67555302681592</v>
      </c>
      <c r="K336">
        <v>2.1802102363481675</v>
      </c>
      <c r="L336">
        <v>0.94821949434570996</v>
      </c>
      <c r="M336">
        <v>80192.451883332862</v>
      </c>
      <c r="N336">
        <v>294.67460890532567</v>
      </c>
    </row>
    <row r="337" spans="2:14">
      <c r="B337">
        <v>292</v>
      </c>
      <c r="C337">
        <v>5.8973368569075788</v>
      </c>
      <c r="D337" s="10">
        <v>2.4981924961827109</v>
      </c>
      <c r="E337">
        <v>21.381578011802866</v>
      </c>
      <c r="F337">
        <v>0</v>
      </c>
      <c r="G337">
        <v>-10.960037551171371</v>
      </c>
      <c r="H337">
        <v>76.021272900995342</v>
      </c>
      <c r="I337">
        <v>936.20344581196116</v>
      </c>
      <c r="J337">
        <v>536.20344581196116</v>
      </c>
      <c r="K337">
        <v>2.1802102363481675</v>
      </c>
      <c r="L337">
        <v>0.94788532832650718</v>
      </c>
      <c r="M337">
        <v>80161.48918178436</v>
      </c>
      <c r="N337">
        <v>294.66467760222224</v>
      </c>
    </row>
    <row r="338" spans="2:14">
      <c r="B338">
        <v>293</v>
      </c>
      <c r="C338">
        <v>5.9174642864533382</v>
      </c>
      <c r="D338" s="10">
        <v>2.482851635963097</v>
      </c>
      <c r="E338">
        <v>21.381567787625325</v>
      </c>
      <c r="F338">
        <v>0</v>
      </c>
      <c r="G338">
        <v>-10.952966879003364</v>
      </c>
      <c r="H338">
        <v>75.800817831821163</v>
      </c>
      <c r="I338">
        <v>937.72690283544569</v>
      </c>
      <c r="J338">
        <v>537.72690283544569</v>
      </c>
      <c r="K338">
        <v>2.1802102363481675</v>
      </c>
      <c r="L338">
        <v>0.94755223884498441</v>
      </c>
      <c r="M338">
        <v>80130.627264475566</v>
      </c>
      <c r="N338">
        <v>294.65477513156958</v>
      </c>
    </row>
    <row r="339" spans="2:14">
      <c r="B339">
        <v>294</v>
      </c>
      <c r="C339">
        <v>5.9375917159990976</v>
      </c>
      <c r="D339" s="10">
        <v>2.4675749856357232</v>
      </c>
      <c r="E339">
        <v>21.381557593205127</v>
      </c>
      <c r="F339">
        <v>0</v>
      </c>
      <c r="G339">
        <v>-10.94592577620455</v>
      </c>
      <c r="H339">
        <v>75.580504481947486</v>
      </c>
      <c r="I339">
        <v>939.24592694372529</v>
      </c>
      <c r="J339">
        <v>539.24592694372529</v>
      </c>
      <c r="K339">
        <v>2.1802102363481675</v>
      </c>
      <c r="L339">
        <v>0.94722022432081376</v>
      </c>
      <c r="M339">
        <v>80099.865975291847</v>
      </c>
      <c r="N339">
        <v>294.64490147486578</v>
      </c>
    </row>
    <row r="340" spans="2:14">
      <c r="B340">
        <v>295</v>
      </c>
      <c r="C340">
        <v>5.957719145544857</v>
      </c>
      <c r="D340" s="10">
        <v>2.4523623187011325</v>
      </c>
      <c r="E340">
        <v>21.381547428523188</v>
      </c>
      <c r="F340">
        <v>0</v>
      </c>
      <c r="G340">
        <v>-10.938914138293347</v>
      </c>
      <c r="H340">
        <v>75.360332258321876</v>
      </c>
      <c r="I340">
        <v>940.76052097134027</v>
      </c>
      <c r="J340">
        <v>540.76052097134027</v>
      </c>
      <c r="K340">
        <v>2.1802102363481675</v>
      </c>
      <c r="L340">
        <v>0.94688928318030186</v>
      </c>
      <c r="M340">
        <v>80069.205158778946</v>
      </c>
      <c r="N340">
        <v>294.63505661368629</v>
      </c>
    </row>
    <row r="341" spans="2:14">
      <c r="B341">
        <v>296</v>
      </c>
      <c r="C341">
        <v>5.9778465750906165</v>
      </c>
      <c r="D341" s="10">
        <v>2.4372134099256533</v>
      </c>
      <c r="E341">
        <v>21.381537293560498</v>
      </c>
      <c r="F341">
        <v>0</v>
      </c>
      <c r="G341">
        <v>-10.931931861372188</v>
      </c>
      <c r="H341">
        <v>75.140300569983054</v>
      </c>
      <c r="I341">
        <v>942.27068774095733</v>
      </c>
      <c r="J341">
        <v>542.27068774095733</v>
      </c>
      <c r="K341">
        <v>2.1802102363481675</v>
      </c>
      <c r="L341">
        <v>0.94655941385636166</v>
      </c>
      <c r="M341">
        <v>80038.644660140242</v>
      </c>
      <c r="N341">
        <v>294.62524052968377</v>
      </c>
    </row>
    <row r="342" spans="2:14">
      <c r="B342">
        <v>297</v>
      </c>
      <c r="C342">
        <v>5.9979740046363759</v>
      </c>
      <c r="D342" s="10">
        <v>2.4221280353340746</v>
      </c>
      <c r="E342">
        <v>21.381527188298133</v>
      </c>
      <c r="F342">
        <v>0</v>
      </c>
      <c r="G342">
        <v>-10.924978842124117</v>
      </c>
      <c r="H342">
        <v>74.92040882804929</v>
      </c>
      <c r="I342">
        <v>943.77643006341168</v>
      </c>
      <c r="J342">
        <v>543.77643006341168</v>
      </c>
      <c r="K342">
        <v>2.1802102363481675</v>
      </c>
      <c r="L342">
        <v>0.94623061478848758</v>
      </c>
      <c r="M342">
        <v>80008.184325234251</v>
      </c>
      <c r="N342">
        <v>294.61545320458782</v>
      </c>
    </row>
    <row r="343" spans="2:14">
      <c r="B343">
        <v>298</v>
      </c>
      <c r="C343">
        <v>6.0181014341821353</v>
      </c>
      <c r="D343" s="10">
        <v>2.4071059722023795</v>
      </c>
      <c r="E343">
        <v>21.381517112717244</v>
      </c>
      <c r="F343">
        <v>0</v>
      </c>
      <c r="G343">
        <v>-10.91805497780944</v>
      </c>
      <c r="H343">
        <v>74.700656445706699</v>
      </c>
      <c r="I343">
        <v>945.27775073774808</v>
      </c>
      <c r="J343">
        <v>545.27775073774808</v>
      </c>
      <c r="K343">
        <v>2.1802102363481675</v>
      </c>
      <c r="L343">
        <v>0.94590288442273696</v>
      </c>
      <c r="M343">
        <v>79977.824000572669</v>
      </c>
      <c r="N343">
        <v>294.60569462020464</v>
      </c>
    </row>
    <row r="344" spans="2:14">
      <c r="B344">
        <v>299</v>
      </c>
      <c r="C344">
        <v>6.0382288637278947</v>
      </c>
      <c r="D344" s="10">
        <v>2.3921469990505178</v>
      </c>
      <c r="E344">
        <v>21.381507066799063</v>
      </c>
      <c r="F344">
        <v>0</v>
      </c>
      <c r="G344">
        <v>-10.911160166262384</v>
      </c>
      <c r="H344">
        <v>74.481042838197752</v>
      </c>
      <c r="I344">
        <v>946.77465255126242</v>
      </c>
      <c r="J344">
        <v>546.77465255126242</v>
      </c>
      <c r="K344">
        <v>2.1802102363481675</v>
      </c>
      <c r="L344">
        <v>0.94557622121170326</v>
      </c>
      <c r="M344">
        <v>79947.56353331772</v>
      </c>
      <c r="N344">
        <v>294.59596475841681</v>
      </c>
    </row>
    <row r="345" spans="2:14">
      <c r="B345">
        <v>300</v>
      </c>
      <c r="C345">
        <v>6.0583562932736541</v>
      </c>
      <c r="D345" s="10">
        <v>2.3772508956352403</v>
      </c>
      <c r="E345">
        <v>21.381497050524899</v>
      </c>
      <c r="F345">
        <v>0</v>
      </c>
      <c r="G345">
        <v>-10.904294305887783</v>
      </c>
      <c r="H345">
        <v>74.261567422809762</v>
      </c>
      <c r="I345">
        <v>948.26713827954256</v>
      </c>
      <c r="J345">
        <v>548.26713827954256</v>
      </c>
      <c r="K345">
        <v>2.1802102363481675</v>
      </c>
      <c r="L345">
        <v>0.94525062361449386</v>
      </c>
      <c r="M345">
        <v>79917.4027712799</v>
      </c>
      <c r="N345">
        <v>294.58626360118296</v>
      </c>
    </row>
    <row r="346" spans="2:14">
      <c r="B346">
        <v>301</v>
      </c>
      <c r="C346">
        <v>6.0784837228194135</v>
      </c>
      <c r="D346" s="10">
        <v>2.3624174429429829</v>
      </c>
      <c r="E346">
        <v>21.381487063876133</v>
      </c>
      <c r="F346">
        <v>0</v>
      </c>
      <c r="G346">
        <v>-10.897457295657793</v>
      </c>
      <c r="H346">
        <v>74.042229618863487</v>
      </c>
      <c r="I346">
        <v>949.75521068650937</v>
      </c>
      <c r="J346">
        <v>549.75521068650937</v>
      </c>
      <c r="K346">
        <v>2.1802102363481675</v>
      </c>
      <c r="L346">
        <v>0.94492609009670614</v>
      </c>
      <c r="M346">
        <v>79887.341562915564</v>
      </c>
      <c r="N346">
        <v>294.57659113053768</v>
      </c>
    </row>
    <row r="347" spans="2:14">
      <c r="B347">
        <v>302</v>
      </c>
      <c r="C347">
        <v>6.0986111523651729</v>
      </c>
      <c r="D347" s="10">
        <v>2.3476464231828067</v>
      </c>
      <c r="E347">
        <v>21.381477106834243</v>
      </c>
      <c r="F347">
        <v>0</v>
      </c>
      <c r="G347">
        <v>-10.890649035108625</v>
      </c>
      <c r="H347">
        <v>73.82302884770175</v>
      </c>
      <c r="I347">
        <v>951.23887252445707</v>
      </c>
      <c r="J347">
        <v>551.23887252445707</v>
      </c>
      <c r="K347">
        <v>2.1802102363481675</v>
      </c>
      <c r="L347">
        <v>0.94460261913040588</v>
      </c>
      <c r="M347">
        <v>79857.379757324758</v>
      </c>
      <c r="N347">
        <v>294.56694732859103</v>
      </c>
    </row>
    <row r="348" spans="2:14">
      <c r="B348">
        <v>303</v>
      </c>
      <c r="C348">
        <v>6.1187385819109323</v>
      </c>
      <c r="D348" s="10">
        <v>2.3329376197793907</v>
      </c>
      <c r="E348">
        <v>21.38146717938077</v>
      </c>
      <c r="F348">
        <v>0</v>
      </c>
      <c r="G348">
        <v>-10.883869424337314</v>
      </c>
      <c r="H348">
        <v>73.603964532678148</v>
      </c>
      <c r="I348">
        <v>952.71812653409381</v>
      </c>
      <c r="J348">
        <v>552.71812653409381</v>
      </c>
      <c r="K348">
        <v>2.1802102363481675</v>
      </c>
      <c r="L348">
        <v>0.9442802091941056</v>
      </c>
      <c r="M348">
        <v>79827.517204248943</v>
      </c>
      <c r="N348">
        <v>294.55733217752839</v>
      </c>
    </row>
    <row r="349" spans="2:14">
      <c r="B349">
        <v>304</v>
      </c>
      <c r="C349">
        <v>6.1388660114566918</v>
      </c>
      <c r="D349" s="10">
        <v>2.3182908173660675</v>
      </c>
      <c r="E349">
        <v>21.381457281497337</v>
      </c>
      <c r="F349">
        <v>0</v>
      </c>
      <c r="G349">
        <v>-10.8771183639985</v>
      </c>
      <c r="H349">
        <v>73.385036099145879</v>
      </c>
      <c r="I349">
        <v>954.19297544458163</v>
      </c>
      <c r="J349">
        <v>554.19297544458163</v>
      </c>
      <c r="K349">
        <v>2.1802102363481675</v>
      </c>
      <c r="L349">
        <v>0.94395885877273811</v>
      </c>
      <c r="M349">
        <v>79797.753754068443</v>
      </c>
      <c r="N349">
        <v>294.5477456596102</v>
      </c>
    </row>
    <row r="350" spans="2:14">
      <c r="B350">
        <v>305</v>
      </c>
      <c r="C350">
        <v>6.1589934410024512</v>
      </c>
      <c r="D350" s="10">
        <v>2.3037058017779208</v>
      </c>
      <c r="E350">
        <v>21.381447413165645</v>
      </c>
      <c r="F350">
        <v>0</v>
      </c>
      <c r="G350">
        <v>-10.870395755301226</v>
      </c>
      <c r="H350">
        <v>73.166242974446533</v>
      </c>
      <c r="I350">
        <v>955.66342197357653</v>
      </c>
      <c r="J350">
        <v>555.66342197357653</v>
      </c>
      <c r="K350">
        <v>2.1802102363481675</v>
      </c>
      <c r="L350">
        <v>0.94363856635763821</v>
      </c>
      <c r="M350">
        <v>79768.089257800515</v>
      </c>
      <c r="N350">
        <v>294.53818775717173</v>
      </c>
    </row>
    <row r="351" spans="2:14">
      <c r="B351">
        <v>306</v>
      </c>
      <c r="C351">
        <v>6.1791208705482106</v>
      </c>
      <c r="D351" s="10">
        <v>2.2891823600449226</v>
      </c>
      <c r="E351">
        <v>21.381437574367464</v>
      </c>
      <c r="F351">
        <v>0</v>
      </c>
      <c r="G351">
        <v>-10.86370150000579</v>
      </c>
      <c r="H351">
        <v>72.947584587899001</v>
      </c>
      <c r="I351">
        <v>957.12946882726794</v>
      </c>
      <c r="J351">
        <v>557.12946882726794</v>
      </c>
      <c r="K351">
        <v>2.1802102363481675</v>
      </c>
      <c r="L351">
        <v>0.94331933044651528</v>
      </c>
      <c r="M351">
        <v>79738.52356709665</v>
      </c>
      <c r="N351">
        <v>294.52865845262278</v>
      </c>
    </row>
    <row r="352" spans="2:14">
      <c r="B352">
        <v>307</v>
      </c>
      <c r="C352">
        <v>6.19924830009397</v>
      </c>
      <c r="D352" s="10">
        <v>2.2747202803851407</v>
      </c>
      <c r="E352">
        <v>21.381427765084656</v>
      </c>
      <c r="F352">
        <v>0</v>
      </c>
      <c r="G352">
        <v>-10.857035500420576</v>
      </c>
      <c r="H352">
        <v>72.729060370788474</v>
      </c>
      <c r="I352">
        <v>958.59111870041829</v>
      </c>
      <c r="J352">
        <v>558.59111870041829</v>
      </c>
      <c r="K352">
        <v>2.1802102363481675</v>
      </c>
      <c r="L352">
        <v>0.94300114954343806</v>
      </c>
      <c r="M352">
        <v>79709.056534240895</v>
      </c>
      <c r="N352">
        <v>294.51915772844728</v>
      </c>
    </row>
    <row r="353" spans="2:14">
      <c r="B353">
        <v>308</v>
      </c>
      <c r="C353">
        <v>6.2193757296397294</v>
      </c>
      <c r="D353" s="10">
        <v>2.2603193521979699</v>
      </c>
      <c r="E353">
        <v>21.381417985299148</v>
      </c>
      <c r="F353">
        <v>0</v>
      </c>
      <c r="G353">
        <v>-10.850397659398954</v>
      </c>
      <c r="H353">
        <v>72.510669756355441</v>
      </c>
      <c r="I353">
        <v>960.04837427640246</v>
      </c>
      <c r="J353">
        <v>560.04837427640246</v>
      </c>
      <c r="K353">
        <v>2.1802102363481675</v>
      </c>
      <c r="L353">
        <v>0.94268402215880642</v>
      </c>
      <c r="M353">
        <v>79679.688012147191</v>
      </c>
      <c r="N353">
        <v>294.50968556720341</v>
      </c>
    </row>
    <row r="354" spans="2:14">
      <c r="B354">
        <v>309</v>
      </c>
      <c r="C354">
        <v>6.2395031591854888</v>
      </c>
      <c r="D354" s="10">
        <v>2.2459793660574312</v>
      </c>
      <c r="E354">
        <v>21.381408234992943</v>
      </c>
      <c r="F354">
        <v>0</v>
      </c>
      <c r="G354">
        <v>-10.843787880336171</v>
      </c>
      <c r="H354">
        <v>72.292412179784804</v>
      </c>
      <c r="I354">
        <v>961.50123822724652</v>
      </c>
      <c r="J354">
        <v>561.50123822724652</v>
      </c>
      <c r="K354">
        <v>2.1802102363481675</v>
      </c>
      <c r="L354">
        <v>0.94236794680933145</v>
      </c>
      <c r="M354">
        <v>79650.417854357191</v>
      </c>
      <c r="N354">
        <v>294.50024195152292</v>
      </c>
    </row>
    <row r="355" spans="2:14">
      <c r="B355">
        <v>310</v>
      </c>
      <c r="C355">
        <v>6.2596305887312482</v>
      </c>
      <c r="D355" s="10">
        <v>2.2317001137055139</v>
      </c>
      <c r="E355">
        <v>21.381398514148135</v>
      </c>
      <c r="F355">
        <v>0</v>
      </c>
      <c r="G355">
        <v>-10.837206067166273</v>
      </c>
      <c r="H355">
        <v>72.074287078195042</v>
      </c>
      <c r="I355">
        <v>962.94971321366654</v>
      </c>
      <c r="J355">
        <v>562.94971321366654</v>
      </c>
      <c r="K355">
        <v>2.1802102363481675</v>
      </c>
      <c r="L355">
        <v>0.94205292201801372</v>
      </c>
      <c r="M355">
        <v>79621.245915038191</v>
      </c>
      <c r="N355">
        <v>294.49082686411117</v>
      </c>
    </row>
    <row r="356" spans="2:14">
      <c r="B356">
        <v>311</v>
      </c>
      <c r="C356">
        <v>6.2797580182770076</v>
      </c>
      <c r="D356" s="10">
        <v>2.2174813880455737</v>
      </c>
      <c r="E356">
        <v>21.381388822746874</v>
      </c>
      <c r="F356">
        <v>0</v>
      </c>
      <c r="G356">
        <v>-10.830652124359061</v>
      </c>
      <c r="H356">
        <v>71.85629389062737</v>
      </c>
      <c r="I356">
        <v>964.39380188510745</v>
      </c>
      <c r="J356">
        <v>564.39380188510745</v>
      </c>
      <c r="K356">
        <v>2.1802102363481675</v>
      </c>
      <c r="L356">
        <v>0.94173894631412436</v>
      </c>
      <c r="M356">
        <v>79592.172048981098</v>
      </c>
      <c r="N356">
        <v>294.48144028774681</v>
      </c>
    </row>
    <row r="357" spans="2:14">
      <c r="B357">
        <v>312</v>
      </c>
      <c r="C357">
        <v>6.299885447822767</v>
      </c>
      <c r="D357" s="10">
        <v>2.2033229831357568</v>
      </c>
      <c r="E357">
        <v>21.381379160771402</v>
      </c>
      <c r="F357">
        <v>0</v>
      </c>
      <c r="G357">
        <v>-10.824125956917046</v>
      </c>
      <c r="H357">
        <v>71.638432058035093</v>
      </c>
      <c r="I357">
        <v>965.83350687978111</v>
      </c>
      <c r="J357">
        <v>565.83350687978111</v>
      </c>
      <c r="K357">
        <v>2.1802102363481675</v>
      </c>
      <c r="L357">
        <v>0.94142601823317551</v>
      </c>
      <c r="M357">
        <v>79563.196111597572</v>
      </c>
      <c r="N357">
        <v>294.47208220528142</v>
      </c>
    </row>
    <row r="358" spans="2:14">
      <c r="B358">
        <v>313</v>
      </c>
      <c r="C358">
        <v>6.3200128773685265</v>
      </c>
      <c r="D358" s="10">
        <v>2.1892246941825126</v>
      </c>
      <c r="E358">
        <v>21.381369528204019</v>
      </c>
      <c r="F358">
        <v>0</v>
      </c>
      <c r="G358">
        <v>-10.817627470372456</v>
      </c>
      <c r="H358">
        <v>71.420701023272898</v>
      </c>
      <c r="I358">
        <v>967.26883082470476</v>
      </c>
      <c r="J358">
        <v>567.26883082470476</v>
      </c>
      <c r="K358">
        <v>2.1802102363481675</v>
      </c>
      <c r="L358">
        <v>0.9411141363169101</v>
      </c>
      <c r="M358">
        <v>79534.317958918866</v>
      </c>
      <c r="N358">
        <v>294.46275259963943</v>
      </c>
    </row>
    <row r="359" spans="2:14">
      <c r="B359">
        <v>314</v>
      </c>
      <c r="C359">
        <v>6.3401403069142859</v>
      </c>
      <c r="D359" s="10">
        <v>2.1751863175340995</v>
      </c>
      <c r="E359">
        <v>21.381359925027123</v>
      </c>
      <c r="F359">
        <v>0</v>
      </c>
      <c r="G359">
        <v>-10.811156570784231</v>
      </c>
      <c r="H359">
        <v>71.203100231086268</v>
      </c>
      <c r="I359">
        <v>968.69977633573865</v>
      </c>
      <c r="J359">
        <v>568.69977633573865</v>
      </c>
      <c r="K359">
        <v>2.1802102363481675</v>
      </c>
      <c r="L359">
        <v>0.94080329911326732</v>
      </c>
      <c r="M359">
        <v>79505.537447592476</v>
      </c>
      <c r="N359">
        <v>294.45345145381771</v>
      </c>
    </row>
    <row r="360" spans="2:14">
      <c r="B360">
        <v>315</v>
      </c>
      <c r="C360">
        <v>6.3602677364600453</v>
      </c>
      <c r="D360" s="10">
        <v>2.1612076506742017</v>
      </c>
      <c r="E360">
        <v>21.381350351223166</v>
      </c>
      <c r="F360">
        <v>0</v>
      </c>
      <c r="G360">
        <v>-10.804713164735078</v>
      </c>
      <c r="H360">
        <v>70.985629128100925</v>
      </c>
      <c r="I360">
        <v>970.12634601762409</v>
      </c>
      <c r="J360">
        <v>570.12634601762409</v>
      </c>
      <c r="K360">
        <v>2.1802102363481675</v>
      </c>
      <c r="L360">
        <v>0.94049350517637587</v>
      </c>
      <c r="M360">
        <v>79476.854434881287</v>
      </c>
      <c r="N360">
        <v>294.44417875088544</v>
      </c>
    </row>
    <row r="361" spans="2:14">
      <c r="B361">
        <v>316</v>
      </c>
      <c r="C361">
        <v>6.3803951660058047</v>
      </c>
      <c r="D361" s="10">
        <v>2.1472884922155284</v>
      </c>
      <c r="E361">
        <v>21.381340806774681</v>
      </c>
      <c r="F361">
        <v>0</v>
      </c>
      <c r="G361">
        <v>-10.798297159328515</v>
      </c>
      <c r="H361">
        <v>70.768287162812356</v>
      </c>
      <c r="I361">
        <v>971.5485424640209</v>
      </c>
      <c r="J361">
        <v>571.5485424640209</v>
      </c>
      <c r="K361">
        <v>2.1802102363481675</v>
      </c>
      <c r="L361">
        <v>0.94018475306651916</v>
      </c>
      <c r="M361">
        <v>79448.268778660247</v>
      </c>
      <c r="N361">
        <v>294.43493447398384</v>
      </c>
    </row>
    <row r="362" spans="2:14">
      <c r="B362">
        <v>317</v>
      </c>
      <c r="C362">
        <v>6.4005225955515641</v>
      </c>
      <c r="D362" s="10">
        <v>2.133428641893512</v>
      </c>
      <c r="E362">
        <v>21.381331291664278</v>
      </c>
      <c r="F362">
        <v>0</v>
      </c>
      <c r="G362">
        <v>-10.791908462185946</v>
      </c>
      <c r="H362">
        <v>70.551073785575426</v>
      </c>
      <c r="I362">
        <v>972.96636825754445</v>
      </c>
      <c r="J362">
        <v>572.96636825754445</v>
      </c>
      <c r="K362">
        <v>2.1802102363481675</v>
      </c>
      <c r="L362">
        <v>0.93987704135012295</v>
      </c>
      <c r="M362">
        <v>79419.780337414981</v>
      </c>
      <c r="N362">
        <v>294.42571860632597</v>
      </c>
    </row>
    <row r="363" spans="2:14">
      <c r="B363">
        <v>318</v>
      </c>
      <c r="C363">
        <v>6.4206500250973235</v>
      </c>
      <c r="D363" s="10">
        <v>2.1196279005600256</v>
      </c>
      <c r="E363">
        <v>21.381321805874645</v>
      </c>
      <c r="F363">
        <v>0</v>
      </c>
      <c r="G363">
        <v>-10.785546981443773</v>
      </c>
      <c r="H363">
        <v>70.333988448593928</v>
      </c>
      <c r="I363">
        <v>974.37982596980305</v>
      </c>
      <c r="J363">
        <v>574.37982596980305</v>
      </c>
      <c r="K363">
        <v>2.1802102363481675</v>
      </c>
      <c r="L363">
        <v>0.93957036859973431</v>
      </c>
      <c r="M363">
        <v>79391.388970239655</v>
      </c>
      <c r="N363">
        <v>294.41653113119628</v>
      </c>
    </row>
    <row r="364" spans="2:14">
      <c r="B364">
        <v>319</v>
      </c>
      <c r="C364">
        <v>6.4407774546430829</v>
      </c>
      <c r="D364" s="10">
        <v>2.1058860701771462</v>
      </c>
      <c r="E364">
        <v>21.381312349388537</v>
      </c>
      <c r="F364">
        <v>0</v>
      </c>
      <c r="G364">
        <v>-10.77921262575051</v>
      </c>
      <c r="H364">
        <v>70.117030605910372</v>
      </c>
      <c r="I364">
        <v>975.78891816143494</v>
      </c>
      <c r="J364">
        <v>575.78891816143494</v>
      </c>
      <c r="K364">
        <v>2.1802102363481675</v>
      </c>
      <c r="L364">
        <v>0.93926473339399541</v>
      </c>
      <c r="M364">
        <v>79363.094536834469</v>
      </c>
      <c r="N364">
        <v>294.40737203195067</v>
      </c>
    </row>
    <row r="365" spans="2:14">
      <c r="B365">
        <v>320</v>
      </c>
      <c r="C365">
        <v>6.4609048841888423</v>
      </c>
      <c r="D365" s="10">
        <v>2.0922029538109732</v>
      </c>
      <c r="E365">
        <v>21.38130292218878</v>
      </c>
      <c r="F365">
        <v>0</v>
      </c>
      <c r="G365">
        <v>-10.772905304263928</v>
      </c>
      <c r="H365">
        <v>69.900199713395665</v>
      </c>
      <c r="I365">
        <v>977.1936473821446</v>
      </c>
      <c r="J365">
        <v>577.1936473821446</v>
      </c>
      <c r="K365">
        <v>2.1802102363481675</v>
      </c>
      <c r="L365">
        <v>0.93896013431762693</v>
      </c>
      <c r="M365">
        <v>79334.896897503844</v>
      </c>
      <c r="N365">
        <v>294.39824129201605</v>
      </c>
    </row>
    <row r="366" spans="2:14">
      <c r="B366">
        <v>321</v>
      </c>
      <c r="C366">
        <v>6.4810323137346018</v>
      </c>
      <c r="D366" s="10">
        <v>2.0785783556254871</v>
      </c>
      <c r="E366">
        <v>21.381293524258279</v>
      </c>
      <c r="F366">
        <v>0</v>
      </c>
      <c r="G366">
        <v>-10.766624926648205</v>
      </c>
      <c r="H366">
        <v>69.683495228738934</v>
      </c>
      <c r="I366">
        <v>978.59401617073979</v>
      </c>
      <c r="J366">
        <v>578.59401617073979</v>
      </c>
      <c r="K366">
        <v>2.1802102363481675</v>
      </c>
      <c r="L366">
        <v>0.93865656996140656</v>
      </c>
      <c r="M366">
        <v>79306.795913154318</v>
      </c>
      <c r="N366">
        <v>294.38913889489021</v>
      </c>
    </row>
    <row r="367" spans="2:14">
      <c r="B367">
        <v>322</v>
      </c>
      <c r="C367">
        <v>6.5011597432803612</v>
      </c>
      <c r="D367" s="10">
        <v>2.0650120808764605</v>
      </c>
      <c r="E367">
        <v>21.381284155580019</v>
      </c>
      <c r="F367">
        <v>0</v>
      </c>
      <c r="G367">
        <v>-10.760371403071128</v>
      </c>
      <c r="H367">
        <v>69.466916611437412</v>
      </c>
      <c r="I367">
        <v>979.99002705516727</v>
      </c>
      <c r="J367">
        <v>579.99002705516727</v>
      </c>
      <c r="K367">
        <v>2.1802102363481675</v>
      </c>
      <c r="L367">
        <v>0.93835403892215152</v>
      </c>
      <c r="M367">
        <v>79278.791445292693</v>
      </c>
      <c r="N367">
        <v>294.38006482414141</v>
      </c>
    </row>
    <row r="368" spans="2:14">
      <c r="B368">
        <v>323</v>
      </c>
      <c r="C368">
        <v>6.5212871728261206</v>
      </c>
      <c r="D368" s="10">
        <v>2.0515039359053899</v>
      </c>
      <c r="E368">
        <v>21.381274816137037</v>
      </c>
      <c r="F368">
        <v>0</v>
      </c>
      <c r="G368">
        <v>-10.754144644201293</v>
      </c>
      <c r="H368">
        <v>69.250463322786345</v>
      </c>
      <c r="I368">
        <v>981.38168255254925</v>
      </c>
      <c r="J368">
        <v>581.38168255254925</v>
      </c>
      <c r="K368">
        <v>2.1802102363481675</v>
      </c>
      <c r="L368">
        <v>0.93805253980269099</v>
      </c>
      <c r="M368">
        <v>79250.88335602342</v>
      </c>
      <c r="N368">
        <v>294.37101906340843</v>
      </c>
    </row>
    <row r="369" spans="2:14">
      <c r="B369">
        <v>324</v>
      </c>
      <c r="C369">
        <v>6.54141460237188</v>
      </c>
      <c r="D369" s="10">
        <v>2.038053728133506</v>
      </c>
      <c r="E369">
        <v>21.381265505912467</v>
      </c>
      <c r="F369">
        <v>0</v>
      </c>
      <c r="G369">
        <v>-10.747944561205308</v>
      </c>
      <c r="H369">
        <v>69.034134825868961</v>
      </c>
      <c r="I369">
        <v>982.76898516921915</v>
      </c>
      <c r="J369">
        <v>582.76898516921915</v>
      </c>
      <c r="K369">
        <v>2.1802102363481675</v>
      </c>
      <c r="L369">
        <v>0.93775207121185311</v>
      </c>
      <c r="M369">
        <v>79223.071508047113</v>
      </c>
      <c r="N369">
        <v>294.36200159640009</v>
      </c>
    </row>
    <row r="370" spans="2:14">
      <c r="B370">
        <v>325</v>
      </c>
      <c r="C370">
        <v>6.5615420319176394</v>
      </c>
      <c r="D370" s="10">
        <v>2.0246612660558014</v>
      </c>
      <c r="E370">
        <v>21.381256224889498</v>
      </c>
      <c r="F370">
        <v>0</v>
      </c>
      <c r="G370">
        <v>-10.741771065745073</v>
      </c>
      <c r="H370">
        <v>68.817930585546492</v>
      </c>
      <c r="I370">
        <v>984.15193740075745</v>
      </c>
      <c r="J370">
        <v>584.15193740075745</v>
      </c>
      <c r="K370">
        <v>2.1802102363481675</v>
      </c>
      <c r="L370">
        <v>0.93745263176444282</v>
      </c>
      <c r="M370">
        <v>79195.355764658379</v>
      </c>
      <c r="N370">
        <v>294.35301240689506</v>
      </c>
    </row>
    <row r="371" spans="2:14">
      <c r="B371">
        <v>326</v>
      </c>
      <c r="C371">
        <v>6.5816694614633988</v>
      </c>
      <c r="D371" s="10">
        <v>2.0113263592351069</v>
      </c>
      <c r="E371">
        <v>21.381246973051397</v>
      </c>
      <c r="F371">
        <v>0</v>
      </c>
      <c r="G371">
        <v>-10.735624069975014</v>
      </c>
      <c r="H371">
        <v>68.601850068448314</v>
      </c>
      <c r="I371">
        <v>985.5305417320269</v>
      </c>
      <c r="J371">
        <v>585.5305417320269</v>
      </c>
      <c r="K371">
        <v>2.1802102363481675</v>
      </c>
      <c r="L371">
        <v>0.93715422008121851</v>
      </c>
      <c r="M371">
        <v>79167.735989743524</v>
      </c>
      <c r="N371">
        <v>294.34405147874185</v>
      </c>
    </row>
    <row r="372" spans="2:14">
      <c r="B372">
        <v>327</v>
      </c>
      <c r="C372">
        <v>6.6017968910091582</v>
      </c>
      <c r="D372" s="10">
        <v>1.9980488182962266</v>
      </c>
      <c r="E372">
        <v>21.381237750381509</v>
      </c>
      <c r="F372">
        <v>0</v>
      </c>
      <c r="G372">
        <v>-10.729503486539377</v>
      </c>
      <c r="H372">
        <v>68.385892742962014</v>
      </c>
      <c r="I372">
        <v>986.90480063720793</v>
      </c>
      <c r="J372">
        <v>586.90480063720793</v>
      </c>
      <c r="K372">
        <v>2.1802102363481675</v>
      </c>
      <c r="L372">
        <v>0.93685683478887838</v>
      </c>
      <c r="M372">
        <v>79140.212047779001</v>
      </c>
      <c r="N372">
        <v>294.33511879585814</v>
      </c>
    </row>
    <row r="373" spans="2:14">
      <c r="B373">
        <v>328</v>
      </c>
      <c r="C373">
        <v>6.6219243205549176</v>
      </c>
      <c r="D373" s="10">
        <v>1.9848284549200879</v>
      </c>
      <c r="E373">
        <v>21.381228556863231</v>
      </c>
      <c r="F373">
        <v>0</v>
      </c>
      <c r="G373">
        <v>-10.723409228569547</v>
      </c>
      <c r="H373">
        <v>68.170058079223637</v>
      </c>
      <c r="I373">
        <v>988.27471657983392</v>
      </c>
      <c r="J373">
        <v>588.27471657983392</v>
      </c>
      <c r="K373">
        <v>2.1802102363481675</v>
      </c>
      <c r="L373">
        <v>0.93656047452003499</v>
      </c>
      <c r="M373">
        <v>79112.78380382905</v>
      </c>
      <c r="N373">
        <v>294.32621434223108</v>
      </c>
    </row>
    <row r="374" spans="2:14">
      <c r="B374">
        <v>329</v>
      </c>
      <c r="C374">
        <v>6.6420517501006771</v>
      </c>
      <c r="D374" s="10">
        <v>1.9716650818379653</v>
      </c>
      <c r="E374">
        <v>21.381219392480062</v>
      </c>
      <c r="F374">
        <v>0</v>
      </c>
      <c r="G374">
        <v>-10.717341209681344</v>
      </c>
      <c r="H374">
        <v>67.954345549107913</v>
      </c>
      <c r="I374">
        <v>989.64029201282574</v>
      </c>
      <c r="J374">
        <v>589.64029201282574</v>
      </c>
      <c r="K374">
        <v>2.1802102363481675</v>
      </c>
      <c r="L374">
        <v>0.93626513791320076</v>
      </c>
      <c r="M374">
        <v>79085.451123544044</v>
      </c>
      <c r="N374">
        <v>294.31733810191662</v>
      </c>
    </row>
    <row r="375" spans="2:14">
      <c r="B375">
        <v>330</v>
      </c>
      <c r="C375">
        <v>6.6621791796464365</v>
      </c>
      <c r="D375" s="10">
        <v>1.9585585128257117</v>
      </c>
      <c r="E375">
        <v>21.381210257215546</v>
      </c>
      <c r="F375">
        <v>0</v>
      </c>
      <c r="G375">
        <v>-10.711299343972396</v>
      </c>
      <c r="H375">
        <v>67.738754626218565</v>
      </c>
      <c r="I375">
        <v>991.00152937852693</v>
      </c>
      <c r="J375">
        <v>591.00152937852693</v>
      </c>
      <c r="K375">
        <v>2.1802102363481675</v>
      </c>
      <c r="L375">
        <v>0.93597082361276196</v>
      </c>
      <c r="M375">
        <v>79058.213873158049</v>
      </c>
      <c r="N375">
        <v>294.30849005903957</v>
      </c>
    </row>
    <row r="376" spans="2:14">
      <c r="B376">
        <v>331</v>
      </c>
      <c r="C376">
        <v>6.6823066091921959</v>
      </c>
      <c r="D376" s="10">
        <v>1.9455085626980675</v>
      </c>
      <c r="E376">
        <v>21.381201151053304</v>
      </c>
      <c r="F376">
        <v>0</v>
      </c>
      <c r="G376">
        <v>-10.705283546019471</v>
      </c>
      <c r="H376">
        <v>67.523284785878673</v>
      </c>
      <c r="I376">
        <v>992.35843110873759</v>
      </c>
      <c r="J376">
        <v>592.35843110873759</v>
      </c>
      <c r="K376">
        <v>2.1802102363481675</v>
      </c>
      <c r="L376">
        <v>0.9356775302689665</v>
      </c>
      <c r="M376">
        <v>79031.071919487396</v>
      </c>
      <c r="N376">
        <v>294.2996701977932</v>
      </c>
    </row>
    <row r="377" spans="2:14">
      <c r="B377">
        <v>332</v>
      </c>
      <c r="C377">
        <v>6.7024340387379553</v>
      </c>
      <c r="D377" s="10">
        <v>1.9325150473029853</v>
      </c>
      <c r="E377">
        <v>21.381192073977036</v>
      </c>
      <c r="F377">
        <v>0</v>
      </c>
      <c r="G377">
        <v>-10.699293730875882</v>
      </c>
      <c r="H377">
        <v>67.30793550512108</v>
      </c>
      <c r="I377">
        <v>993.71099962474932</v>
      </c>
      <c r="J377">
        <v>593.71099962474932</v>
      </c>
      <c r="K377">
        <v>2.1802102363481675</v>
      </c>
      <c r="L377">
        <v>0.93538525653790028</v>
      </c>
      <c r="M377">
        <v>79004.025129928428</v>
      </c>
      <c r="N377">
        <v>294.29087850243911</v>
      </c>
    </row>
    <row r="378" spans="2:14">
      <c r="B378">
        <v>333</v>
      </c>
      <c r="C378">
        <v>6.7225614682837147</v>
      </c>
      <c r="D378" s="10">
        <v>1.9195777835160022</v>
      </c>
      <c r="E378">
        <v>21.381183025970511</v>
      </c>
      <c r="F378">
        <v>0</v>
      </c>
      <c r="G378">
        <v>-10.693329814068882</v>
      </c>
      <c r="H378">
        <v>67.092706262678831</v>
      </c>
      <c r="I378">
        <v>995.05923733737905</v>
      </c>
      <c r="J378">
        <v>595.05923733737905</v>
      </c>
      <c r="K378">
        <v>2.1802102363481675</v>
      </c>
      <c r="L378">
        <v>0.9350940010814689</v>
      </c>
      <c r="M378">
        <v>78977.073372455619</v>
      </c>
      <c r="N378">
        <v>294.28211495730704</v>
      </c>
    </row>
    <row r="379" spans="2:14">
      <c r="B379">
        <v>334</v>
      </c>
      <c r="C379">
        <v>6.7426888978294741</v>
      </c>
      <c r="D379" s="10">
        <v>1.9066965892346548</v>
      </c>
      <c r="E379">
        <v>21.38117400701756</v>
      </c>
      <c r="F379">
        <v>0</v>
      </c>
      <c r="G379">
        <v>-10.687391711597078</v>
      </c>
      <c r="H379">
        <v>66.877596538975723</v>
      </c>
      <c r="I379">
        <v>996.40314664700281</v>
      </c>
      <c r="J379">
        <v>596.40314664700281</v>
      </c>
      <c r="K379">
        <v>2.1802102363481675</v>
      </c>
      <c r="L379">
        <v>0.93480376256737718</v>
      </c>
      <c r="M379">
        <v>78950.216515619511</v>
      </c>
      <c r="N379">
        <v>294.2733795467945</v>
      </c>
    </row>
    <row r="380" spans="2:14">
      <c r="B380">
        <v>335</v>
      </c>
      <c r="C380">
        <v>6.7628163273752335</v>
      </c>
      <c r="D380" s="10">
        <v>1.8938712833729445</v>
      </c>
      <c r="E380">
        <v>21.381165017102081</v>
      </c>
      <c r="F380">
        <v>0</v>
      </c>
      <c r="G380">
        <v>-10.681479339927872</v>
      </c>
      <c r="H380">
        <v>66.662605816116837</v>
      </c>
      <c r="I380">
        <v>997.74272994358978</v>
      </c>
      <c r="J380">
        <v>597.74272994358978</v>
      </c>
      <c r="K380">
        <v>2.1802102363481675</v>
      </c>
      <c r="L380">
        <v>0.93451453966911591</v>
      </c>
      <c r="M380">
        <v>78923.454428545287</v>
      </c>
      <c r="N380">
        <v>294.26467225536669</v>
      </c>
    </row>
    <row r="381" spans="2:14">
      <c r="B381">
        <v>336</v>
      </c>
      <c r="C381">
        <v>6.7829437569209929</v>
      </c>
      <c r="D381" s="10">
        <v>1.8811016858558174</v>
      </c>
      <c r="E381">
        <v>21.38115605620807</v>
      </c>
      <c r="F381">
        <v>0</v>
      </c>
      <c r="G381">
        <v>-10.675592615994915</v>
      </c>
      <c r="H381">
        <v>66.447733577879163</v>
      </c>
      <c r="I381">
        <v>999.07798960673574</v>
      </c>
      <c r="J381">
        <v>599.07798960673574</v>
      </c>
      <c r="K381">
        <v>2.1802102363481675</v>
      </c>
      <c r="L381">
        <v>0.93422633106593533</v>
      </c>
      <c r="M381">
        <v>78896.78698093025</v>
      </c>
      <c r="N381">
        <v>294.25599306755623</v>
      </c>
    </row>
    <row r="382" spans="2:14">
      <c r="B382">
        <v>337</v>
      </c>
      <c r="C382">
        <v>6.8030711864667524</v>
      </c>
      <c r="D382" s="10">
        <v>1.8683876176137115</v>
      </c>
      <c r="E382">
        <v>21.381147124319551</v>
      </c>
      <c r="F382">
        <v>0</v>
      </c>
      <c r="G382">
        <v>-10.669731457195596</v>
      </c>
      <c r="H382">
        <v>66.232979309702287</v>
      </c>
      <c r="I382">
        <v>1000.4089280056963</v>
      </c>
      <c r="J382">
        <v>600.40892800569634</v>
      </c>
      <c r="K382">
        <v>2.1802102363481675</v>
      </c>
      <c r="L382">
        <v>0.93393913544283225</v>
      </c>
      <c r="M382">
        <v>78870.21404304239</v>
      </c>
      <c r="N382">
        <v>294.247341967963</v>
      </c>
    </row>
    <row r="383" spans="2:14">
      <c r="B383">
        <v>338</v>
      </c>
      <c r="C383">
        <v>6.8231986160125118</v>
      </c>
      <c r="D383" s="10">
        <v>1.8557289005771229</v>
      </c>
      <c r="E383">
        <v>21.381138221420649</v>
      </c>
      <c r="F383">
        <v>0</v>
      </c>
      <c r="G383">
        <v>-10.663895781388506</v>
      </c>
      <c r="H383">
        <v>66.018342498679061</v>
      </c>
      <c r="I383">
        <v>1001.7355474994205</v>
      </c>
      <c r="J383">
        <v>601.73554749942048</v>
      </c>
      <c r="K383">
        <v>2.1802102363481675</v>
      </c>
      <c r="L383">
        <v>0.93365295149052807</v>
      </c>
      <c r="M383">
        <v>78843.735485718236</v>
      </c>
      <c r="N383">
        <v>294.23871894125375</v>
      </c>
    </row>
    <row r="384" spans="2:14">
      <c r="B384">
        <v>339</v>
      </c>
      <c r="C384">
        <v>6.8433260455582712</v>
      </c>
      <c r="D384" s="10">
        <v>1.8431253576712237</v>
      </c>
      <c r="E384">
        <v>21.381129347495548</v>
      </c>
      <c r="F384">
        <v>0</v>
      </c>
      <c r="G384">
        <v>-10.658085506890984</v>
      </c>
      <c r="H384">
        <v>65.803822633546432</v>
      </c>
      <c r="I384">
        <v>1003.0578504365831</v>
      </c>
      <c r="J384">
        <v>603.05785043658307</v>
      </c>
      <c r="K384">
        <v>2.1802102363481675</v>
      </c>
      <c r="L384">
        <v>0.93336777790545022</v>
      </c>
      <c r="M384">
        <v>78817.351180361016</v>
      </c>
      <c r="N384">
        <v>294.23012397216223</v>
      </c>
    </row>
    <row r="385" spans="2:14">
      <c r="B385">
        <v>340</v>
      </c>
      <c r="C385">
        <v>6.8634534751040306</v>
      </c>
      <c r="D385" s="10">
        <v>1.8305768128105195</v>
      </c>
      <c r="E385">
        <v>21.381120502528503</v>
      </c>
      <c r="F385">
        <v>0</v>
      </c>
      <c r="G385">
        <v>-10.652300552476623</v>
      </c>
      <c r="H385">
        <v>65.589419204676204</v>
      </c>
      <c r="I385">
        <v>1004.375839155618</v>
      </c>
      <c r="J385">
        <v>604.375839155618</v>
      </c>
      <c r="K385">
        <v>2.1802102363481675</v>
      </c>
      <c r="L385">
        <v>0.93308361338971879</v>
      </c>
      <c r="M385">
        <v>78791.060998939109</v>
      </c>
      <c r="N385">
        <v>294.22155704548851</v>
      </c>
    </row>
    <row r="386" spans="2:14">
      <c r="B386">
        <v>341</v>
      </c>
      <c r="C386">
        <v>6.88358090464979</v>
      </c>
      <c r="D386" s="10">
        <v>1.8180830908935317</v>
      </c>
      <c r="E386">
        <v>21.381111686503829</v>
      </c>
      <c r="F386">
        <v>0</v>
      </c>
      <c r="G386">
        <v>-10.646540837372825</v>
      </c>
      <c r="H386">
        <v>65.375131704065936</v>
      </c>
      <c r="I386">
        <v>1005.6895159847508</v>
      </c>
      <c r="J386">
        <v>605.68951598475076</v>
      </c>
      <c r="K386">
        <v>2.1802102363481675</v>
      </c>
      <c r="L386">
        <v>0.93280045665112177</v>
      </c>
      <c r="M386">
        <v>78764.86481398379</v>
      </c>
      <c r="N386">
        <v>294.2130181460991</v>
      </c>
    </row>
    <row r="387" spans="2:14">
      <c r="B387">
        <v>342</v>
      </c>
      <c r="C387">
        <v>6.9037083341955494</v>
      </c>
      <c r="D387" s="10">
        <v>1.8056440177975299</v>
      </c>
      <c r="E387">
        <v>21.381102899405921</v>
      </c>
      <c r="F387">
        <v>0</v>
      </c>
      <c r="G387">
        <v>-10.640806281258364</v>
      </c>
      <c r="H387">
        <v>65.160959625329838</v>
      </c>
      <c r="I387">
        <v>1006.998883242031</v>
      </c>
      <c r="J387">
        <v>606.99888324203096</v>
      </c>
      <c r="K387">
        <v>2.1802102363481675</v>
      </c>
      <c r="L387">
        <v>0.93251830640309896</v>
      </c>
      <c r="M387">
        <v>78738.762498587515</v>
      </c>
      <c r="N387">
        <v>294.20450725892681</v>
      </c>
    </row>
    <row r="388" spans="2:14">
      <c r="B388">
        <v>343</v>
      </c>
      <c r="C388">
        <v>6.9238357637413088</v>
      </c>
      <c r="D388" s="10">
        <v>1.7932594203733041</v>
      </c>
      <c r="E388">
        <v>21.381094141219233</v>
      </c>
      <c r="F388">
        <v>0</v>
      </c>
      <c r="G388">
        <v>-10.63509680426097</v>
      </c>
      <c r="H388">
        <v>64.946902463689739</v>
      </c>
      <c r="I388">
        <v>1008.3039432353644</v>
      </c>
      <c r="J388">
        <v>608.30394323536439</v>
      </c>
      <c r="K388">
        <v>2.1802102363481675</v>
      </c>
      <c r="L388">
        <v>0.93223716136472634</v>
      </c>
      <c r="M388">
        <v>78712.753926402263</v>
      </c>
      <c r="N388">
        <v>294.19602436897014</v>
      </c>
    </row>
    <row r="389" spans="2:14">
      <c r="B389">
        <v>344</v>
      </c>
      <c r="C389">
        <v>6.9439631932870682</v>
      </c>
      <c r="D389" s="10">
        <v>1.7809291264399665</v>
      </c>
      <c r="E389">
        <v>21.381085411928293</v>
      </c>
      <c r="F389">
        <v>0</v>
      </c>
      <c r="G389">
        <v>-10.629412326954933</v>
      </c>
      <c r="H389">
        <v>64.732959715966118</v>
      </c>
      <c r="I389">
        <v>1009.6046982625452</v>
      </c>
      <c r="J389">
        <v>609.60469826254518</v>
      </c>
      <c r="K389">
        <v>2.1802102363481675</v>
      </c>
      <c r="L389">
        <v>0.93195702026069549</v>
      </c>
      <c r="M389">
        <v>78686.838971637539</v>
      </c>
      <c r="N389">
        <v>294.18756946129344</v>
      </c>
    </row>
    <row r="390" spans="2:14">
      <c r="B390">
        <v>345</v>
      </c>
      <c r="C390">
        <v>6.9640906228328276</v>
      </c>
      <c r="D390" s="10">
        <v>1.7686529647797957</v>
      </c>
      <c r="E390">
        <v>21.381076711517697</v>
      </c>
      <c r="F390">
        <v>0</v>
      </c>
      <c r="G390">
        <v>-10.623752770358708</v>
      </c>
      <c r="H390">
        <v>64.519130880569151</v>
      </c>
      <c r="I390">
        <v>1010.9011506112878</v>
      </c>
      <c r="J390">
        <v>610.90115061128779</v>
      </c>
      <c r="K390">
        <v>2.1802102363481675</v>
      </c>
      <c r="L390">
        <v>0.93167788182129685</v>
      </c>
      <c r="M390">
        <v>78661.0175090587</v>
      </c>
      <c r="N390">
        <v>294.17914252102662</v>
      </c>
    </row>
    <row r="391" spans="2:14">
      <c r="B391">
        <v>346</v>
      </c>
      <c r="C391">
        <v>6.9842180523785871</v>
      </c>
      <c r="D391" s="10">
        <v>1.756430765133111</v>
      </c>
      <c r="E391">
        <v>21.381068039972106</v>
      </c>
      <c r="F391">
        <v>0</v>
      </c>
      <c r="G391">
        <v>-10.61811805593257</v>
      </c>
      <c r="H391">
        <v>64.305415457489815</v>
      </c>
      <c r="I391">
        <v>1012.1933025592588</v>
      </c>
      <c r="J391">
        <v>612.19330255925877</v>
      </c>
      <c r="K391">
        <v>2.1802102363481675</v>
      </c>
      <c r="L391">
        <v>0.93139974478239851</v>
      </c>
      <c r="M391">
        <v>78635.289413984807</v>
      </c>
      <c r="N391">
        <v>294.17074353336483</v>
      </c>
    </row>
    <row r="392" spans="2:14">
      <c r="B392">
        <v>347</v>
      </c>
      <c r="C392">
        <v>7.0043454819243465</v>
      </c>
      <c r="D392" s="10">
        <v>1.7442623581932037</v>
      </c>
      <c r="E392">
        <v>21.38105939727625</v>
      </c>
      <c r="F392">
        <v>0</v>
      </c>
      <c r="G392">
        <v>-10.612508105576239</v>
      </c>
      <c r="H392">
        <v>64.091812948291022</v>
      </c>
      <c r="I392">
        <v>1013.4811563741082</v>
      </c>
      <c r="J392">
        <v>613.4811563741082</v>
      </c>
      <c r="K392">
        <v>2.1802102363481675</v>
      </c>
      <c r="L392">
        <v>0.93112260788543777</v>
      </c>
      <c r="M392">
        <v>78609.654562287615</v>
      </c>
      <c r="N392">
        <v>294.16237248356828</v>
      </c>
    </row>
    <row r="393" spans="2:14">
      <c r="B393">
        <v>348</v>
      </c>
      <c r="C393">
        <v>7.0244729114701059</v>
      </c>
      <c r="D393" s="10">
        <v>1.7321475756012708</v>
      </c>
      <c r="E393">
        <v>21.381050783414924</v>
      </c>
      <c r="F393">
        <v>0</v>
      </c>
      <c r="G393">
        <v>-10.606922841626576</v>
      </c>
      <c r="H393">
        <v>63.878322856098876</v>
      </c>
      <c r="I393">
        <v>1014.7647143135009</v>
      </c>
      <c r="J393">
        <v>614.76471431350092</v>
      </c>
      <c r="K393">
        <v>2.1802102363481675</v>
      </c>
      <c r="L393">
        <v>0.93084646987738995</v>
      </c>
      <c r="M393">
        <v>78584.112830388738</v>
      </c>
      <c r="N393">
        <v>294.15402935696227</v>
      </c>
    </row>
    <row r="394" spans="2:14">
      <c r="B394">
        <v>349</v>
      </c>
      <c r="C394">
        <v>7.0446003410158653</v>
      </c>
      <c r="D394" s="10">
        <v>1.7200862499414258</v>
      </c>
      <c r="E394">
        <v>21.381042198372988</v>
      </c>
      <c r="F394">
        <v>0</v>
      </c>
      <c r="G394">
        <v>-10.601362186855242</v>
      </c>
      <c r="H394">
        <v>63.664944685593866</v>
      </c>
      <c r="I394">
        <v>1016.0439786251482</v>
      </c>
      <c r="J394">
        <v>616.04397862514816</v>
      </c>
      <c r="K394">
        <v>2.1802102363481675</v>
      </c>
      <c r="L394">
        <v>0.93057132951076538</v>
      </c>
      <c r="M394">
        <v>78558.664095258981</v>
      </c>
      <c r="N394">
        <v>294.14571413893651</v>
      </c>
    </row>
    <row r="395" spans="2:14">
      <c r="B395">
        <v>350</v>
      </c>
      <c r="C395">
        <v>7.0647277705616247</v>
      </c>
      <c r="D395" s="10">
        <v>1.7080782147357072</v>
      </c>
      <c r="E395">
        <v>21.381033642135382</v>
      </c>
      <c r="F395">
        <v>0</v>
      </c>
      <c r="G395">
        <v>-10.595826064466424</v>
      </c>
      <c r="H395">
        <v>63.451677943002196</v>
      </c>
      <c r="I395">
        <v>1017.3189515468382</v>
      </c>
      <c r="J395">
        <v>617.31895154683821</v>
      </c>
      <c r="K395">
        <v>2.1802102363481675</v>
      </c>
      <c r="L395">
        <v>0.93029718554357976</v>
      </c>
      <c r="M395">
        <v>78533.308234415686</v>
      </c>
      <c r="N395">
        <v>294.13742681494557</v>
      </c>
    </row>
    <row r="396" spans="2:14">
      <c r="B396">
        <v>351</v>
      </c>
      <c r="C396">
        <v>7.0848552001073841</v>
      </c>
      <c r="D396" s="10">
        <v>1.6961233044391524</v>
      </c>
      <c r="E396">
        <v>21.381025114687095</v>
      </c>
      <c r="F396">
        <v>0</v>
      </c>
      <c r="G396">
        <v>-10.590314398094536</v>
      </c>
      <c r="H396">
        <v>63.238522136087106</v>
      </c>
      <c r="I396">
        <v>1018.5896353064672</v>
      </c>
      <c r="J396">
        <v>618.58963530646724</v>
      </c>
      <c r="K396">
        <v>2.1802102363481675</v>
      </c>
      <c r="L396">
        <v>0.93002403673934553</v>
      </c>
      <c r="M396">
        <v>78508.045125921592</v>
      </c>
      <c r="N396">
        <v>294.12916737050796</v>
      </c>
    </row>
    <row r="397" spans="2:14">
      <c r="B397">
        <v>352</v>
      </c>
      <c r="C397">
        <v>7.1049826296531435</v>
      </c>
      <c r="D397" s="10">
        <v>1.6842213544348845</v>
      </c>
      <c r="E397">
        <v>21.381016616013191</v>
      </c>
      <c r="F397">
        <v>0</v>
      </c>
      <c r="G397">
        <v>-10.584827111801962</v>
      </c>
      <c r="H397">
        <v>63.025476774140266</v>
      </c>
      <c r="I397">
        <v>1019.8560321220704</v>
      </c>
      <c r="J397">
        <v>619.85603212207036</v>
      </c>
      <c r="K397">
        <v>2.1802102363481675</v>
      </c>
      <c r="L397">
        <v>0.92975188186704805</v>
      </c>
      <c r="M397">
        <v>78482.874648382611</v>
      </c>
      <c r="N397">
        <v>294.12093579120653</v>
      </c>
    </row>
    <row r="398" spans="2:14">
      <c r="B398">
        <v>353</v>
      </c>
      <c r="C398">
        <v>7.1251100591989029</v>
      </c>
      <c r="D398" s="10">
        <v>1.672372201029257</v>
      </c>
      <c r="E398">
        <v>21.381008146098804</v>
      </c>
      <c r="F398">
        <v>0</v>
      </c>
      <c r="G398">
        <v>-10.579364130076804</v>
      </c>
      <c r="H398">
        <v>62.812541367973211</v>
      </c>
      <c r="I398">
        <v>1021.1181442018517</v>
      </c>
      <c r="J398">
        <v>621.11814420185169</v>
      </c>
      <c r="K398">
        <v>2.1802102363481675</v>
      </c>
      <c r="L398">
        <v>0.92948071970113511</v>
      </c>
      <c r="M398">
        <v>78457.79668094666</v>
      </c>
      <c r="N398">
        <v>294.11273206268794</v>
      </c>
    </row>
    <row r="399" spans="2:14">
      <c r="B399">
        <v>354</v>
      </c>
      <c r="C399">
        <v>7.1452374887446624</v>
      </c>
      <c r="D399" s="10">
        <v>1.6605756814470116</v>
      </c>
      <c r="E399">
        <v>21.380999704929124</v>
      </c>
      <c r="F399">
        <v>0</v>
      </c>
      <c r="G399">
        <v>-10.573925377830657</v>
      </c>
      <c r="H399">
        <v>62.599715429908805</v>
      </c>
      <c r="I399">
        <v>1022.3759737442149</v>
      </c>
      <c r="J399">
        <v>622.37597374421489</v>
      </c>
      <c r="K399">
        <v>2.1802102363481675</v>
      </c>
      <c r="L399">
        <v>0.92921054902149491</v>
      </c>
      <c r="M399">
        <v>78432.811103301501</v>
      </c>
      <c r="N399">
        <v>294.10455617066259</v>
      </c>
    </row>
    <row r="400" spans="2:14">
      <c r="B400">
        <v>355</v>
      </c>
      <c r="C400">
        <v>7.1653649182904218</v>
      </c>
      <c r="D400" s="10">
        <v>1.6488316338264828</v>
      </c>
      <c r="E400">
        <v>21.380991292489416</v>
      </c>
      <c r="F400">
        <v>0</v>
      </c>
      <c r="G400">
        <v>-10.568510780396375</v>
      </c>
      <c r="H400">
        <v>62.386998473772778</v>
      </c>
      <c r="I400">
        <v>1023.6295229377932</v>
      </c>
      <c r="J400">
        <v>623.62952293779324</v>
      </c>
      <c r="K400">
        <v>2.1802102363481675</v>
      </c>
      <c r="L400">
        <v>0.92894136861344068</v>
      </c>
      <c r="M400">
        <v>78407.917795673158</v>
      </c>
      <c r="N400">
        <v>294.09640810090434</v>
      </c>
    </row>
    <row r="401" spans="2:14">
      <c r="B401">
        <v>356</v>
      </c>
      <c r="C401">
        <v>7.1854923478361812</v>
      </c>
      <c r="D401" s="10">
        <v>1.637139897214837</v>
      </c>
      <c r="E401">
        <v>21.380982908765002</v>
      </c>
      <c r="F401">
        <v>0</v>
      </c>
      <c r="G401">
        <v>-10.563120263525891</v>
      </c>
      <c r="H401">
        <v>62.174390014885276</v>
      </c>
      <c r="I401">
        <v>1024.8787939614799</v>
      </c>
      <c r="J401">
        <v>624.87879396147991</v>
      </c>
      <c r="K401">
        <v>2.1802102363481675</v>
      </c>
      <c r="L401">
        <v>0.92867317726769438</v>
      </c>
      <c r="M401">
        <v>78383.116638824256</v>
      </c>
      <c r="N401">
        <v>294.08828783925037</v>
      </c>
    </row>
    <row r="402" spans="2:14">
      <c r="B402">
        <v>357</v>
      </c>
      <c r="C402">
        <v>7.2056197773819406</v>
      </c>
      <c r="D402" s="10">
        <v>1.625500311563342</v>
      </c>
      <c r="E402">
        <v>21.380974553741282</v>
      </c>
      <c r="F402">
        <v>0</v>
      </c>
      <c r="G402">
        <v>-10.557753753388017</v>
      </c>
      <c r="H402">
        <v>61.961889570052477</v>
      </c>
      <c r="I402">
        <v>1026.1237889844574</v>
      </c>
      <c r="J402">
        <v>626.12378898445741</v>
      </c>
      <c r="K402">
        <v>2.1802102363481675</v>
      </c>
      <c r="L402">
        <v>0.92840597378037026</v>
      </c>
      <c r="M402">
        <v>78358.407514052422</v>
      </c>
      <c r="N402">
        <v>294.08019537160101</v>
      </c>
    </row>
    <row r="403" spans="2:14">
      <c r="B403">
        <v>358</v>
      </c>
      <c r="C403">
        <v>7.2257472069277</v>
      </c>
      <c r="D403" s="10">
        <v>1.6139127177226706</v>
      </c>
      <c r="E403">
        <v>21.380966227403707</v>
      </c>
      <c r="F403">
        <v>0</v>
      </c>
      <c r="G403">
        <v>-10.552411176566284</v>
      </c>
      <c r="H403">
        <v>61.749496657558254</v>
      </c>
      <c r="I403">
        <v>1027.3645101662273</v>
      </c>
      <c r="J403">
        <v>627.36451016622732</v>
      </c>
      <c r="K403">
        <v>2.1802102363481675</v>
      </c>
      <c r="L403">
        <v>0.92813975695295647</v>
      </c>
      <c r="M403">
        <v>78333.790303188391</v>
      </c>
      <c r="N403">
        <v>294.07213068391951</v>
      </c>
    </row>
    <row r="404" spans="2:14">
      <c r="B404">
        <v>359</v>
      </c>
      <c r="C404">
        <v>7.2458746364734594</v>
      </c>
      <c r="D404" s="10">
        <v>1.6023769574382447</v>
      </c>
      <c r="E404">
        <v>21.380957929737807</v>
      </c>
      <c r="F404">
        <v>0</v>
      </c>
      <c r="G404">
        <v>-10.547092460056785</v>
      </c>
      <c r="H404">
        <v>61.537210797155851</v>
      </c>
      <c r="I404">
        <v>1028.6009596566403</v>
      </c>
      <c r="J404">
        <v>628.60095965664027</v>
      </c>
      <c r="K404">
        <v>2.1802102363481675</v>
      </c>
      <c r="L404">
        <v>0.92787452559230266</v>
      </c>
      <c r="M404">
        <v>78309.264888594684</v>
      </c>
      <c r="N404">
        <v>294.06409376223183</v>
      </c>
    </row>
    <row r="405" spans="2:14">
      <c r="B405">
        <v>360</v>
      </c>
      <c r="C405">
        <v>7.2660020660192188</v>
      </c>
      <c r="D405" s="10">
        <v>1.5908928733455989</v>
      </c>
      <c r="E405">
        <v>21.380949660729158</v>
      </c>
      <c r="F405">
        <v>0</v>
      </c>
      <c r="G405">
        <v>-10.541797531266036</v>
      </c>
      <c r="H405">
        <v>61.325031510059631</v>
      </c>
      <c r="I405">
        <v>1029.8331395959244</v>
      </c>
      <c r="J405">
        <v>629.83313959592442</v>
      </c>
      <c r="K405">
        <v>2.1802102363481675</v>
      </c>
      <c r="L405">
        <v>0.9276102785105983</v>
      </c>
      <c r="M405">
        <v>78284.83115316357</v>
      </c>
      <c r="N405">
        <v>294.05608459262652</v>
      </c>
    </row>
    <row r="406" spans="2:14">
      <c r="B406">
        <v>361</v>
      </c>
      <c r="C406">
        <v>7.2861294955649782</v>
      </c>
      <c r="D406" s="10">
        <v>1.5794603089657897</v>
      </c>
      <c r="E406">
        <v>21.38094142036342</v>
      </c>
      <c r="F406">
        <v>0</v>
      </c>
      <c r="G406">
        <v>-10.536526318008848</v>
      </c>
      <c r="H406">
        <v>61.112958318936862</v>
      </c>
      <c r="I406">
        <v>1031.0610521147153</v>
      </c>
      <c r="J406">
        <v>631.06105211471527</v>
      </c>
      <c r="K406">
        <v>2.1802102363481675</v>
      </c>
      <c r="L406">
        <v>0.92734701452535884</v>
      </c>
      <c r="M406">
        <v>78260.488980315538</v>
      </c>
      <c r="N406">
        <v>294.04810316125435</v>
      </c>
    </row>
    <row r="407" spans="2:14">
      <c r="B407">
        <v>362</v>
      </c>
      <c r="C407">
        <v>7.3062569251107377</v>
      </c>
      <c r="D407" s="10">
        <v>1.5680791087008361</v>
      </c>
      <c r="E407">
        <v>21.380933208626306</v>
      </c>
      <c r="F407">
        <v>0</v>
      </c>
      <c r="G407">
        <v>-10.531278748506233</v>
      </c>
      <c r="H407">
        <v>60.900990747899549</v>
      </c>
      <c r="I407">
        <v>1032.2846993340845</v>
      </c>
      <c r="J407">
        <v>632.28469933408451</v>
      </c>
      <c r="K407">
        <v>2.1802102363481675</v>
      </c>
      <c r="L407">
        <v>0.9270847324594097</v>
      </c>
      <c r="M407">
        <v>78236.238253997799</v>
      </c>
      <c r="N407">
        <v>294.04014945432846</v>
      </c>
    </row>
    <row r="408" spans="2:14">
      <c r="B408">
        <v>363</v>
      </c>
      <c r="C408">
        <v>7.3263843546564971</v>
      </c>
      <c r="D408" s="10">
        <v>1.5567491178291919</v>
      </c>
      <c r="E408">
        <v>21.380925025503593</v>
      </c>
      <c r="F408">
        <v>0</v>
      </c>
      <c r="G408">
        <v>-10.526054751383302</v>
      </c>
      <c r="H408">
        <v>60.689128322496273</v>
      </c>
      <c r="I408">
        <v>1033.5040833655687</v>
      </c>
      <c r="J408">
        <v>633.5040833655687</v>
      </c>
      <c r="K408">
        <v>2.1802102363481675</v>
      </c>
      <c r="L408">
        <v>0.92682343114087351</v>
      </c>
      <c r="M408">
        <v>78212.078858682798</v>
      </c>
      <c r="N408">
        <v>294.03222345812378</v>
      </c>
    </row>
    <row r="409" spans="2:14">
      <c r="B409">
        <v>364</v>
      </c>
      <c r="C409">
        <v>7.3465117842022565</v>
      </c>
      <c r="D409" s="10">
        <v>1.5454701825012378</v>
      </c>
      <c r="E409">
        <v>21.380916870981132</v>
      </c>
      <c r="F409">
        <v>0</v>
      </c>
      <c r="G409">
        <v>-10.520854255667189</v>
      </c>
      <c r="H409">
        <v>60.477370569704128</v>
      </c>
      <c r="I409">
        <v>1034.7192063111981</v>
      </c>
      <c r="J409">
        <v>634.71920631119815</v>
      </c>
      <c r="K409">
        <v>2.1802102363481675</v>
      </c>
      <c r="L409">
        <v>0.92656310940314468</v>
      </c>
      <c r="M409">
        <v>78188.010679365936</v>
      </c>
      <c r="N409">
        <v>294.02432515897721</v>
      </c>
    </row>
    <row r="410" spans="2:14">
      <c r="B410">
        <v>365</v>
      </c>
      <c r="C410">
        <v>7.3666392137480159</v>
      </c>
      <c r="D410" s="10">
        <v>1.5342421497348286</v>
      </c>
      <c r="E410">
        <v>21.380908745044831</v>
      </c>
      <c r="F410">
        <v>0</v>
      </c>
      <c r="G410">
        <v>-10.515677190784986</v>
      </c>
      <c r="H410">
        <v>60.26571701792065</v>
      </c>
      <c r="I410">
        <v>1035.9300702635253</v>
      </c>
      <c r="J410">
        <v>635.93007026352529</v>
      </c>
      <c r="K410">
        <v>2.1802102363481675</v>
      </c>
      <c r="L410">
        <v>0.92630376608488241</v>
      </c>
      <c r="M410">
        <v>78164.033601564603</v>
      </c>
      <c r="N410">
        <v>294.01645454328707</v>
      </c>
    </row>
    <row r="411" spans="2:14">
      <c r="B411">
        <v>366</v>
      </c>
      <c r="C411">
        <v>7.3867666432937753</v>
      </c>
      <c r="D411" s="10">
        <v>1.5230648674108624</v>
      </c>
      <c r="E411">
        <v>21.380900647680654</v>
      </c>
      <c r="F411">
        <v>0</v>
      </c>
      <c r="G411">
        <v>-10.510523486561706</v>
      </c>
      <c r="H411">
        <v>60.054167196955824</v>
      </c>
      <c r="I411">
        <v>1037.1366773056529</v>
      </c>
      <c r="J411">
        <v>637.13667730565294</v>
      </c>
      <c r="K411">
        <v>2.1802102363481675</v>
      </c>
      <c r="L411">
        <v>0.92604540002999403</v>
      </c>
      <c r="M411">
        <v>78140.147511316623</v>
      </c>
      <c r="N411">
        <v>294.00861159751327</v>
      </c>
    </row>
    <row r="412" spans="2:14">
      <c r="B412">
        <v>367</v>
      </c>
      <c r="C412">
        <v>7.4068940728395347</v>
      </c>
      <c r="D412" s="10">
        <v>1.5119381842688671</v>
      </c>
      <c r="E412">
        <v>21.380892578874644</v>
      </c>
      <c r="F412">
        <v>0</v>
      </c>
      <c r="G412">
        <v>-10.505393073218229</v>
      </c>
      <c r="H412">
        <v>59.842720638024112</v>
      </c>
      <c r="I412">
        <v>1038.3390295112627</v>
      </c>
      <c r="J412">
        <v>638.33902951126265</v>
      </c>
      <c r="K412">
        <v>2.1802102363481675</v>
      </c>
      <c r="L412">
        <v>0.92578801008761258</v>
      </c>
      <c r="M412">
        <v>78116.352295177989</v>
      </c>
      <c r="N412">
        <v>294.0007963081768</v>
      </c>
    </row>
    <row r="413" spans="2:14">
      <c r="B413">
        <v>368</v>
      </c>
      <c r="C413">
        <v>7.4270215023852941</v>
      </c>
      <c r="D413" s="10">
        <v>1.5008619499026423</v>
      </c>
      <c r="E413">
        <v>21.380884538612897</v>
      </c>
      <c r="F413">
        <v>0</v>
      </c>
      <c r="G413">
        <v>-10.50028588136931</v>
      </c>
      <c r="H413">
        <v>59.631376873736514</v>
      </c>
      <c r="I413">
        <v>1039.5371289446425</v>
      </c>
      <c r="J413">
        <v>639.53712894464252</v>
      </c>
      <c r="K413">
        <v>2.1802102363481675</v>
      </c>
      <c r="L413">
        <v>0.92553159511208838</v>
      </c>
      <c r="M413">
        <v>78092.64784022198</v>
      </c>
      <c r="N413">
        <v>293.99300866185985</v>
      </c>
    </row>
    <row r="414" spans="2:14">
      <c r="B414">
        <v>369</v>
      </c>
      <c r="C414">
        <v>7.4471489319310535</v>
      </c>
      <c r="D414" s="10">
        <v>1.4898360147559213</v>
      </c>
      <c r="E414">
        <v>21.380876526881572</v>
      </c>
      <c r="F414">
        <v>0</v>
      </c>
      <c r="G414">
        <v>-10.495201842021556</v>
      </c>
      <c r="H414">
        <v>59.4201354380927</v>
      </c>
      <c r="I414">
        <v>1040.7309776607158</v>
      </c>
      <c r="J414">
        <v>640.73097766071578</v>
      </c>
      <c r="K414">
        <v>2.1802102363481675</v>
      </c>
      <c r="L414">
        <v>0.92527615396297114</v>
      </c>
      <c r="M414">
        <v>78069.034034037322</v>
      </c>
      <c r="N414">
        <v>293.98524864520533</v>
      </c>
    </row>
    <row r="415" spans="2:14">
      <c r="B415">
        <v>370</v>
      </c>
      <c r="C415">
        <v>7.467276361476813</v>
      </c>
      <c r="D415" s="10">
        <v>1.478860230118054</v>
      </c>
      <c r="E415">
        <v>21.380868543666896</v>
      </c>
      <c r="F415">
        <v>0</v>
      </c>
      <c r="G415">
        <v>-10.490140886571439</v>
      </c>
      <c r="H415">
        <v>59.208995866473138</v>
      </c>
      <c r="I415">
        <v>1041.9205777050674</v>
      </c>
      <c r="J415">
        <v>641.92057770506744</v>
      </c>
      <c r="K415">
        <v>2.1802102363481675</v>
      </c>
      <c r="L415">
        <v>0.92502168550499075</v>
      </c>
      <c r="M415">
        <v>78045.510764726423</v>
      </c>
      <c r="N415">
        <v>293.97751624491707</v>
      </c>
    </row>
    <row r="416" spans="2:14">
      <c r="B416">
        <v>371</v>
      </c>
      <c r="C416">
        <v>7.4874037910225724</v>
      </c>
      <c r="D416" s="10">
        <v>1.4679344481197483</v>
      </c>
      <c r="E416">
        <v>21.380860588955152</v>
      </c>
      <c r="F416">
        <v>0</v>
      </c>
      <c r="G416">
        <v>-10.485102946803327</v>
      </c>
      <c r="H416">
        <v>58.997957695631314</v>
      </c>
      <c r="I416">
        <v>1043.1059311139725</v>
      </c>
      <c r="J416">
        <v>643.10593111397247</v>
      </c>
      <c r="K416">
        <v>2.1802102363481675</v>
      </c>
      <c r="L416">
        <v>0.92476818860805055</v>
      </c>
      <c r="M416">
        <v>78022.077920904398</v>
      </c>
      <c r="N416">
        <v>293.96981144775918</v>
      </c>
    </row>
    <row r="417" spans="2:14">
      <c r="B417">
        <v>372</v>
      </c>
      <c r="C417">
        <v>7.5075312205683318</v>
      </c>
      <c r="D417" s="10">
        <v>1.4570585217288046</v>
      </c>
      <c r="E417">
        <v>21.380852662732693</v>
      </c>
      <c r="F417">
        <v>0</v>
      </c>
      <c r="G417">
        <v>-10.480087954887518</v>
      </c>
      <c r="H417">
        <v>58.787020463685948</v>
      </c>
      <c r="I417">
        <v>1044.2870399144231</v>
      </c>
      <c r="J417">
        <v>644.28703991442308</v>
      </c>
      <c r="K417">
        <v>2.1802102363481675</v>
      </c>
      <c r="L417">
        <v>0.92451566214720016</v>
      </c>
      <c r="M417">
        <v>77998.735391696639</v>
      </c>
      <c r="N417">
        <v>293.96213424055622</v>
      </c>
    </row>
    <row r="418" spans="2:14">
      <c r="B418">
        <v>373</v>
      </c>
      <c r="C418">
        <v>7.5276586501140912</v>
      </c>
      <c r="D418" s="10">
        <v>1.4462323047459211</v>
      </c>
      <c r="E418">
        <v>21.38084476498593</v>
      </c>
      <c r="F418">
        <v>0</v>
      </c>
      <c r="G418">
        <v>-10.475095843378295</v>
      </c>
      <c r="H418">
        <v>58.57618371011327</v>
      </c>
      <c r="I418">
        <v>1045.4639061241562</v>
      </c>
      <c r="J418">
        <v>645.46390612415621</v>
      </c>
      <c r="K418">
        <v>2.1802102363481675</v>
      </c>
      <c r="L418">
        <v>0.9242641050026329</v>
      </c>
      <c r="M418">
        <v>77975.483066738321</v>
      </c>
      <c r="N418">
        <v>293.95448461019299</v>
      </c>
    </row>
    <row r="419" spans="2:14">
      <c r="B419">
        <v>374</v>
      </c>
      <c r="C419">
        <v>7.5477860796598506</v>
      </c>
      <c r="D419" s="10">
        <v>1.4354556518004935</v>
      </c>
      <c r="E419">
        <v>21.380836895701343</v>
      </c>
      <c r="F419">
        <v>0</v>
      </c>
      <c r="G419">
        <v>-10.470126545211988</v>
      </c>
      <c r="H419">
        <v>58.365446975739324</v>
      </c>
      <c r="I419">
        <v>1046.6365317516802</v>
      </c>
      <c r="J419">
        <v>646.6365317516802</v>
      </c>
      <c r="K419">
        <v>2.1802102363481675</v>
      </c>
      <c r="L419">
        <v>0.92401351605966098</v>
      </c>
      <c r="M419">
        <v>77952.320836172017</v>
      </c>
      <c r="N419">
        <v>293.94686254361409</v>
      </c>
    </row>
    <row r="420" spans="2:14">
      <c r="B420">
        <v>375</v>
      </c>
      <c r="C420">
        <v>7.56791350920561</v>
      </c>
      <c r="D420" s="10">
        <v>1.4247284183464672</v>
      </c>
      <c r="E420">
        <v>21.380829054865458</v>
      </c>
      <c r="F420">
        <v>0</v>
      </c>
      <c r="G420">
        <v>-10.465179993705066</v>
      </c>
      <c r="H420">
        <v>58.154809802732331</v>
      </c>
      <c r="I420">
        <v>1047.804918796302</v>
      </c>
      <c r="J420">
        <v>647.80491879630199</v>
      </c>
      <c r="K420">
        <v>2.1802102363481675</v>
      </c>
      <c r="L420">
        <v>0.92376389420870431</v>
      </c>
      <c r="M420">
        <v>77929.248590646544</v>
      </c>
      <c r="N420">
        <v>293.93926802782403</v>
      </c>
    </row>
    <row r="421" spans="2:14">
      <c r="B421">
        <v>376</v>
      </c>
      <c r="C421">
        <v>7.5880409387513694</v>
      </c>
      <c r="D421" s="10">
        <v>1.414050460658214</v>
      </c>
      <c r="E421">
        <v>21.380821242464883</v>
      </c>
      <c r="F421">
        <v>0</v>
      </c>
      <c r="G421">
        <v>-10.460256122552213</v>
      </c>
      <c r="H421">
        <v>57.944271734595063</v>
      </c>
      <c r="I421">
        <v>1048.9690692481538</v>
      </c>
      <c r="J421">
        <v>648.9690692481538</v>
      </c>
      <c r="K421">
        <v>2.1802102363481675</v>
      </c>
      <c r="L421">
        <v>0.92351523834527716</v>
      </c>
      <c r="M421">
        <v>77906.2662213156</v>
      </c>
      <c r="N421">
        <v>293.93170104988701</v>
      </c>
    </row>
    <row r="422" spans="2:14">
      <c r="B422">
        <v>377</v>
      </c>
      <c r="C422">
        <v>7.6081683682971288</v>
      </c>
      <c r="D422" s="10">
        <v>1.403421635826432</v>
      </c>
      <c r="E422">
        <v>21.380813458486262</v>
      </c>
      <c r="F422">
        <v>0</v>
      </c>
      <c r="G422">
        <v>-10.455354865824456</v>
      </c>
      <c r="H422">
        <v>57.733832316157262</v>
      </c>
      <c r="I422">
        <v>1050.1289850882199</v>
      </c>
      <c r="J422">
        <v>650.12898508821991</v>
      </c>
      <c r="K422">
        <v>2.1802102363481675</v>
      </c>
      <c r="L422">
        <v>0.92326754736997019</v>
      </c>
      <c r="M422">
        <v>77883.373619835955</v>
      </c>
      <c r="N422">
        <v>293.92416159692658</v>
      </c>
    </row>
    <row r="423" spans="2:14">
      <c r="B423">
        <v>378</v>
      </c>
      <c r="C423">
        <v>7.6282957978428882</v>
      </c>
      <c r="D423" s="10">
        <v>1.3928418017540802</v>
      </c>
      <c r="E423">
        <v>21.380805702916327</v>
      </c>
      <c r="F423">
        <v>0</v>
      </c>
      <c r="G423">
        <v>-10.450476157967262</v>
      </c>
      <c r="H423">
        <v>57.523491093568133</v>
      </c>
      <c r="I423">
        <v>1051.2846682883628</v>
      </c>
      <c r="J423">
        <v>651.28466828836281</v>
      </c>
      <c r="K423">
        <v>2.1802102363481675</v>
      </c>
      <c r="L423">
        <v>0.92302082018843556</v>
      </c>
      <c r="M423">
        <v>77860.570678365999</v>
      </c>
      <c r="N423">
        <v>293.91664965612563</v>
      </c>
    </row>
    <row r="424" spans="2:14">
      <c r="B424">
        <v>379</v>
      </c>
      <c r="C424">
        <v>7.6484232273886477</v>
      </c>
      <c r="D424" s="10">
        <v>1.3823108171523479</v>
      </c>
      <c r="E424">
        <v>21.38079797574186</v>
      </c>
      <c r="F424">
        <v>0</v>
      </c>
      <c r="G424">
        <v>-10.445619933798707</v>
      </c>
      <c r="H424">
        <v>57.313247614288819</v>
      </c>
      <c r="I424">
        <v>1052.4361208113498</v>
      </c>
      <c r="J424">
        <v>652.43612081134984</v>
      </c>
      <c r="K424">
        <v>2.1802102363481675</v>
      </c>
      <c r="L424">
        <v>0.92277505571137719</v>
      </c>
      <c r="M424">
        <v>77837.857289564665</v>
      </c>
      <c r="N424">
        <v>293.90916521472622</v>
      </c>
    </row>
    <row r="425" spans="2:14">
      <c r="B425">
        <v>380</v>
      </c>
      <c r="C425">
        <v>7.6685506569344071</v>
      </c>
      <c r="D425" s="10">
        <v>1.3718285415366367</v>
      </c>
      <c r="E425">
        <v>21.380790276949703</v>
      </c>
      <c r="F425">
        <v>0</v>
      </c>
      <c r="G425">
        <v>-10.440786128507593</v>
      </c>
      <c r="H425">
        <v>57.103101427084937</v>
      </c>
      <c r="I425">
        <v>1053.5833446108793</v>
      </c>
      <c r="J425">
        <v>653.58334461087929</v>
      </c>
      <c r="K425">
        <v>2.1802102363481675</v>
      </c>
      <c r="L425">
        <v>0.9225302528545295</v>
      </c>
      <c r="M425">
        <v>77815.233346589361</v>
      </c>
      <c r="N425">
        <v>293.9017082600293</v>
      </c>
    </row>
    <row r="426" spans="2:14">
      <c r="B426">
        <v>381</v>
      </c>
      <c r="C426">
        <v>7.6886780864801665</v>
      </c>
      <c r="D426" s="10">
        <v>1.3613948352225875</v>
      </c>
      <c r="E426">
        <v>21.380782606526758</v>
      </c>
      <c r="F426">
        <v>0</v>
      </c>
      <c r="G426">
        <v>-10.435974677651625</v>
      </c>
      <c r="H426">
        <v>56.893052082019175</v>
      </c>
      <c r="I426">
        <v>1054.7263416316064</v>
      </c>
      <c r="J426">
        <v>654.72634163160637</v>
      </c>
      <c r="K426">
        <v>2.1802102363481675</v>
      </c>
      <c r="L426">
        <v>0.92228641053864702</v>
      </c>
      <c r="M426">
        <v>77792.698743094879</v>
      </c>
      <c r="N426">
        <v>293.89427877939454</v>
      </c>
    </row>
    <row r="427" spans="2:14">
      <c r="B427">
        <v>382</v>
      </c>
      <c r="C427">
        <v>7.7088055160259259</v>
      </c>
      <c r="D427" s="10">
        <v>1.3510095593221303</v>
      </c>
      <c r="E427">
        <v>21.380774964459984</v>
      </c>
      <c r="F427">
        <v>0</v>
      </c>
      <c r="G427">
        <v>-10.431185517155578</v>
      </c>
      <c r="H427">
        <v>56.683099130443878</v>
      </c>
      <c r="I427">
        <v>1055.8651138091693</v>
      </c>
      <c r="J427">
        <v>655.86511380916932</v>
      </c>
      <c r="K427">
        <v>2.1802102363481675</v>
      </c>
      <c r="L427">
        <v>0.92204352768949016</v>
      </c>
      <c r="M427">
        <v>77770.253373231986</v>
      </c>
      <c r="N427">
        <v>293.8868767602404</v>
      </c>
    </row>
    <row r="428" spans="2:14">
      <c r="B428">
        <v>383</v>
      </c>
      <c r="C428">
        <v>7.7289329455716853</v>
      </c>
      <c r="D428" s="10">
        <v>1.3406725757395532</v>
      </c>
      <c r="E428">
        <v>21.380767350736416</v>
      </c>
      <c r="F428">
        <v>0</v>
      </c>
      <c r="G428">
        <v>-10.426418583309493</v>
      </c>
      <c r="H428">
        <v>56.473242124993718</v>
      </c>
      <c r="I428">
        <v>1056.9996630702149</v>
      </c>
      <c r="J428">
        <v>656.99966307021487</v>
      </c>
      <c r="K428">
        <v>2.1802102363481675</v>
      </c>
      <c r="L428">
        <v>0.92180160323780636</v>
      </c>
      <c r="M428">
        <v>77747.897131645543</v>
      </c>
      <c r="N428">
        <v>293.87950219004358</v>
      </c>
    </row>
    <row r="429" spans="2:14">
      <c r="B429">
        <v>384</v>
      </c>
      <c r="C429">
        <v>7.7490603751174447</v>
      </c>
      <c r="D429" s="10">
        <v>1.3303837471676205</v>
      </c>
      <c r="E429">
        <v>21.380759765343136</v>
      </c>
      <c r="F429">
        <v>0</v>
      </c>
      <c r="G429">
        <v>-10.421673812766873</v>
      </c>
      <c r="H429">
        <v>56.263480619578367</v>
      </c>
      <c r="I429">
        <v>1058.1299913324237</v>
      </c>
      <c r="J429">
        <v>658.12999133242374</v>
      </c>
      <c r="K429">
        <v>2.1802102363481675</v>
      </c>
      <c r="L429">
        <v>0.92156063611932293</v>
      </c>
      <c r="M429">
        <v>77725.629913473691</v>
      </c>
      <c r="N429">
        <v>293.87215505633924</v>
      </c>
    </row>
    <row r="430" spans="2:14">
      <c r="B430">
        <v>385</v>
      </c>
      <c r="C430">
        <v>7.7691878046632041</v>
      </c>
      <c r="D430" s="10">
        <v>1.320142937083695</v>
      </c>
      <c r="E430">
        <v>21.380752208267289</v>
      </c>
      <c r="F430">
        <v>0</v>
      </c>
      <c r="G430">
        <v>-10.416951142542894</v>
      </c>
      <c r="H430">
        <v>56.053814169375215</v>
      </c>
      <c r="I430">
        <v>1059.2561005045366</v>
      </c>
      <c r="J430">
        <v>659.25610050453656</v>
      </c>
      <c r="K430">
        <v>2.1802102363481675</v>
      </c>
      <c r="L430">
        <v>0.92132062527472669</v>
      </c>
      <c r="M430">
        <v>77703.451614345904</v>
      </c>
      <c r="N430">
        <v>293.8648353467205</v>
      </c>
    </row>
    <row r="431" spans="2:14">
      <c r="B431">
        <v>386</v>
      </c>
      <c r="C431">
        <v>7.7893152342089635</v>
      </c>
      <c r="D431" s="10">
        <v>1.3099500097459054</v>
      </c>
      <c r="E431">
        <v>21.380744679496082</v>
      </c>
      <c r="F431">
        <v>0</v>
      </c>
      <c r="G431">
        <v>-10.41225051001264</v>
      </c>
      <c r="H431">
        <v>55.844242330822134</v>
      </c>
      <c r="I431">
        <v>1060.3779924863788</v>
      </c>
      <c r="J431">
        <v>660.37799248637884</v>
      </c>
      <c r="K431">
        <v>2.1802102363481675</v>
      </c>
      <c r="L431">
        <v>0.92108156964965382</v>
      </c>
      <c r="M431">
        <v>77681.36213038188</v>
      </c>
      <c r="N431">
        <v>293.85754304883852</v>
      </c>
    </row>
    <row r="432" spans="2:14">
      <c r="B432">
        <v>387</v>
      </c>
      <c r="C432">
        <v>7.809442663754723</v>
      </c>
      <c r="D432" s="10">
        <v>1.2998048301893295</v>
      </c>
      <c r="E432">
        <v>21.380737179016776</v>
      </c>
      <c r="F432">
        <v>0</v>
      </c>
      <c r="G432">
        <v>-10.407571852909332</v>
      </c>
      <c r="H432">
        <v>55.634764661610269</v>
      </c>
      <c r="I432">
        <v>1061.495669168886</v>
      </c>
      <c r="J432">
        <v>661.49566916888602</v>
      </c>
      <c r="K432">
        <v>2.1802102363481675</v>
      </c>
      <c r="L432">
        <v>0.920843468194672</v>
      </c>
      <c r="M432">
        <v>77659.361358189824</v>
      </c>
      <c r="N432">
        <v>293.85027815040223</v>
      </c>
    </row>
    <row r="433" spans="2:14">
      <c r="B433">
        <v>388</v>
      </c>
      <c r="C433">
        <v>7.8295700933004824</v>
      </c>
      <c r="D433" s="10">
        <v>1.289707264222216</v>
      </c>
      <c r="E433">
        <v>21.380729706816702</v>
      </c>
      <c r="F433">
        <v>0</v>
      </c>
      <c r="G433">
        <v>-10.402915109322581</v>
      </c>
      <c r="H433">
        <v>55.425380720676863</v>
      </c>
      <c r="I433">
        <v>1062.6091324341287</v>
      </c>
      <c r="J433">
        <v>662.6091324341287</v>
      </c>
      <c r="K433">
        <v>2.1802102363481675</v>
      </c>
      <c r="L433">
        <v>0.92060631986527108</v>
      </c>
      <c r="M433">
        <v>77637.449194865418</v>
      </c>
      <c r="N433">
        <v>293.84304063917818</v>
      </c>
    </row>
    <row r="434" spans="2:14">
      <c r="B434">
        <v>389</v>
      </c>
      <c r="C434">
        <v>7.8496975228462418</v>
      </c>
      <c r="D434" s="10">
        <v>1.2796571784222226</v>
      </c>
      <c r="E434">
        <v>21.380722262883243</v>
      </c>
      <c r="F434">
        <v>0</v>
      </c>
      <c r="G434">
        <v>-10.398280217696664</v>
      </c>
      <c r="H434">
        <v>55.216090068198106</v>
      </c>
      <c r="I434">
        <v>1063.7183841553374</v>
      </c>
      <c r="J434">
        <v>663.71838415533739</v>
      </c>
      <c r="K434">
        <v>2.1802102363481675</v>
      </c>
      <c r="L434">
        <v>0.92037012362184645</v>
      </c>
      <c r="M434">
        <v>77615.625537990185</v>
      </c>
      <c r="N434">
        <v>293.83583050299029</v>
      </c>
    </row>
    <row r="435" spans="2:14">
      <c r="B435">
        <v>390</v>
      </c>
      <c r="C435">
        <v>7.8698249523920012</v>
      </c>
      <c r="D435" s="10">
        <v>1.2696544401326866</v>
      </c>
      <c r="E435">
        <v>21.380714847203837</v>
      </c>
      <c r="F435">
        <v>0</v>
      </c>
      <c r="G435">
        <v>-10.393667116828787</v>
      </c>
      <c r="H435">
        <v>55.006892265582053</v>
      </c>
      <c r="I435">
        <v>1064.8234261969274</v>
      </c>
      <c r="J435">
        <v>664.82342619692736</v>
      </c>
      <c r="K435">
        <v>2.1802102363481675</v>
      </c>
      <c r="L435">
        <v>0.92013487842968456</v>
      </c>
      <c r="M435">
        <v>77593.89028563007</v>
      </c>
      <c r="N435">
        <v>293.82864772971999</v>
      </c>
    </row>
    <row r="436" spans="2:14">
      <c r="B436">
        <v>391</v>
      </c>
      <c r="C436">
        <v>7.8899523819377606</v>
      </c>
      <c r="D436" s="10">
        <v>1.2596989174589226</v>
      </c>
      <c r="E436">
        <v>21.380707459765997</v>
      </c>
      <c r="F436">
        <v>0</v>
      </c>
      <c r="G436">
        <v>-10.389075745867375</v>
      </c>
      <c r="H436">
        <v>54.797786875461547</v>
      </c>
      <c r="I436">
        <v>1065.9242604145231</v>
      </c>
      <c r="J436">
        <v>665.92426041452313</v>
      </c>
      <c r="K436">
        <v>2.1802102363481675</v>
      </c>
      <c r="L436">
        <v>0.9199005832589513</v>
      </c>
      <c r="M436">
        <v>77572.243336334199</v>
      </c>
      <c r="N436">
        <v>293.82149230730562</v>
      </c>
    </row>
    <row r="437" spans="2:14">
      <c r="B437">
        <v>392</v>
      </c>
      <c r="C437">
        <v>7.91007981148352</v>
      </c>
      <c r="D437" s="10">
        <v>1.2497904792645436</v>
      </c>
      <c r="E437">
        <v>21.380700100557281</v>
      </c>
      <c r="F437">
        <v>0</v>
      </c>
      <c r="G437">
        <v>-10.384506044310386</v>
      </c>
      <c r="H437">
        <v>54.588773461687175</v>
      </c>
      <c r="I437">
        <v>1067.0208886549829</v>
      </c>
      <c r="J437">
        <v>667.02088865498285</v>
      </c>
      <c r="K437">
        <v>2.1802102363481675</v>
      </c>
      <c r="L437">
        <v>0.91966723708467724</v>
      </c>
      <c r="M437">
        <v>77550.684589133394</v>
      </c>
      <c r="N437">
        <v>293.81436422374259</v>
      </c>
    </row>
    <row r="438" spans="2:14">
      <c r="B438">
        <v>393</v>
      </c>
      <c r="C438">
        <v>7.9302072410292794</v>
      </c>
      <c r="D438" s="10">
        <v>1.2399289951678123</v>
      </c>
      <c r="E438">
        <v>21.380692769565307</v>
      </c>
      <c r="F438">
        <v>0</v>
      </c>
      <c r="G438">
        <v>-10.379957952003608</v>
      </c>
      <c r="H438">
        <v>54.379851589320275</v>
      </c>
      <c r="I438">
        <v>1068.1133127564224</v>
      </c>
      <c r="J438">
        <v>668.11331275642237</v>
      </c>
      <c r="K438">
        <v>2.1802102363481675</v>
      </c>
      <c r="L438">
        <v>0.91943483888674482</v>
      </c>
      <c r="M438">
        <v>77529.213943538954</v>
      </c>
      <c r="N438">
        <v>293.80726346708326</v>
      </c>
    </row>
    <row r="439" spans="2:14">
      <c r="B439">
        <v>394</v>
      </c>
      <c r="C439">
        <v>7.9503346705750388</v>
      </c>
      <c r="D439" s="10">
        <v>1.2301143355380149</v>
      </c>
      <c r="E439">
        <v>21.380685466777756</v>
      </c>
      <c r="F439">
        <v>0</v>
      </c>
      <c r="G439">
        <v>-10.37543140913899</v>
      </c>
      <c r="H439">
        <v>54.17102082462597</v>
      </c>
      <c r="I439">
        <v>1069.2015345482403</v>
      </c>
      <c r="J439">
        <v>669.20153454824026</v>
      </c>
      <c r="K439">
        <v>2.1802102363481675</v>
      </c>
      <c r="L439">
        <v>0.91920338764987408</v>
      </c>
      <c r="M439">
        <v>77507.831299541125</v>
      </c>
      <c r="N439">
        <v>293.80019002543645</v>
      </c>
    </row>
    <row r="440" spans="2:14">
      <c r="B440">
        <v>395</v>
      </c>
      <c r="C440">
        <v>7.9704621001207983</v>
      </c>
      <c r="D440" s="10">
        <v>1.220346371491861</v>
      </c>
      <c r="E440">
        <v>21.380678192182373</v>
      </c>
      <c r="F440">
        <v>0</v>
      </c>
      <c r="G440">
        <v>-10.370926356252991</v>
      </c>
      <c r="H440">
        <v>53.962280735066223</v>
      </c>
      <c r="I440">
        <v>1070.2855558511408</v>
      </c>
      <c r="J440">
        <v>670.28555585114077</v>
      </c>
      <c r="K440">
        <v>2.1802102363481675</v>
      </c>
      <c r="L440">
        <v>0.91897288236360886</v>
      </c>
      <c r="M440">
        <v>77486.536557607775</v>
      </c>
      <c r="N440">
        <v>293.79314388696758</v>
      </c>
    </row>
    <row r="441" spans="2:14">
      <c r="B441">
        <v>396</v>
      </c>
      <c r="C441">
        <v>7.9905895296665577</v>
      </c>
      <c r="D441" s="10">
        <v>1.2106249748899156</v>
      </c>
      <c r="E441">
        <v>21.380670945766951</v>
      </c>
      <c r="F441">
        <v>0</v>
      </c>
      <c r="G441">
        <v>-10.366442734224909</v>
      </c>
      <c r="H441">
        <v>53.753630889292957</v>
      </c>
      <c r="I441">
        <v>1071.3653784771586</v>
      </c>
      <c r="J441">
        <v>671.36537847715863</v>
      </c>
      <c r="K441">
        <v>2.1802102363481675</v>
      </c>
      <c r="L441">
        <v>0.9187433220223058</v>
      </c>
      <c r="M441">
        <v>77465.32961868323</v>
      </c>
      <c r="N441">
        <v>293.78612503989848</v>
      </c>
    </row>
    <row r="442" spans="2:14">
      <c r="B442">
        <v>397</v>
      </c>
      <c r="C442">
        <v>8.0107169592123171</v>
      </c>
      <c r="D442" s="10">
        <v>1.200950018333049</v>
      </c>
      <c r="E442">
        <v>21.380663727519337</v>
      </c>
      <c r="F442">
        <v>0</v>
      </c>
      <c r="G442">
        <v>-10.361980484275261</v>
      </c>
      <c r="H442">
        <v>53.54507085714117</v>
      </c>
      <c r="I442">
        <v>1072.4410042296818</v>
      </c>
      <c r="J442">
        <v>672.44100422968177</v>
      </c>
      <c r="K442">
        <v>2.1802102363481675</v>
      </c>
      <c r="L442">
        <v>0.91851470562512061</v>
      </c>
      <c r="M442">
        <v>77444.21038418691</v>
      </c>
      <c r="N442">
        <v>293.77913347250706</v>
      </c>
    </row>
    <row r="443" spans="2:14">
      <c r="B443">
        <v>398</v>
      </c>
      <c r="C443">
        <v>8.0308443887580765</v>
      </c>
      <c r="D443" s="10">
        <v>1.1913213751589098</v>
      </c>
      <c r="E443">
        <v>21.380656537427456</v>
      </c>
      <c r="F443">
        <v>0</v>
      </c>
      <c r="G443">
        <v>-10.357539547964139</v>
      </c>
      <c r="H443">
        <v>53.336600209622098</v>
      </c>
      <c r="I443">
        <v>1073.5124349034761</v>
      </c>
      <c r="J443">
        <v>673.51243490347611</v>
      </c>
      <c r="K443">
        <v>2.1802102363481675</v>
      </c>
      <c r="L443">
        <v>0.91828703217598961</v>
      </c>
      <c r="M443">
        <v>77423.178756011548</v>
      </c>
      <c r="N443">
        <v>293.77216917312739</v>
      </c>
    </row>
    <row r="444" spans="2:14">
      <c r="B444">
        <v>399</v>
      </c>
      <c r="C444">
        <v>8.0509718183038359</v>
      </c>
      <c r="D444" s="10">
        <v>1.1817389194384373</v>
      </c>
      <c r="E444">
        <v>21.380649375479273</v>
      </c>
      <c r="F444">
        <v>0</v>
      </c>
      <c r="G444">
        <v>-10.353119867189609</v>
      </c>
      <c r="H444">
        <v>53.128218518916434</v>
      </c>
      <c r="I444">
        <v>1074.5796722847081</v>
      </c>
      <c r="J444">
        <v>674.57967228470807</v>
      </c>
      <c r="K444">
        <v>2.1802102363481675</v>
      </c>
      <c r="L444">
        <v>0.91806030068362476</v>
      </c>
      <c r="M444">
        <v>77402.234636522538</v>
      </c>
      <c r="N444">
        <v>293.7652321301494</v>
      </c>
    </row>
    <row r="445" spans="2:14">
      <c r="B445">
        <v>400</v>
      </c>
      <c r="C445">
        <v>8.0710992478495953</v>
      </c>
      <c r="D445" s="10">
        <v>1.1722025259723856</v>
      </c>
      <c r="E445">
        <v>21.380642241662816</v>
      </c>
      <c r="F445">
        <v>0</v>
      </c>
      <c r="G445">
        <v>-10.348721384186099</v>
      </c>
      <c r="H445">
        <v>52.919925358367529</v>
      </c>
      <c r="I445">
        <v>1075.6427181509687</v>
      </c>
      <c r="J445">
        <v>675.64271815096868</v>
      </c>
      <c r="K445">
        <v>2.1802102363481675</v>
      </c>
      <c r="L445">
        <v>0.91783451016149675</v>
      </c>
      <c r="M445">
        <v>77381.377928556307</v>
      </c>
      <c r="N445">
        <v>293.75832233201868</v>
      </c>
    </row>
    <row r="446" spans="2:14">
      <c r="B446">
        <v>401</v>
      </c>
      <c r="C446">
        <v>8.0912266773953547</v>
      </c>
      <c r="D446" s="10">
        <v>1.1627120702878768</v>
      </c>
      <c r="E446">
        <v>21.380635135966173</v>
      </c>
      <c r="F446">
        <v>0</v>
      </c>
      <c r="G446">
        <v>-10.34434404152281</v>
      </c>
      <c r="H446">
        <v>52.711720302474681</v>
      </c>
      <c r="I446">
        <v>1076.7015742712958</v>
      </c>
      <c r="J446">
        <v>676.70157427129584</v>
      </c>
      <c r="K446">
        <v>2.1802102363481675</v>
      </c>
      <c r="L446">
        <v>0.91760965962782182</v>
      </c>
      <c r="M446">
        <v>77360.608535419015</v>
      </c>
      <c r="N446">
        <v>293.7514397672366</v>
      </c>
    </row>
    <row r="447" spans="2:14">
      <c r="B447">
        <v>402</v>
      </c>
      <c r="C447">
        <v>8.1113541069411141</v>
      </c>
      <c r="D447" s="10">
        <v>1.1532674286349753</v>
      </c>
      <c r="E447">
        <v>21.380628058377489</v>
      </c>
      <c r="F447">
        <v>0</v>
      </c>
      <c r="G447">
        <v>-10.339987782102131</v>
      </c>
      <c r="H447">
        <v>52.503602926886401</v>
      </c>
      <c r="I447">
        <v>1077.756242406198</v>
      </c>
      <c r="J447">
        <v>677.756242406198</v>
      </c>
      <c r="K447">
        <v>2.1802102363481675</v>
      </c>
      <c r="L447">
        <v>0.91738574810554685</v>
      </c>
      <c r="M447">
        <v>77339.926360885031</v>
      </c>
      <c r="N447">
        <v>293.74458442435969</v>
      </c>
    </row>
    <row r="448" spans="2:14">
      <c r="B448">
        <v>403</v>
      </c>
      <c r="C448">
        <v>8.1314815364868736</v>
      </c>
      <c r="D448" s="10">
        <v>1.143868477983303</v>
      </c>
      <c r="E448">
        <v>21.380621008884962</v>
      </c>
      <c r="F448">
        <v>0</v>
      </c>
      <c r="G448">
        <v>-10.335652549158075</v>
      </c>
      <c r="H448">
        <v>52.295572808393771</v>
      </c>
      <c r="I448">
        <v>1078.8067243076773</v>
      </c>
      <c r="J448">
        <v>678.80672430767731</v>
      </c>
      <c r="K448">
        <v>2.1802102363481675</v>
      </c>
      <c r="L448">
        <v>0.9171627746223453</v>
      </c>
      <c r="M448">
        <v>77319.331309196452</v>
      </c>
      <c r="N448">
        <v>293.73775629200009</v>
      </c>
    </row>
    <row r="449" spans="2:14">
      <c r="B449">
        <v>404</v>
      </c>
      <c r="C449">
        <v>8.151608966032633</v>
      </c>
      <c r="D449" s="10">
        <v>1.1345150960186483</v>
      </c>
      <c r="E449">
        <v>21.380613987476849</v>
      </c>
      <c r="F449">
        <v>0</v>
      </c>
      <c r="G449">
        <v>-10.331338286254715</v>
      </c>
      <c r="H449">
        <v>52.08762952492377</v>
      </c>
      <c r="I449">
        <v>1079.8530217192522</v>
      </c>
      <c r="J449">
        <v>679.85302171925218</v>
      </c>
      <c r="K449">
        <v>2.1802102363481675</v>
      </c>
      <c r="L449">
        <v>0.91694073821059119</v>
      </c>
      <c r="M449">
        <v>77298.823285060629</v>
      </c>
      <c r="N449">
        <v>293.73095535882487</v>
      </c>
    </row>
    <row r="450" spans="2:14">
      <c r="B450">
        <v>405</v>
      </c>
      <c r="C450">
        <v>8.1717363955783924</v>
      </c>
      <c r="D450" s="10">
        <v>1.1252071611396322</v>
      </c>
      <c r="E450">
        <v>21.38060699414147</v>
      </c>
      <c r="F450">
        <v>0</v>
      </c>
      <c r="G450">
        <v>-10.327044937284644</v>
      </c>
      <c r="H450">
        <v>51.879772655532676</v>
      </c>
      <c r="I450">
        <v>1080.8951363759793</v>
      </c>
      <c r="J450">
        <v>680.89513637597929</v>
      </c>
      <c r="K450">
        <v>2.1802102363481675</v>
      </c>
      <c r="L450">
        <v>0.91671963790735822</v>
      </c>
      <c r="M450">
        <v>77278.402193649905</v>
      </c>
      <c r="N450">
        <v>293.72418161355614</v>
      </c>
    </row>
    <row r="451" spans="2:14">
      <c r="B451">
        <v>406</v>
      </c>
      <c r="C451">
        <v>8.1918638251241518</v>
      </c>
      <c r="D451" s="10">
        <v>1.1159445524543774</v>
      </c>
      <c r="E451">
        <v>21.380600028867196</v>
      </c>
      <c r="F451">
        <v>0</v>
      </c>
      <c r="G451">
        <v>-10.322772446467427</v>
      </c>
      <c r="H451">
        <v>51.672001780399491</v>
      </c>
      <c r="I451">
        <v>1081.9330700044773</v>
      </c>
      <c r="J451">
        <v>681.93307000447726</v>
      </c>
      <c r="K451">
        <v>2.1802102363481675</v>
      </c>
      <c r="L451">
        <v>0.91649947275440213</v>
      </c>
      <c r="M451">
        <v>77258.067940599969</v>
      </c>
      <c r="N451">
        <v>293.7174350449709</v>
      </c>
    </row>
    <row r="452" spans="2:14">
      <c r="B452">
        <v>407</v>
      </c>
      <c r="C452">
        <v>8.2119912546699112</v>
      </c>
      <c r="D452" s="10">
        <v>1.1067271497772078</v>
      </c>
      <c r="E452">
        <v>21.380593091642449</v>
      </c>
      <c r="F452">
        <v>0</v>
      </c>
      <c r="G452">
        <v>-10.318520758348095</v>
      </c>
      <c r="H452">
        <v>51.464316480819377</v>
      </c>
      <c r="I452">
        <v>1082.9668243229482</v>
      </c>
      <c r="J452">
        <v>682.96682432294824</v>
      </c>
      <c r="K452">
        <v>2.1802102363481675</v>
      </c>
      <c r="L452">
        <v>0.9162802417981486</v>
      </c>
      <c r="M452">
        <v>77237.820432008564</v>
      </c>
      <c r="N452">
        <v>293.71071564190083</v>
      </c>
    </row>
    <row r="453" spans="2:14">
      <c r="B453">
        <v>408</v>
      </c>
      <c r="C453">
        <v>8.2321186842156706</v>
      </c>
      <c r="D453" s="10">
        <v>1.0975548336253727</v>
      </c>
      <c r="E453">
        <v>21.380586182455716</v>
      </c>
      <c r="F453">
        <v>0</v>
      </c>
      <c r="G453">
        <v>-10.314289817795608</v>
      </c>
      <c r="H453">
        <v>51.256716339197148</v>
      </c>
      <c r="I453">
        <v>1083.9964010412002</v>
      </c>
      <c r="J453">
        <v>683.99640104120022</v>
      </c>
      <c r="K453">
        <v>2.1802102363481675</v>
      </c>
      <c r="L453">
        <v>0.916061944089682</v>
      </c>
      <c r="M453">
        <v>77217.659574434365</v>
      </c>
      <c r="N453">
        <v>293.70402339323221</v>
      </c>
    </row>
    <row r="454" spans="2:14">
      <c r="B454">
        <v>409</v>
      </c>
      <c r="C454">
        <v>8.25224611376143</v>
      </c>
      <c r="D454" s="10">
        <v>1.0884274852157876</v>
      </c>
      <c r="E454">
        <v>21.380579301295548</v>
      </c>
      <c r="F454">
        <v>0</v>
      </c>
      <c r="G454">
        <v>-10.310079570001365</v>
      </c>
      <c r="H454">
        <v>51.049200939040766</v>
      </c>
      <c r="I454">
        <v>1085.0218018606699</v>
      </c>
      <c r="J454">
        <v>685.02180186066994</v>
      </c>
      <c r="K454">
        <v>2.1802102363481675</v>
      </c>
      <c r="L454">
        <v>0.91584457868472879</v>
      </c>
      <c r="M454">
        <v>77197.585274895377</v>
      </c>
      <c r="N454">
        <v>293.69735828790567</v>
      </c>
    </row>
    <row r="455" spans="2:14">
      <c r="B455">
        <v>410</v>
      </c>
      <c r="C455">
        <v>8.2723735433071894</v>
      </c>
      <c r="D455" s="10">
        <v>1.0793449864618156</v>
      </c>
      <c r="E455">
        <v>21.380572448150534</v>
      </c>
      <c r="F455">
        <v>0</v>
      </c>
      <c r="G455">
        <v>-10.305889960477719</v>
      </c>
      <c r="H455">
        <v>50.841769864954898</v>
      </c>
      <c r="I455">
        <v>1086.0430284744439</v>
      </c>
      <c r="J455">
        <v>686.04302847444387</v>
      </c>
      <c r="K455">
        <v>2.1802102363481675</v>
      </c>
      <c r="L455">
        <v>0.91562814464365405</v>
      </c>
      <c r="M455">
        <v>77177.597440868427</v>
      </c>
      <c r="N455">
        <v>293.69072031491612</v>
      </c>
    </row>
    <row r="456" spans="2:14">
      <c r="B456">
        <v>411</v>
      </c>
      <c r="C456">
        <v>8.2925009728529488</v>
      </c>
      <c r="D456" s="10">
        <v>1.0703072199700485</v>
      </c>
      <c r="E456">
        <v>21.380565623009325</v>
      </c>
      <c r="F456">
        <v>0</v>
      </c>
      <c r="G456">
        <v>-10.301720935056478</v>
      </c>
      <c r="H456">
        <v>50.634422702634474</v>
      </c>
      <c r="I456">
        <v>1087.0600825672809</v>
      </c>
      <c r="J456">
        <v>687.06008256728092</v>
      </c>
      <c r="K456">
        <v>2.1802102363481675</v>
      </c>
      <c r="L456">
        <v>0.91541264103144016</v>
      </c>
      <c r="M456">
        <v>77157.695980287172</v>
      </c>
      <c r="N456">
        <v>293.68410946331267</v>
      </c>
    </row>
    <row r="457" spans="2:14">
      <c r="B457">
        <v>412</v>
      </c>
      <c r="C457">
        <v>8.3126284023987083</v>
      </c>
      <c r="D457" s="10">
        <v>1.0613140690371283</v>
      </c>
      <c r="E457">
        <v>21.380558825860639</v>
      </c>
      <c r="F457">
        <v>0</v>
      </c>
      <c r="G457">
        <v>-10.297572439887441</v>
      </c>
      <c r="H457">
        <v>50.427159038858285</v>
      </c>
      <c r="I457">
        <v>1088.0729658156333</v>
      </c>
      <c r="J457">
        <v>688.07296581563332</v>
      </c>
      <c r="K457">
        <v>2.1802102363481675</v>
      </c>
      <c r="L457">
        <v>0.91519806691767891</v>
      </c>
      <c r="M457">
        <v>77137.880801541265</v>
      </c>
      <c r="N457">
        <v>293.67752572219837</v>
      </c>
    </row>
    <row r="458" spans="2:14">
      <c r="B458">
        <v>413</v>
      </c>
      <c r="C458">
        <v>8.3327558319444677</v>
      </c>
      <c r="D458" s="10">
        <v>1.0523654176465869</v>
      </c>
      <c r="E458">
        <v>21.380552056693237</v>
      </c>
      <c r="F458">
        <v>0</v>
      </c>
      <c r="G458">
        <v>-10.293444421436945</v>
      </c>
      <c r="H458">
        <v>50.219978461482619</v>
      </c>
      <c r="I458">
        <v>1089.0816798876692</v>
      </c>
      <c r="J458">
        <v>689.08167988766922</v>
      </c>
      <c r="K458">
        <v>2.1802102363481675</v>
      </c>
      <c r="L458">
        <v>0.91498442137656066</v>
      </c>
      <c r="M458">
        <v>77118.151813475182</v>
      </c>
      <c r="N458">
        <v>293.67096908073017</v>
      </c>
    </row>
    <row r="459" spans="2:14">
      <c r="B459">
        <v>414</v>
      </c>
      <c r="C459">
        <v>8.3528832614902271</v>
      </c>
      <c r="D459" s="10">
        <v>1.0434611504657079</v>
      </c>
      <c r="E459">
        <v>21.38054531549594</v>
      </c>
      <c r="F459">
        <v>0</v>
      </c>
      <c r="G459">
        <v>-10.289336826486403</v>
      </c>
      <c r="H459">
        <v>50.012880559434926</v>
      </c>
      <c r="I459">
        <v>1090.0862264432935</v>
      </c>
      <c r="J459">
        <v>690.08622644329353</v>
      </c>
      <c r="K459">
        <v>2.1802102363481675</v>
      </c>
      <c r="L459">
        <v>0.91477170348686077</v>
      </c>
      <c r="M459">
        <v>77098.508925386908</v>
      </c>
      <c r="N459">
        <v>293.66443952811858</v>
      </c>
    </row>
    <row r="460" spans="2:14">
      <c r="B460">
        <v>415</v>
      </c>
      <c r="C460">
        <v>8.3730106910359865</v>
      </c>
      <c r="D460" s="10">
        <v>1.0346011528424066</v>
      </c>
      <c r="E460">
        <v>21.380538602257626</v>
      </c>
      <c r="F460">
        <v>0</v>
      </c>
      <c r="G460">
        <v>-10.285249602130873</v>
      </c>
      <c r="H460">
        <v>49.805864922707485</v>
      </c>
      <c r="I460">
        <v>1091.0866071341693</v>
      </c>
      <c r="J460">
        <v>691.0866071341693</v>
      </c>
      <c r="K460">
        <v>2.1802102363481675</v>
      </c>
      <c r="L460">
        <v>0.91455991233192646</v>
      </c>
      <c r="M460">
        <v>77078.952047026673</v>
      </c>
      <c r="N460">
        <v>293.6579370536279</v>
      </c>
    </row>
    <row r="461" spans="2:14">
      <c r="B461">
        <v>416</v>
      </c>
      <c r="C461">
        <v>8.3931381205817459</v>
      </c>
      <c r="D461" s="10">
        <v>1.0257853108021437</v>
      </c>
      <c r="E461">
        <v>21.380531916967225</v>
      </c>
      <c r="F461">
        <v>0</v>
      </c>
      <c r="G461">
        <v>-10.281182695777629</v>
      </c>
      <c r="H461">
        <v>49.598931142351134</v>
      </c>
      <c r="I461">
        <v>1092.0828236037396</v>
      </c>
      <c r="J461">
        <v>692.0828236037396</v>
      </c>
      <c r="K461">
        <v>2.1802102363481675</v>
      </c>
      <c r="L461">
        <v>0.91434904699966835</v>
      </c>
      <c r="M461">
        <v>77059.48108859596</v>
      </c>
      <c r="N461">
        <v>293.65146164657568</v>
      </c>
    </row>
    <row r="462" spans="2:14">
      <c r="B462">
        <v>417</v>
      </c>
      <c r="C462">
        <v>8.4132655501275053</v>
      </c>
      <c r="D462" s="10">
        <v>1.0170135110448502</v>
      </c>
      <c r="E462">
        <v>21.380525259613723</v>
      </c>
      <c r="F462">
        <v>0</v>
      </c>
      <c r="G462">
        <v>-10.277136055144732</v>
      </c>
      <c r="H462">
        <v>49.392078810469023</v>
      </c>
      <c r="I462">
        <v>1093.0748774872477</v>
      </c>
      <c r="J462">
        <v>693.0748774872477</v>
      </c>
      <c r="K462">
        <v>2.1802102363481675</v>
      </c>
      <c r="L462">
        <v>0.91413910658254582</v>
      </c>
      <c r="M462">
        <v>77040.09596074617</v>
      </c>
      <c r="N462">
        <v>293.64501329633288</v>
      </c>
    </row>
    <row r="463" spans="2:14">
      <c r="B463">
        <v>418</v>
      </c>
      <c r="C463">
        <v>8.4333929796732647</v>
      </c>
      <c r="D463" s="10">
        <v>1.0082856409418768</v>
      </c>
      <c r="E463">
        <v>21.380518630186167</v>
      </c>
      <c r="F463">
        <v>0</v>
      </c>
      <c r="G463">
        <v>-10.273109628259634</v>
      </c>
      <c r="H463">
        <v>49.185307520210358</v>
      </c>
      <c r="I463">
        <v>1094.0627704117589</v>
      </c>
      <c r="J463">
        <v>694.06277041175895</v>
      </c>
      <c r="K463">
        <v>2.1802102363481675</v>
      </c>
      <c r="L463">
        <v>0.91393009017755578</v>
      </c>
      <c r="M463">
        <v>77020.796574577413</v>
      </c>
      <c r="N463">
        <v>293.63859199232354</v>
      </c>
    </row>
    <row r="464" spans="2:14">
      <c r="B464">
        <v>419</v>
      </c>
      <c r="C464">
        <v>8.4535204092190241</v>
      </c>
      <c r="D464" s="10">
        <v>0.99960158853297443</v>
      </c>
      <c r="E464">
        <v>21.38051202867365</v>
      </c>
      <c r="F464">
        <v>0</v>
      </c>
      <c r="G464">
        <v>-10.269103363457777</v>
      </c>
      <c r="H464">
        <v>48.978616865764238</v>
      </c>
      <c r="I464">
        <v>1095.0465039961807</v>
      </c>
      <c r="J464">
        <v>695.04650399618072</v>
      </c>
      <c r="K464">
        <v>2.1802102363481675</v>
      </c>
      <c r="L464">
        <v>0.91372199688622313</v>
      </c>
      <c r="M464">
        <v>77001.582841637559</v>
      </c>
      <c r="N464">
        <v>293.63219772402482</v>
      </c>
    </row>
    <row r="465" spans="2:14">
      <c r="B465">
        <v>420</v>
      </c>
      <c r="C465">
        <v>8.4736478387647836</v>
      </c>
      <c r="D465" s="10">
        <v>0.99096124252328199</v>
      </c>
      <c r="E465">
        <v>21.380505455065322</v>
      </c>
      <c r="F465">
        <v>0</v>
      </c>
      <c r="G465">
        <v>-10.265117209381199</v>
      </c>
      <c r="H465">
        <v>48.772006442353451</v>
      </c>
      <c r="I465">
        <v>1096.0260798512843</v>
      </c>
      <c r="J465">
        <v>696.02607985128429</v>
      </c>
      <c r="K465">
        <v>2.1802102363481675</v>
      </c>
      <c r="L465">
        <v>0.91351482581458687</v>
      </c>
      <c r="M465">
        <v>76982.454673920816</v>
      </c>
      <c r="N465">
        <v>293.62583048096667</v>
      </c>
    </row>
    <row r="466" spans="2:14">
      <c r="B466">
        <v>421</v>
      </c>
      <c r="C466">
        <v>8.493775268310543</v>
      </c>
      <c r="D466" s="10">
        <v>0.98236449228034706</v>
      </c>
      <c r="E466">
        <v>21.380498909350397</v>
      </c>
      <c r="F466">
        <v>0</v>
      </c>
      <c r="G466">
        <v>-10.261151114977155</v>
      </c>
      <c r="H466">
        <v>48.565475846228352</v>
      </c>
      <c r="I466">
        <v>1097.0014995797242</v>
      </c>
      <c r="J466">
        <v>697.00149957972417</v>
      </c>
      <c r="K466">
        <v>2.1802102363481675</v>
      </c>
      <c r="L466">
        <v>0.91330857607318938</v>
      </c>
      <c r="M466">
        <v>76963.411983866696</v>
      </c>
      <c r="N466">
        <v>293.61949025273179</v>
      </c>
    </row>
    <row r="467" spans="2:14">
      <c r="B467">
        <v>422</v>
      </c>
      <c r="C467">
        <v>8.5139026978563024</v>
      </c>
      <c r="D467" s="10">
        <v>0.97381122783116458</v>
      </c>
      <c r="E467">
        <v>21.380492391518132</v>
      </c>
      <c r="F467">
        <v>0</v>
      </c>
      <c r="G467">
        <v>-10.25720502949676</v>
      </c>
      <c r="H467">
        <v>48.359024674660745</v>
      </c>
      <c r="I467">
        <v>1097.9727647760599</v>
      </c>
      <c r="J467">
        <v>697.97276477605988</v>
      </c>
      <c r="K467">
        <v>2.1802102363481675</v>
      </c>
      <c r="L467">
        <v>0.91310324677706634</v>
      </c>
      <c r="M467">
        <v>76944.454684358978</v>
      </c>
      <c r="N467">
        <v>293.61317702895559</v>
      </c>
    </row>
    <row r="468" spans="2:14">
      <c r="B468">
        <v>423</v>
      </c>
      <c r="C468">
        <v>8.5340301274020618</v>
      </c>
      <c r="D468" s="10">
        <v>0.9653013398592345</v>
      </c>
      <c r="E468">
        <v>21.38048590155784</v>
      </c>
      <c r="F468">
        <v>0</v>
      </c>
      <c r="G468">
        <v>-10.253278902493621</v>
      </c>
      <c r="H468">
        <v>48.152652525937782</v>
      </c>
      <c r="I468">
        <v>1098.9398770267753</v>
      </c>
      <c r="J468">
        <v>698.93987702677532</v>
      </c>
      <c r="K468">
        <v>2.1802102363481675</v>
      </c>
      <c r="L468">
        <v>0.91289883704573238</v>
      </c>
      <c r="M468">
        <v>76925.582688724273</v>
      </c>
      <c r="N468">
        <v>293.60689079932598</v>
      </c>
    </row>
    <row r="469" spans="2:14">
      <c r="B469">
        <v>424</v>
      </c>
      <c r="C469">
        <v>8.5541575569478212</v>
      </c>
      <c r="D469" s="10">
        <v>0.95683471970164613</v>
      </c>
      <c r="E469">
        <v>21.380479439458892</v>
      </c>
      <c r="F469">
        <v>0</v>
      </c>
      <c r="G469">
        <v>-10.249372683822486</v>
      </c>
      <c r="H469">
        <v>47.946358999355908</v>
      </c>
      <c r="I469">
        <v>1099.9028379102995</v>
      </c>
      <c r="J469">
        <v>699.90283791029947</v>
      </c>
      <c r="K469">
        <v>2.1802102363481675</v>
      </c>
      <c r="L469">
        <v>0.91269534600317415</v>
      </c>
      <c r="M469">
        <v>76906.795910731264</v>
      </c>
      <c r="N469">
        <v>293.60063155358307</v>
      </c>
    </row>
    <row r="470" spans="2:14">
      <c r="B470">
        <v>425</v>
      </c>
      <c r="C470">
        <v>8.5742849864935806</v>
      </c>
      <c r="D470" s="10">
        <v>0.9484112593461792</v>
      </c>
      <c r="E470">
        <v>21.38047300521071</v>
      </c>
      <c r="F470">
        <v>0</v>
      </c>
      <c r="G470">
        <v>-10.245486323637916</v>
      </c>
      <c r="H470">
        <v>47.74014369521484</v>
      </c>
      <c r="I470">
        <v>1100.8616489970266</v>
      </c>
      <c r="J470">
        <v>700.86164899702658</v>
      </c>
      <c r="K470">
        <v>2.1802102363481675</v>
      </c>
      <c r="L470">
        <v>0.91249277277783658</v>
      </c>
      <c r="M470">
        <v>76888.094264589367</v>
      </c>
      <c r="N470">
        <v>293.59439928151932</v>
      </c>
    </row>
    <row r="471" spans="2:14">
      <c r="B471">
        <v>426</v>
      </c>
      <c r="C471">
        <v>8.59441241603934</v>
      </c>
      <c r="D471" s="10">
        <v>0.9400308514284248</v>
      </c>
      <c r="E471">
        <v>21.380466598802776</v>
      </c>
      <c r="F471">
        <v>0</v>
      </c>
      <c r="G471">
        <v>-10.241619772392946</v>
      </c>
      <c r="H471">
        <v>47.534006214811541</v>
      </c>
      <c r="I471">
        <v>1101.8163118493362</v>
      </c>
      <c r="J471">
        <v>701.81631184933622</v>
      </c>
      <c r="K471">
        <v>2.1802102363481675</v>
      </c>
      <c r="L471">
        <v>0.91229111650260974</v>
      </c>
      <c r="M471">
        <v>76869.477664947495</v>
      </c>
      <c r="N471">
        <v>293.5881939729793</v>
      </c>
    </row>
    <row r="472" spans="2:14">
      <c r="B472">
        <v>427</v>
      </c>
      <c r="C472">
        <v>8.6145398455850994</v>
      </c>
      <c r="D472" s="10">
        <v>0.93169338922893441</v>
      </c>
      <c r="E472">
        <v>21.380460220224624</v>
      </c>
      <c r="F472">
        <v>0</v>
      </c>
      <c r="G472">
        <v>-10.237772980837772</v>
      </c>
      <c r="H472">
        <v>47.327946160434244</v>
      </c>
      <c r="I472">
        <v>1102.7668280216126</v>
      </c>
      <c r="J472">
        <v>702.76682802161258</v>
      </c>
      <c r="K472">
        <v>2.1802102363481675</v>
      </c>
      <c r="L472">
        <v>0.91209037631482348</v>
      </c>
      <c r="M472">
        <v>76850.946026893303</v>
      </c>
      <c r="N472">
        <v>293.5820156178595</v>
      </c>
    </row>
    <row r="473" spans="2:14">
      <c r="B473">
        <v>428</v>
      </c>
      <c r="C473">
        <v>8.6346672751308589</v>
      </c>
      <c r="D473" s="10">
        <v>0.92339876667037957</v>
      </c>
      <c r="E473">
        <v>21.380453869465828</v>
      </c>
      <c r="F473">
        <v>0</v>
      </c>
      <c r="G473">
        <v>-10.233945900018439</v>
      </c>
      <c r="H473">
        <v>47.121963135356509</v>
      </c>
      <c r="I473">
        <v>1103.713199060265</v>
      </c>
      <c r="J473">
        <v>703.71319906026497</v>
      </c>
      <c r="K473">
        <v>2.1802102363481675</v>
      </c>
      <c r="L473">
        <v>0.9118905513562291</v>
      </c>
      <c r="M473">
        <v>76832.499265951599</v>
      </c>
      <c r="N473">
        <v>293.57586420610829</v>
      </c>
    </row>
    <row r="474" spans="2:14">
      <c r="B474">
        <v>429</v>
      </c>
      <c r="C474">
        <v>8.6547947046766183</v>
      </c>
      <c r="D474" s="10">
        <v>0.9151468783147424</v>
      </c>
      <c r="E474">
        <v>21.380447546516038</v>
      </c>
      <c r="F474">
        <v>0</v>
      </c>
      <c r="G474">
        <v>-10.230138481275532</v>
      </c>
      <c r="H474">
        <v>46.91605674383127</v>
      </c>
      <c r="I474">
        <v>1104.6554265037471</v>
      </c>
      <c r="J474">
        <v>704.65542650374709</v>
      </c>
      <c r="K474">
        <v>2.1802102363481675</v>
      </c>
      <c r="L474">
        <v>0.9116916407729958</v>
      </c>
      <c r="M474">
        <v>76814.137298083719</v>
      </c>
      <c r="N474">
        <v>293.56973972772562</v>
      </c>
    </row>
    <row r="475" spans="2:14">
      <c r="B475">
        <v>430</v>
      </c>
      <c r="C475">
        <v>8.6749221342223777</v>
      </c>
      <c r="D475" s="10">
        <v>0.90693761936051953</v>
      </c>
      <c r="E475">
        <v>21.380441251364939</v>
      </c>
      <c r="F475">
        <v>0</v>
      </c>
      <c r="G475">
        <v>-10.226350676242902</v>
      </c>
      <c r="H475">
        <v>46.710226591084961</v>
      </c>
      <c r="I475">
        <v>1105.5935118825766</v>
      </c>
      <c r="J475">
        <v>705.59351188257665</v>
      </c>
      <c r="K475">
        <v>2.1802102363481675</v>
      </c>
      <c r="L475">
        <v>0.91149364371569574</v>
      </c>
      <c r="M475">
        <v>76795.86003968626</v>
      </c>
      <c r="N475">
        <v>293.56364217276325</v>
      </c>
    </row>
    <row r="476" spans="2:14">
      <c r="B476">
        <v>431</v>
      </c>
      <c r="C476">
        <v>8.6950495637681371</v>
      </c>
      <c r="D476" s="10">
        <v>0.89877088563994612</v>
      </c>
      <c r="E476">
        <v>21.380434984002282</v>
      </c>
      <c r="F476">
        <v>0</v>
      </c>
      <c r="G476">
        <v>-10.222582436846373</v>
      </c>
      <c r="H476">
        <v>46.504472283311614</v>
      </c>
      <c r="I476">
        <v>1106.5274567193551</v>
      </c>
      <c r="J476">
        <v>706.52745671935509</v>
      </c>
      <c r="K476">
        <v>2.1802102363481675</v>
      </c>
      <c r="L476">
        <v>0.91129655933929254</v>
      </c>
      <c r="M476">
        <v>76777.667407589775</v>
      </c>
      <c r="N476">
        <v>293.55757153132419</v>
      </c>
    </row>
    <row r="477" spans="2:14">
      <c r="B477">
        <v>432</v>
      </c>
      <c r="C477">
        <v>8.7151769933138965</v>
      </c>
      <c r="D477" s="10">
        <v>0.89064657361624722</v>
      </c>
      <c r="E477">
        <v>21.380428744417863</v>
      </c>
      <c r="F477">
        <v>0</v>
      </c>
      <c r="G477">
        <v>-10.218833715302473</v>
      </c>
      <c r="H477">
        <v>46.298793427667029</v>
      </c>
      <c r="I477">
        <v>1107.457262528786</v>
      </c>
      <c r="J477">
        <v>707.45726252878603</v>
      </c>
      <c r="K477">
        <v>2.1802102363481675</v>
      </c>
      <c r="L477">
        <v>0.91110038680313343</v>
      </c>
      <c r="M477">
        <v>76759.559319058026</v>
      </c>
      <c r="N477">
        <v>293.55152779356291</v>
      </c>
    </row>
    <row r="478" spans="2:14">
      <c r="B478">
        <v>433</v>
      </c>
      <c r="C478">
        <v>8.7353044228596559</v>
      </c>
      <c r="D478" s="10">
        <v>0.88256458038090169</v>
      </c>
      <c r="E478">
        <v>21.380422532601532</v>
      </c>
      <c r="F478">
        <v>0</v>
      </c>
      <c r="G478">
        <v>-10.215104464117168</v>
      </c>
      <c r="H478">
        <v>46.093189632262934</v>
      </c>
      <c r="I478">
        <v>1108.3829308176955</v>
      </c>
      <c r="J478">
        <v>708.38293081769552</v>
      </c>
      <c r="K478">
        <v>2.1802102363481675</v>
      </c>
      <c r="L478">
        <v>0.91090512527093825</v>
      </c>
      <c r="M478">
        <v>76741.535691786834</v>
      </c>
      <c r="N478">
        <v>293.54551094968497</v>
      </c>
    </row>
    <row r="479" spans="2:14">
      <c r="B479">
        <v>434</v>
      </c>
      <c r="C479">
        <v>8.7554318524054153</v>
      </c>
      <c r="D479" s="10">
        <v>0.874524803650927</v>
      </c>
      <c r="E479">
        <v>21.380416348543196</v>
      </c>
      <c r="F479">
        <v>0</v>
      </c>
      <c r="G479">
        <v>-10.211394636084609</v>
      </c>
      <c r="H479">
        <v>45.88766050616119</v>
      </c>
      <c r="I479">
        <v>1109.3044630850504</v>
      </c>
      <c r="J479">
        <v>709.30446308505043</v>
      </c>
      <c r="K479">
        <v>2.1802102363481675</v>
      </c>
      <c r="L479">
        <v>0.91071077391078514</v>
      </c>
      <c r="M479">
        <v>76723.596443902759</v>
      </c>
      <c r="N479">
        <v>293.53952098994716</v>
      </c>
    </row>
    <row r="480" spans="2:14">
      <c r="B480">
        <v>435</v>
      </c>
      <c r="C480">
        <v>8.7755592819511747</v>
      </c>
      <c r="D480" s="10">
        <v>0.86652714176618939</v>
      </c>
      <c r="E480">
        <v>21.380410192232816</v>
      </c>
      <c r="F480">
        <v>0</v>
      </c>
      <c r="G480">
        <v>-10.207704184285893</v>
      </c>
      <c r="H480">
        <v>45.682205659368016</v>
      </c>
      <c r="I480">
        <v>1110.2218608219775</v>
      </c>
      <c r="J480">
        <v>710.22186082197754</v>
      </c>
      <c r="K480">
        <v>2.1802102363481675</v>
      </c>
      <c r="L480">
        <v>0.91051733189510486</v>
      </c>
      <c r="M480">
        <v>76705.74149396237</v>
      </c>
      <c r="N480">
        <v>293.53355790465713</v>
      </c>
    </row>
    <row r="481" spans="2:14">
      <c r="B481">
        <v>436</v>
      </c>
      <c r="C481">
        <v>8.7956867114969342</v>
      </c>
      <c r="D481" s="10">
        <v>0.85857149368672847</v>
      </c>
      <c r="E481">
        <v>21.380404063660393</v>
      </c>
      <c r="F481">
        <v>0</v>
      </c>
      <c r="G481">
        <v>-10.204033062087822</v>
      </c>
      <c r="H481">
        <v>45.476824702828239</v>
      </c>
      <c r="I481">
        <v>1111.1351255117822</v>
      </c>
      <c r="J481">
        <v>711.13512551178223</v>
      </c>
      <c r="K481">
        <v>2.1802102363481675</v>
      </c>
      <c r="L481">
        <v>0.91032479840066827</v>
      </c>
      <c r="M481">
        <v>76687.970760951095</v>
      </c>
      <c r="N481">
        <v>293.52762168417343</v>
      </c>
    </row>
    <row r="482" spans="2:14">
      <c r="B482">
        <v>437</v>
      </c>
      <c r="C482">
        <v>8.8158141410426936</v>
      </c>
      <c r="D482" s="10">
        <v>0.85065775899010154</v>
      </c>
      <c r="E482">
        <v>21.380397962815998</v>
      </c>
      <c r="F482">
        <v>0</v>
      </c>
      <c r="G482">
        <v>-10.200381223141676</v>
      </c>
      <c r="H482">
        <v>45.271517248419563</v>
      </c>
      <c r="I482">
        <v>1112.0442586299675</v>
      </c>
      <c r="J482">
        <v>712.04425862996754</v>
      </c>
      <c r="K482">
        <v>2.1802102363481675</v>
      </c>
      <c r="L482">
        <v>0.91013317260857574</v>
      </c>
      <c r="M482">
        <v>76670.284164282071</v>
      </c>
      <c r="N482">
        <v>293.5217123189052</v>
      </c>
    </row>
    <row r="483" spans="2:14">
      <c r="B483">
        <v>438</v>
      </c>
      <c r="C483">
        <v>8.835941570588453</v>
      </c>
      <c r="D483" s="10">
        <v>0.84278583786874983</v>
      </c>
      <c r="E483">
        <v>21.38039188968974</v>
      </c>
      <c r="F483">
        <v>0</v>
      </c>
      <c r="G483">
        <v>-10.196748621382</v>
      </c>
      <c r="H483">
        <v>45.066282908946874</v>
      </c>
      <c r="I483">
        <v>1112.9492616442526</v>
      </c>
      <c r="J483">
        <v>712.9492616442526</v>
      </c>
      <c r="K483">
        <v>2.1802102363481675</v>
      </c>
      <c r="L483">
        <v>0.90994245370424665</v>
      </c>
      <c r="M483">
        <v>76652.681623795186</v>
      </c>
      <c r="N483">
        <v>293.51582979931237</v>
      </c>
    </row>
    <row r="484" spans="2:14">
      <c r="B484">
        <v>439</v>
      </c>
      <c r="C484">
        <v>8.8560690001342124</v>
      </c>
      <c r="D484" s="10">
        <v>0.83495563112738169</v>
      </c>
      <c r="E484">
        <v>21.380385844271792</v>
      </c>
      <c r="F484">
        <v>0</v>
      </c>
      <c r="G484">
        <v>-10.193135211025389</v>
      </c>
      <c r="H484">
        <v>44.86112129813656</v>
      </c>
      <c r="I484">
        <v>1113.850136014591</v>
      </c>
      <c r="J484">
        <v>713.85013601459104</v>
      </c>
      <c r="K484">
        <v>2.1802102363481675</v>
      </c>
      <c r="L484">
        <v>0.90975264087740915</v>
      </c>
      <c r="M484">
        <v>76635.163059755956</v>
      </c>
      <c r="N484">
        <v>293.50997411590515</v>
      </c>
    </row>
    <row r="485" spans="2:14">
      <c r="B485">
        <v>440</v>
      </c>
      <c r="C485">
        <v>8.8761964296799718</v>
      </c>
      <c r="D485" s="10">
        <v>0.82716704018037912</v>
      </c>
      <c r="E485">
        <v>21.380379826552371</v>
      </c>
      <c r="F485">
        <v>0</v>
      </c>
      <c r="G485">
        <v>-10.189540946569295</v>
      </c>
      <c r="H485">
        <v>44.656032030630854</v>
      </c>
      <c r="I485">
        <v>1114.7468831931897</v>
      </c>
      <c r="J485">
        <v>714.74688319318966</v>
      </c>
      <c r="K485">
        <v>2.1802102363481675</v>
      </c>
      <c r="L485">
        <v>0.90956373332209262</v>
      </c>
      <c r="M485">
        <v>76617.728392854784</v>
      </c>
      <c r="N485">
        <v>293.50414525924424</v>
      </c>
    </row>
    <row r="486" spans="2:14">
      <c r="B486">
        <v>441</v>
      </c>
      <c r="C486">
        <v>8.8963238592257312</v>
      </c>
      <c r="D486" s="10">
        <v>0.8194199670492156</v>
      </c>
      <c r="E486">
        <v>21.380373836521748</v>
      </c>
      <c r="F486">
        <v>0</v>
      </c>
      <c r="G486">
        <v>-10.185965782790834</v>
      </c>
      <c r="H486">
        <v>44.451014721982212</v>
      </c>
      <c r="I486">
        <v>1115.6395046245261</v>
      </c>
      <c r="J486">
        <v>715.63950462452613</v>
      </c>
      <c r="K486">
        <v>2.1802102363481675</v>
      </c>
      <c r="L486">
        <v>0.90937573023661311</v>
      </c>
      <c r="M486">
        <v>76600.377544205563</v>
      </c>
      <c r="N486">
        <v>293.49834321994058</v>
      </c>
    </row>
    <row r="487" spans="2:14">
      <c r="B487">
        <v>442</v>
      </c>
      <c r="C487">
        <v>8.9164512887714906</v>
      </c>
      <c r="D487" s="10">
        <v>0.81171431435990282</v>
      </c>
      <c r="E487">
        <v>21.380367874170247</v>
      </c>
      <c r="F487">
        <v>0</v>
      </c>
      <c r="G487">
        <v>-10.182409674745596</v>
      </c>
      <c r="H487">
        <v>44.246068988647707</v>
      </c>
      <c r="I487">
        <v>1116.5280017453676</v>
      </c>
      <c r="J487">
        <v>716.52800174536765</v>
      </c>
      <c r="K487">
        <v>2.1802102363481675</v>
      </c>
      <c r="L487">
        <v>0.9091886308235676</v>
      </c>
      <c r="M487">
        <v>76583.110435344963</v>
      </c>
      <c r="N487">
        <v>293.49256798865508</v>
      </c>
    </row>
    <row r="488" spans="2:14">
      <c r="B488">
        <v>443</v>
      </c>
      <c r="C488">
        <v>8.93657871831725</v>
      </c>
      <c r="D488" s="10">
        <v>0.80404998534044503</v>
      </c>
      <c r="E488">
        <v>21.380361939488242</v>
      </c>
      <c r="F488">
        <v>0</v>
      </c>
      <c r="G488">
        <v>-10.178872577766485</v>
      </c>
      <c r="H488">
        <v>44.041194447983443</v>
      </c>
      <c r="I488">
        <v>1117.4123759847892</v>
      </c>
      <c r="J488">
        <v>717.41237598478915</v>
      </c>
      <c r="K488">
        <v>2.1802102363481675</v>
      </c>
      <c r="L488">
        <v>0.90900243428981931</v>
      </c>
      <c r="M488">
        <v>76565.92698823112</v>
      </c>
      <c r="N488">
        <v>293.48681955609885</v>
      </c>
    </row>
    <row r="489" spans="2:14">
      <c r="B489">
        <v>444</v>
      </c>
      <c r="C489">
        <v>8.9567061478630094</v>
      </c>
      <c r="D489" s="10">
        <v>0.79642688381832449</v>
      </c>
      <c r="E489">
        <v>21.380356032466164</v>
      </c>
      <c r="F489">
        <v>0</v>
      </c>
      <c r="G489">
        <v>-10.175354447462542</v>
      </c>
      <c r="H489">
        <v>43.836390718239009</v>
      </c>
      <c r="I489">
        <v>1118.2926287641903</v>
      </c>
      <c r="J489">
        <v>718.29262876419034</v>
      </c>
      <c r="K489">
        <v>2.1802102363481675</v>
      </c>
      <c r="L489">
        <v>0.90881713984649326</v>
      </c>
      <c r="M489">
        <v>76548.827125243028</v>
      </c>
      <c r="N489">
        <v>293.48109791303278</v>
      </c>
    </row>
    <row r="490" spans="2:14">
      <c r="B490">
        <v>445</v>
      </c>
      <c r="C490">
        <v>8.9768335774087689</v>
      </c>
      <c r="D490" s="10">
        <v>0.78884491421799452</v>
      </c>
      <c r="E490">
        <v>21.38035015309449</v>
      </c>
      <c r="F490">
        <v>0</v>
      </c>
      <c r="G490">
        <v>-10.171855239717798</v>
      </c>
      <c r="H490">
        <v>43.631657418551924</v>
      </c>
      <c r="I490">
        <v>1119.1687614973143</v>
      </c>
      <c r="J490">
        <v>719.16876149731434</v>
      </c>
      <c r="K490">
        <v>2.1802102363481675</v>
      </c>
      <c r="L490">
        <v>0.90863274670896299</v>
      </c>
      <c r="M490">
        <v>76531.810769179254</v>
      </c>
      <c r="N490">
        <v>293.47540305026746</v>
      </c>
    </row>
    <row r="491" spans="2:14">
      <c r="B491">
        <v>446</v>
      </c>
      <c r="C491">
        <v>8.9969610069545283</v>
      </c>
      <c r="D491" s="10">
        <v>0.78130398155839498</v>
      </c>
      <c r="E491">
        <v>21.380344301363746</v>
      </c>
      <c r="F491">
        <v>0</v>
      </c>
      <c r="G491">
        <v>-10.168374910690121</v>
      </c>
      <c r="H491">
        <v>43.426994168942137</v>
      </c>
      <c r="I491">
        <v>1120.0407755902652</v>
      </c>
      <c r="J491">
        <v>720.04077559026518</v>
      </c>
      <c r="K491">
        <v>2.1802102363481675</v>
      </c>
      <c r="L491">
        <v>0.90844925409683897</v>
      </c>
      <c r="M491">
        <v>76514.877843256865</v>
      </c>
      <c r="N491">
        <v>293.46973495866325</v>
      </c>
    </row>
    <row r="492" spans="2:14">
      <c r="B492">
        <v>447</v>
      </c>
      <c r="C492">
        <v>9.0170884365002877</v>
      </c>
      <c r="D492" s="10">
        <v>0.77380399145049139</v>
      </c>
      <c r="E492">
        <v>21.38033847726452</v>
      </c>
      <c r="F492">
        <v>0</v>
      </c>
      <c r="G492">
        <v>-10.164913416810069</v>
      </c>
      <c r="H492">
        <v>43.222400590306542</v>
      </c>
      <c r="I492">
        <v>1120.9086724415254</v>
      </c>
      <c r="J492">
        <v>720.90867244152537</v>
      </c>
      <c r="K492">
        <v>2.1802102363481675</v>
      </c>
      <c r="L492">
        <v>0.9082666612339646</v>
      </c>
      <c r="M492">
        <v>76498.028271110918</v>
      </c>
      <c r="N492">
        <v>293.4640936291301</v>
      </c>
    </row>
    <row r="493" spans="2:14">
      <c r="B493">
        <v>448</v>
      </c>
      <c r="C493">
        <v>9.0372158660460471</v>
      </c>
      <c r="D493" s="10">
        <v>0.76634485009482312</v>
      </c>
      <c r="E493">
        <v>21.380332680787436</v>
      </c>
      <c r="F493">
        <v>0</v>
      </c>
      <c r="G493">
        <v>-10.161470714779782</v>
      </c>
      <c r="H493">
        <v>43.017876304413512</v>
      </c>
      <c r="I493">
        <v>1121.7724534419733</v>
      </c>
      <c r="J493">
        <v>721.77245344197331</v>
      </c>
      <c r="K493">
        <v>2.1802102363481675</v>
      </c>
      <c r="L493">
        <v>0.9080849673484015</v>
      </c>
      <c r="M493">
        <v>76481.261976792943</v>
      </c>
      <c r="N493">
        <v>293.45847905262718</v>
      </c>
    </row>
    <row r="494" spans="2:14">
      <c r="B494">
        <v>449</v>
      </c>
      <c r="C494">
        <v>9.0573432955918065</v>
      </c>
      <c r="D494" s="10">
        <v>0.7589264642790754</v>
      </c>
      <c r="E494">
        <v>21.380326911923184</v>
      </c>
      <c r="F494">
        <v>0</v>
      </c>
      <c r="G494">
        <v>-10.158046761571832</v>
      </c>
      <c r="H494">
        <v>42.81342093389744</v>
      </c>
      <c r="I494">
        <v>1122.6321199749007</v>
      </c>
      <c r="J494">
        <v>722.63211997490066</v>
      </c>
      <c r="K494">
        <v>2.1802102363481675</v>
      </c>
      <c r="L494">
        <v>0.90790417167242232</v>
      </c>
      <c r="M494">
        <v>76464.578884770352</v>
      </c>
      <c r="N494">
        <v>293.45289122016317</v>
      </c>
    </row>
    <row r="495" spans="2:14">
      <c r="B495">
        <v>450</v>
      </c>
      <c r="C495">
        <v>9.0774707251375659</v>
      </c>
      <c r="D495" s="10">
        <v>0.75154874137566741</v>
      </c>
      <c r="E495">
        <v>21.380321170662501</v>
      </c>
      <c r="F495">
        <v>0</v>
      </c>
      <c r="G495">
        <v>-10.154641514428127</v>
      </c>
      <c r="H495">
        <v>42.609034102253339</v>
      </c>
      <c r="I495">
        <v>1123.4876734160296</v>
      </c>
      <c r="J495">
        <v>723.48767341602957</v>
      </c>
      <c r="K495">
        <v>2.1802102363481675</v>
      </c>
      <c r="L495">
        <v>0.90772427344249862</v>
      </c>
      <c r="M495">
        <v>76447.978919925125</v>
      </c>
      <c r="N495">
        <v>293.44733012279579</v>
      </c>
    </row>
    <row r="496" spans="2:14">
      <c r="B496">
        <v>451</v>
      </c>
      <c r="C496">
        <v>9.0975981546833253</v>
      </c>
      <c r="D496" s="10">
        <v>0.74421158933936093</v>
      </c>
      <c r="E496">
        <v>21.380315456996161</v>
      </c>
      <c r="F496">
        <v>0</v>
      </c>
      <c r="G496">
        <v>-10.151254930858801</v>
      </c>
      <c r="H496">
        <v>42.404715433831434</v>
      </c>
      <c r="I496">
        <v>1124.3391151335302</v>
      </c>
      <c r="J496">
        <v>724.33911513353019</v>
      </c>
      <c r="K496">
        <v>2.1802102363481675</v>
      </c>
      <c r="L496">
        <v>0.90754527189929568</v>
      </c>
      <c r="M496">
        <v>76431.462007553331</v>
      </c>
      <c r="N496">
        <v>293.44179575163207</v>
      </c>
    </row>
    <row r="497" spans="2:14">
      <c r="B497">
        <v>452</v>
      </c>
      <c r="C497">
        <v>9.1177255842290847</v>
      </c>
      <c r="D497" s="10">
        <v>0.73691491670488352</v>
      </c>
      <c r="E497">
        <v>21.380309770915012</v>
      </c>
      <c r="F497">
        <v>0</v>
      </c>
      <c r="G497">
        <v>-10.14788696864111</v>
      </c>
      <c r="H497">
        <v>42.200464553831779</v>
      </c>
      <c r="I497">
        <v>1125.1864464880373</v>
      </c>
      <c r="J497">
        <v>725.18644648803729</v>
      </c>
      <c r="K497">
        <v>2.1802102363481675</v>
      </c>
      <c r="L497">
        <v>0.90736716628766079</v>
      </c>
      <c r="M497">
        <v>76415.028073363836</v>
      </c>
      <c r="N497">
        <v>293.43628809782774</v>
      </c>
    </row>
    <row r="498" spans="2:14">
      <c r="B498">
        <v>453</v>
      </c>
      <c r="C498">
        <v>9.1378530137748442</v>
      </c>
      <c r="D498" s="10">
        <v>0.7296586325845672</v>
      </c>
      <c r="E498">
        <v>21.380304112409938</v>
      </c>
      <c r="F498">
        <v>0</v>
      </c>
      <c r="G498">
        <v>-10.144537585818352</v>
      </c>
      <c r="H498">
        <v>41.996281088298907</v>
      </c>
      <c r="I498">
        <v>1126.0296688326675</v>
      </c>
      <c r="J498">
        <v>726.02966883266754</v>
      </c>
      <c r="K498">
        <v>2.1802102363481675</v>
      </c>
      <c r="L498">
        <v>0.90718995585661011</v>
      </c>
      <c r="M498">
        <v>76398.677043477204</v>
      </c>
      <c r="N498">
        <v>293.43080715258765</v>
      </c>
    </row>
    <row r="499" spans="2:14">
      <c r="B499">
        <v>454</v>
      </c>
      <c r="C499">
        <v>9.1579804433206036</v>
      </c>
      <c r="D499" s="10">
        <v>0.72244264666601465</v>
      </c>
      <c r="E499">
        <v>21.380298481471876</v>
      </c>
      <c r="F499">
        <v>0</v>
      </c>
      <c r="G499">
        <v>-10.141206740698776</v>
      </c>
      <c r="H499">
        <v>41.792164664116513</v>
      </c>
      <c r="I499">
        <v>1126.8687835130359</v>
      </c>
      <c r="J499">
        <v>726.86878351303585</v>
      </c>
      <c r="K499">
        <v>2.1802102363481675</v>
      </c>
      <c r="L499">
        <v>0.90701363985932693</v>
      </c>
      <c r="M499">
        <v>76382.408844425299</v>
      </c>
      <c r="N499">
        <v>293.42535290716529</v>
      </c>
    </row>
    <row r="500" spans="2:14">
      <c r="B500">
        <v>455</v>
      </c>
      <c r="C500">
        <v>9.178107872866363</v>
      </c>
      <c r="D500" s="10">
        <v>0.71526686920977101</v>
      </c>
      <c r="E500">
        <v>21.380292878091804</v>
      </c>
      <c r="F500">
        <v>0</v>
      </c>
      <c r="G500">
        <v>-10.137894391854513</v>
      </c>
      <c r="H500">
        <v>41.588114909002108</v>
      </c>
      <c r="I500">
        <v>1127.7037918672729</v>
      </c>
      <c r="J500">
        <v>727.70379186727291</v>
      </c>
      <c r="K500">
        <v>2.1802102363481675</v>
      </c>
      <c r="L500">
        <v>0.90683821755314731</v>
      </c>
      <c r="M500">
        <v>76366.223403149896</v>
      </c>
      <c r="N500">
        <v>293.41992535286272</v>
      </c>
    </row>
    <row r="501" spans="2:14">
      <c r="B501">
        <v>456</v>
      </c>
      <c r="C501">
        <v>9.1982353024121224</v>
      </c>
      <c r="D501" s="10">
        <v>0.70813121104701982</v>
      </c>
      <c r="E501">
        <v>21.380287302260779</v>
      </c>
      <c r="F501">
        <v>0</v>
      </c>
      <c r="G501">
        <v>-10.134600498120511</v>
      </c>
      <c r="H501">
        <v>41.384131451501766</v>
      </c>
      <c r="I501">
        <v>1128.5346952260409</v>
      </c>
      <c r="J501">
        <v>728.53469522604087</v>
      </c>
      <c r="K501">
        <v>2.1802102363481675</v>
      </c>
      <c r="L501">
        <v>0.90666368819955145</v>
      </c>
      <c r="M501">
        <v>76350.120647001924</v>
      </c>
      <c r="N501">
        <v>293.41452448103075</v>
      </c>
    </row>
    <row r="502" spans="2:14">
      <c r="B502">
        <v>457</v>
      </c>
      <c r="C502">
        <v>9.2183627319578818</v>
      </c>
      <c r="D502" s="10">
        <v>0.70103558357729545</v>
      </c>
      <c r="E502">
        <v>21.380281753969872</v>
      </c>
      <c r="F502">
        <v>0</v>
      </c>
      <c r="G502">
        <v>-10.131325018593483</v>
      </c>
      <c r="H502">
        <v>41.180213920984833</v>
      </c>
      <c r="I502">
        <v>1129.3614949125506</v>
      </c>
      <c r="J502">
        <v>729.3614949125506</v>
      </c>
      <c r="K502">
        <v>2.1802102363481675</v>
      </c>
      <c r="L502">
        <v>0.90649005106415648</v>
      </c>
      <c r="M502">
        <v>76334.10050374057</v>
      </c>
      <c r="N502">
        <v>293.40915028306841</v>
      </c>
    </row>
    <row r="503" spans="2:14">
      <c r="B503">
        <v>458</v>
      </c>
      <c r="C503">
        <v>9.2384901615036412</v>
      </c>
      <c r="D503" s="10">
        <v>0.69397989876620891</v>
      </c>
      <c r="E503">
        <v>21.380276233210228</v>
      </c>
      <c r="F503">
        <v>0</v>
      </c>
      <c r="G503">
        <v>-10.128067912630836</v>
      </c>
      <c r="H503">
        <v>40.976361947638686</v>
      </c>
      <c r="I503">
        <v>1130.1841922425776</v>
      </c>
      <c r="J503">
        <v>730.18419224257764</v>
      </c>
      <c r="K503">
        <v>2.1802102363481675</v>
      </c>
      <c r="L503">
        <v>0.90631730541670386</v>
      </c>
      <c r="M503">
        <v>76318.162901532196</v>
      </c>
      <c r="N503">
        <v>293.40380275042327</v>
      </c>
    </row>
    <row r="504" spans="2:14">
      <c r="B504">
        <v>459</v>
      </c>
      <c r="C504">
        <v>9.2586175910494006</v>
      </c>
      <c r="D504" s="10">
        <v>0.6869640691431973</v>
      </c>
      <c r="E504">
        <v>21.380270739973039</v>
      </c>
      <c r="F504">
        <v>0</v>
      </c>
      <c r="G504">
        <v>-10.124829139849659</v>
      </c>
      <c r="H504">
        <v>40.772575162463511</v>
      </c>
      <c r="I504">
        <v>1131.0027885244788</v>
      </c>
      <c r="J504">
        <v>731.00278852447877</v>
      </c>
      <c r="K504">
        <v>2.1802102363481675</v>
      </c>
      <c r="L504">
        <v>0.90614545053105378</v>
      </c>
      <c r="M504">
        <v>76302.307768949599</v>
      </c>
      <c r="N504">
        <v>293.39848187459091</v>
      </c>
    </row>
    <row r="505" spans="2:14">
      <c r="B505">
        <v>460</v>
      </c>
      <c r="C505">
        <v>9.27874502059516</v>
      </c>
      <c r="D505" s="10">
        <v>0.67998800779928392</v>
      </c>
      <c r="E505">
        <v>21.380265274249535</v>
      </c>
      <c r="F505">
        <v>0</v>
      </c>
      <c r="G505">
        <v>-10.121608660125666</v>
      </c>
      <c r="H505">
        <v>40.568853197267082</v>
      </c>
      <c r="I505">
        <v>1131.8172850592084</v>
      </c>
      <c r="J505">
        <v>731.81728505920842</v>
      </c>
      <c r="K505">
        <v>2.1802102363481675</v>
      </c>
      <c r="L505">
        <v>0.90597448568517513</v>
      </c>
      <c r="M505">
        <v>76286.535034971093</v>
      </c>
      <c r="N505">
        <v>293.39318764711516</v>
      </c>
    </row>
    <row r="506" spans="2:14">
      <c r="B506">
        <v>461</v>
      </c>
      <c r="C506">
        <v>9.2988724501409195</v>
      </c>
      <c r="D506" s="10">
        <v>0.67305162838485988</v>
      </c>
      <c r="E506">
        <v>21.380259836031009</v>
      </c>
      <c r="F506">
        <v>0</v>
      </c>
      <c r="G506">
        <v>-10.118406433592178</v>
      </c>
      <c r="H506">
        <v>40.365195684659597</v>
      </c>
      <c r="I506">
        <v>1132.6276831403341</v>
      </c>
      <c r="J506">
        <v>732.62768314033406</v>
      </c>
      <c r="K506">
        <v>2.1802102363481675</v>
      </c>
      <c r="L506">
        <v>0.90580441016113766</v>
      </c>
      <c r="M506">
        <v>76270.84462897967</v>
      </c>
      <c r="N506">
        <v>293.38792005958783</v>
      </c>
    </row>
    <row r="507" spans="2:14">
      <c r="B507">
        <v>462</v>
      </c>
      <c r="C507">
        <v>9.3189998796866789</v>
      </c>
      <c r="D507" s="10">
        <v>0.66615484510747658</v>
      </c>
      <c r="E507">
        <v>21.380254425308799</v>
      </c>
      <c r="F507">
        <v>0</v>
      </c>
      <c r="G507">
        <v>-10.115222420639107</v>
      </c>
      <c r="H507">
        <v>40.161602258048497</v>
      </c>
      <c r="I507">
        <v>1133.4339840540526</v>
      </c>
      <c r="J507">
        <v>733.43398405405264</v>
      </c>
      <c r="K507">
        <v>2.1802102363481675</v>
      </c>
      <c r="L507">
        <v>0.90563522324509915</v>
      </c>
      <c r="M507">
        <v>76255.236480761829</v>
      </c>
      <c r="N507">
        <v>293.38267910364868</v>
      </c>
    </row>
    <row r="508" spans="2:14">
      <c r="B508">
        <v>463</v>
      </c>
      <c r="C508">
        <v>9.3391273092324383</v>
      </c>
      <c r="D508" s="10">
        <v>0.65929757272966361</v>
      </c>
      <c r="E508">
        <v>21.380249042074293</v>
      </c>
      <c r="F508">
        <v>0</v>
      </c>
      <c r="G508">
        <v>-10.112056581911942</v>
      </c>
      <c r="H508">
        <v>39.958072551633329</v>
      </c>
      <c r="I508">
        <v>1134.2361890792067</v>
      </c>
      <c r="J508">
        <v>734.23618907920672</v>
      </c>
      <c r="K508">
        <v>2.1802102363481675</v>
      </c>
      <c r="L508">
        <v>0.90546692422730302</v>
      </c>
      <c r="M508">
        <v>76239.710520507128</v>
      </c>
      <c r="N508">
        <v>293.37746477098517</v>
      </c>
    </row>
    <row r="509" spans="2:14">
      <c r="B509">
        <v>464</v>
      </c>
      <c r="C509">
        <v>9.3592547387781977</v>
      </c>
      <c r="D509" s="10">
        <v>0.65247972656675202</v>
      </c>
      <c r="E509">
        <v>21.38024368631892</v>
      </c>
      <c r="F509">
        <v>0</v>
      </c>
      <c r="G509">
        <v>-10.108908878310745</v>
      </c>
      <c r="H509">
        <v>39.754606200400623</v>
      </c>
      <c r="I509">
        <v>1135.0342994873001</v>
      </c>
      <c r="J509">
        <v>735.03429948730013</v>
      </c>
      <c r="K509">
        <v>2.1802102363481675</v>
      </c>
      <c r="L509">
        <v>0.90529951240206186</v>
      </c>
      <c r="M509">
        <v>76224.266678806729</v>
      </c>
      <c r="N509">
        <v>293.37227705333254</v>
      </c>
    </row>
    <row r="510" spans="2:14">
      <c r="B510">
        <v>465</v>
      </c>
      <c r="C510">
        <v>9.3793821683239571</v>
      </c>
      <c r="D510" s="10">
        <v>0.64570122248472672</v>
      </c>
      <c r="E510">
        <v>21.38023835803417</v>
      </c>
      <c r="F510">
        <v>0</v>
      </c>
      <c r="G510">
        <v>-10.105779270989153</v>
      </c>
      <c r="H510">
        <v>39.551202840118791</v>
      </c>
      <c r="I510">
        <v>1135.828316542513</v>
      </c>
      <c r="J510">
        <v>735.82831654251299</v>
      </c>
      <c r="K510">
        <v>2.1802102363481675</v>
      </c>
      <c r="L510">
        <v>0.90513298706775736</v>
      </c>
      <c r="M510">
        <v>76208.904886653254</v>
      </c>
      <c r="N510">
        <v>293.36711594247367</v>
      </c>
    </row>
    <row r="511" spans="2:14">
      <c r="B511">
        <v>466</v>
      </c>
      <c r="C511">
        <v>9.3995095978697165</v>
      </c>
      <c r="D511" s="10">
        <v>0.63896197689808265</v>
      </c>
      <c r="E511">
        <v>21.38023305721158</v>
      </c>
      <c r="F511">
        <v>0</v>
      </c>
      <c r="G511">
        <v>-10.102667721353399</v>
      </c>
      <c r="H511">
        <v>39.347862107333029</v>
      </c>
      <c r="I511">
        <v>1136.6182415017181</v>
      </c>
      <c r="J511">
        <v>736.6182415017181</v>
      </c>
      <c r="K511">
        <v>2.1802102363481675</v>
      </c>
      <c r="L511">
        <v>0.90496734752682451</v>
      </c>
      <c r="M511">
        <v>76193.625075439253</v>
      </c>
      <c r="N511">
        <v>293.36198143023881</v>
      </c>
    </row>
    <row r="512" spans="2:14">
      <c r="B512">
        <v>467</v>
      </c>
      <c r="C512">
        <v>9.4196370274154759</v>
      </c>
      <c r="D512" s="10">
        <v>0.63226190676770566</v>
      </c>
      <c r="E512">
        <v>21.380227783842731</v>
      </c>
      <c r="F512">
        <v>0</v>
      </c>
      <c r="G512">
        <v>-10.099574191061324</v>
      </c>
      <c r="H512">
        <v>39.14458363936027</v>
      </c>
      <c r="I512">
        <v>1137.4040756144964</v>
      </c>
      <c r="J512">
        <v>737.40407561449638</v>
      </c>
      <c r="K512">
        <v>2.1802102363481675</v>
      </c>
      <c r="L512">
        <v>0.90480259308574573</v>
      </c>
      <c r="M512">
        <v>76178.42717695664</v>
      </c>
      <c r="N512">
        <v>293.35687350850577</v>
      </c>
    </row>
    <row r="513" spans="2:14">
      <c r="B513">
        <v>468</v>
      </c>
      <c r="C513">
        <v>9.4397644569612353</v>
      </c>
      <c r="D513" s="10">
        <v>0.62560092959876668</v>
      </c>
      <c r="E513">
        <v>21.380222537919259</v>
      </c>
      <c r="F513">
        <v>0</v>
      </c>
      <c r="G513">
        <v>-10.096498642021404</v>
      </c>
      <c r="H513">
        <v>38.941367074284123</v>
      </c>
      <c r="I513">
        <v>1138.1858201231516</v>
      </c>
      <c r="J513">
        <v>738.18582012315164</v>
      </c>
      <c r="K513">
        <v>2.1802102363481675</v>
      </c>
      <c r="L513">
        <v>0.90463872305504334</v>
      </c>
      <c r="M513">
        <v>76163.311123395848</v>
      </c>
      <c r="N513">
        <v>293.35179216919954</v>
      </c>
    </row>
    <row r="514" spans="2:14">
      <c r="B514">
        <v>469</v>
      </c>
      <c r="C514">
        <v>9.4598918865069948</v>
      </c>
      <c r="D514" s="10">
        <v>0.61897896343863357</v>
      </c>
      <c r="E514">
        <v>21.380217319432845</v>
      </c>
      <c r="F514">
        <v>0</v>
      </c>
      <c r="G514">
        <v>-10.093441036391784</v>
      </c>
      <c r="H514">
        <v>38.738212050949869</v>
      </c>
      <c r="I514">
        <v>1138.9634762627263</v>
      </c>
      <c r="J514">
        <v>738.96347626272632</v>
      </c>
      <c r="K514">
        <v>2.1802102363481675</v>
      </c>
      <c r="L514">
        <v>0.90447573674927151</v>
      </c>
      <c r="M514">
        <v>76148.276847345056</v>
      </c>
      <c r="N514">
        <v>293.3467374042923</v>
      </c>
    </row>
    <row r="515" spans="2:14">
      <c r="B515">
        <v>470</v>
      </c>
      <c r="C515">
        <v>9.4800193160527542</v>
      </c>
      <c r="D515" s="10">
        <v>0.61239592687479394</v>
      </c>
      <c r="E515">
        <v>21.380212128375216</v>
      </c>
      <c r="F515">
        <v>0</v>
      </c>
      <c r="G515">
        <v>-10.090401336579326</v>
      </c>
      <c r="H515">
        <v>38.535118208959432</v>
      </c>
      <c r="I515">
        <v>1139.7370452610166</v>
      </c>
      <c r="J515">
        <v>739.73704526101665</v>
      </c>
      <c r="K515">
        <v>2.1802102363481675</v>
      </c>
      <c r="L515">
        <v>0.90431363348700466</v>
      </c>
      <c r="M515">
        <v>76133.324281789071</v>
      </c>
      <c r="N515">
        <v>293.3417092058034</v>
      </c>
    </row>
    <row r="516" spans="2:14">
      <c r="B516">
        <v>471</v>
      </c>
      <c r="C516">
        <v>9.5001467455985136</v>
      </c>
      <c r="D516" s="10">
        <v>0.60585173903279921</v>
      </c>
      <c r="E516">
        <v>21.380206964738157</v>
      </c>
      <c r="F516">
        <v>0</v>
      </c>
      <c r="G516">
        <v>-10.087379505238646</v>
      </c>
      <c r="H516">
        <v>38.332085188666397</v>
      </c>
      <c r="I516">
        <v>1140.5065283385879</v>
      </c>
      <c r="J516">
        <v>740.50652833858794</v>
      </c>
      <c r="K516">
        <v>2.1802102363481675</v>
      </c>
      <c r="L516">
        <v>0.9041524125908309</v>
      </c>
      <c r="M516">
        <v>76118.45336010863</v>
      </c>
      <c r="N516">
        <v>293.3367075657992</v>
      </c>
    </row>
    <row r="517" spans="2:14">
      <c r="B517">
        <v>472</v>
      </c>
      <c r="C517">
        <v>9.520274175144273</v>
      </c>
      <c r="D517" s="10">
        <v>0.59934631957422357</v>
      </c>
      <c r="E517">
        <v>21.380201828513492</v>
      </c>
      <c r="F517">
        <v>0</v>
      </c>
      <c r="G517">
        <v>-10.084375505271183</v>
      </c>
      <c r="H517">
        <v>38.129112631171068</v>
      </c>
      <c r="I517">
        <v>1141.2719267087889</v>
      </c>
      <c r="J517">
        <v>741.2719267087889</v>
      </c>
      <c r="K517">
        <v>2.1802102363481675</v>
      </c>
      <c r="L517">
        <v>0.903992073387345</v>
      </c>
      <c r="M517">
        <v>76103.664016079638</v>
      </c>
      <c r="N517">
        <v>293.33173247639286</v>
      </c>
    </row>
    <row r="518" spans="2:14">
      <c r="B518">
        <v>473</v>
      </c>
      <c r="C518">
        <v>9.5404016046900324</v>
      </c>
      <c r="D518" s="10">
        <v>0.59287958869463719</v>
      </c>
      <c r="E518">
        <v>21.380196719693103</v>
      </c>
      <c r="F518">
        <v>0</v>
      </c>
      <c r="G518">
        <v>-10.08138929982425</v>
      </c>
      <c r="H518">
        <v>37.926200178315483</v>
      </c>
      <c r="I518">
        <v>1142.0332415777668</v>
      </c>
      <c r="J518">
        <v>742.03324157776683</v>
      </c>
      <c r="K518">
        <v>2.1802102363481675</v>
      </c>
      <c r="L518">
        <v>0.90383261520714087</v>
      </c>
      <c r="M518">
        <v>76088.956183872506</v>
      </c>
      <c r="N518">
        <v>293.32678392974452</v>
      </c>
    </row>
    <row r="519" spans="2:14">
      <c r="B519">
        <v>474</v>
      </c>
      <c r="C519">
        <v>9.5605290342357918</v>
      </c>
      <c r="D519" s="10">
        <v>0.58645146712159202</v>
      </c>
      <c r="E519">
        <v>21.380191638268904</v>
      </c>
      <c r="F519">
        <v>0</v>
      </c>
      <c r="G519">
        <v>-10.078420852290119</v>
      </c>
      <c r="H519">
        <v>37.723347472678498</v>
      </c>
      <c r="I519">
        <v>1142.7904741444829</v>
      </c>
      <c r="J519">
        <v>742.79047414448291</v>
      </c>
      <c r="K519">
        <v>2.1802102363481675</v>
      </c>
      <c r="L519">
        <v>0.90367403738479768</v>
      </c>
      <c r="M519">
        <v>76074.32979805069</v>
      </c>
      <c r="N519">
        <v>293.32186191806085</v>
      </c>
    </row>
    <row r="520" spans="2:14">
      <c r="B520">
        <v>475</v>
      </c>
      <c r="C520">
        <v>9.5806564637815512</v>
      </c>
      <c r="D520" s="10">
        <v>0.58006187611263205</v>
      </c>
      <c r="E520">
        <v>21.380186584232881</v>
      </c>
      <c r="F520">
        <v>0</v>
      </c>
      <c r="G520">
        <v>-10.075470126305079</v>
      </c>
      <c r="H520">
        <v>37.520554157570885</v>
      </c>
      <c r="I520">
        <v>1143.5436256007263</v>
      </c>
      <c r="J520">
        <v>743.54362560072627</v>
      </c>
      <c r="K520">
        <v>2.1802102363481675</v>
      </c>
      <c r="L520">
        <v>0.90351633925887997</v>
      </c>
      <c r="M520">
        <v>76059.78479357071</v>
      </c>
      <c r="N520">
        <v>293.31696643359527</v>
      </c>
    </row>
    <row r="521" spans="2:14">
      <c r="B521">
        <v>476</v>
      </c>
      <c r="C521">
        <v>9.6007838933273106</v>
      </c>
      <c r="D521" s="10">
        <v>0.57371073745330725</v>
      </c>
      <c r="E521">
        <v>21.380181557577046</v>
      </c>
      <c r="F521">
        <v>0</v>
      </c>
      <c r="G521">
        <v>-10.072537085748543</v>
      </c>
      <c r="H521">
        <v>37.317819877030431</v>
      </c>
      <c r="I521">
        <v>1144.2926971311285</v>
      </c>
      <c r="J521">
        <v>744.29269713112853</v>
      </c>
      <c r="K521">
        <v>2.1802102363481675</v>
      </c>
      <c r="L521">
        <v>0.90335952017192167</v>
      </c>
      <c r="M521">
        <v>76045.321105780575</v>
      </c>
      <c r="N521">
        <v>293.31209746864766</v>
      </c>
    </row>
    <row r="522" spans="2:14">
      <c r="B522">
        <v>477</v>
      </c>
      <c r="C522">
        <v>9.62091132287307</v>
      </c>
      <c r="D522" s="10">
        <v>0.56739797345521426</v>
      </c>
      <c r="E522">
        <v>21.380176558293474</v>
      </c>
      <c r="F522">
        <v>0</v>
      </c>
      <c r="G522">
        <v>-10.069621694742121</v>
      </c>
      <c r="H522">
        <v>37.115144275817052</v>
      </c>
      <c r="I522">
        <v>1145.0376899131786</v>
      </c>
      <c r="J522">
        <v>745.03768991317861</v>
      </c>
      <c r="K522">
        <v>2.1802102363481675</v>
      </c>
      <c r="L522">
        <v>0.90320357947042496</v>
      </c>
      <c r="M522">
        <v>76030.938670419608</v>
      </c>
      <c r="N522">
        <v>293.30725501556435</v>
      </c>
    </row>
    <row r="523" spans="2:14">
      <c r="B523">
        <v>478</v>
      </c>
      <c r="C523">
        <v>9.6410387524188295</v>
      </c>
      <c r="D523" s="10">
        <v>0.56112350695404334</v>
      </c>
      <c r="E523">
        <v>21.380171586374278</v>
      </c>
      <c r="F523">
        <v>0</v>
      </c>
      <c r="G523">
        <v>-10.06672391764873</v>
      </c>
      <c r="H523">
        <v>36.912526999407966</v>
      </c>
      <c r="I523">
        <v>1145.7786051172372</v>
      </c>
      <c r="J523">
        <v>745.77860511723725</v>
      </c>
      <c r="K523">
        <v>2.1802102363481675</v>
      </c>
      <c r="L523">
        <v>0.90304851650484774</v>
      </c>
      <c r="M523">
        <v>76016.637423617241</v>
      </c>
      <c r="N523">
        <v>293.30243906673797</v>
      </c>
    </row>
    <row r="524" spans="2:14">
      <c r="B524">
        <v>479</v>
      </c>
      <c r="C524">
        <v>9.6611661819645889</v>
      </c>
      <c r="D524" s="10">
        <v>0.55488726130764365</v>
      </c>
      <c r="E524">
        <v>21.380166641811623</v>
      </c>
      <c r="F524">
        <v>0</v>
      </c>
      <c r="G524">
        <v>-10.063843719071695</v>
      </c>
      <c r="H524">
        <v>36.709967693992816</v>
      </c>
      <c r="I524">
        <v>1146.5154439065509</v>
      </c>
      <c r="J524">
        <v>746.5154439065509</v>
      </c>
      <c r="K524">
        <v>2.1802102363481675</v>
      </c>
      <c r="L524">
        <v>0.90289433062959601</v>
      </c>
      <c r="M524">
        <v>76002.41730189223</v>
      </c>
      <c r="N524">
        <v>293.29764961460739</v>
      </c>
    </row>
    <row r="525" spans="2:14">
      <c r="B525">
        <v>480</v>
      </c>
      <c r="C525">
        <v>9.6812936115103483</v>
      </c>
      <c r="D525" s="10">
        <v>0.54868916039410698</v>
      </c>
      <c r="E525">
        <v>21.38016172459773</v>
      </c>
      <c r="F525">
        <v>0</v>
      </c>
      <c r="G525">
        <v>-10.060981063853863</v>
      </c>
      <c r="H525">
        <v>36.507466006468874</v>
      </c>
      <c r="I525">
        <v>1147.248207437266</v>
      </c>
      <c r="J525">
        <v>747.24820743726605</v>
      </c>
      <c r="K525">
        <v>2.1802102363481675</v>
      </c>
      <c r="L525">
        <v>0.90274102120301947</v>
      </c>
      <c r="M525">
        <v>75988.278242152213</v>
      </c>
      <c r="N525">
        <v>293.2928866516578</v>
      </c>
    </row>
    <row r="526" spans="2:14">
      <c r="B526">
        <v>481</v>
      </c>
      <c r="C526">
        <v>9.7014210410561077</v>
      </c>
      <c r="D526" s="10">
        <v>0.54252912860986169</v>
      </c>
      <c r="E526">
        <v>21.380156834724851</v>
      </c>
      <c r="F526">
        <v>0</v>
      </c>
      <c r="G526">
        <v>-10.058135917076724</v>
      </c>
      <c r="H526">
        <v>36.30502158443624</v>
      </c>
      <c r="I526">
        <v>1147.9768968584433</v>
      </c>
      <c r="J526">
        <v>747.9768968584433</v>
      </c>
      <c r="K526">
        <v>2.1802102363481675</v>
      </c>
      <c r="L526">
        <v>0.90258858758740246</v>
      </c>
      <c r="M526">
        <v>75974.220181692712</v>
      </c>
      <c r="N526">
        <v>293.28815017042012</v>
      </c>
    </row>
    <row r="527" spans="2:14">
      <c r="B527">
        <v>482</v>
      </c>
      <c r="C527">
        <v>9.7215484706018671</v>
      </c>
      <c r="D527" s="10">
        <v>0.53640709086778049</v>
      </c>
      <c r="E527">
        <v>21.380151972185303</v>
      </c>
      <c r="F527">
        <v>0</v>
      </c>
      <c r="G527">
        <v>-10.055308244059534</v>
      </c>
      <c r="H527">
        <v>36.102634076193034</v>
      </c>
      <c r="I527">
        <v>1148.7015133120717</v>
      </c>
      <c r="J527">
        <v>748.70151331207171</v>
      </c>
      <c r="K527">
        <v>2.1802102363481675</v>
      </c>
      <c r="L527">
        <v>0.90243702914895096</v>
      </c>
      <c r="M527">
        <v>75960.243058196022</v>
      </c>
      <c r="N527">
        <v>293.28344016347154</v>
      </c>
    </row>
    <row r="528" spans="2:14">
      <c r="B528">
        <v>483</v>
      </c>
      <c r="C528">
        <v>9.7416759001476265</v>
      </c>
      <c r="D528" s="10">
        <v>0.53032297259530925</v>
      </c>
      <c r="E528">
        <v>21.380147136971438</v>
      </c>
      <c r="F528">
        <v>0</v>
      </c>
      <c r="G528">
        <v>-10.052498010358452</v>
      </c>
      <c r="H528">
        <v>35.900303130730656</v>
      </c>
      <c r="I528">
        <v>1149.422057933082</v>
      </c>
      <c r="J528">
        <v>749.42205793308199</v>
      </c>
      <c r="K528">
        <v>2.1802102363481675</v>
      </c>
      <c r="L528">
        <v>0.90228634525779206</v>
      </c>
      <c r="M528">
        <v>75946.346809730967</v>
      </c>
      <c r="N528">
        <v>293.27875662343496</v>
      </c>
    </row>
    <row r="529" spans="2:14">
      <c r="B529">
        <v>484</v>
      </c>
      <c r="C529">
        <v>9.7618033296933859</v>
      </c>
      <c r="D529" s="10">
        <v>0.52427669973260649</v>
      </c>
      <c r="E529">
        <v>21.380142329075653</v>
      </c>
      <c r="F529">
        <v>0</v>
      </c>
      <c r="G529">
        <v>-10.049705181765676</v>
      </c>
      <c r="H529">
        <v>35.698028397729011</v>
      </c>
      <c r="I529">
        <v>1150.138531849361</v>
      </c>
      <c r="J529">
        <v>750.13853184936102</v>
      </c>
      <c r="K529">
        <v>2.1802102363481675</v>
      </c>
      <c r="L529">
        <v>0.90213653528796489</v>
      </c>
      <c r="M529">
        <v>75932.53137475207</v>
      </c>
      <c r="N529">
        <v>293.27409954297917</v>
      </c>
    </row>
    <row r="530" spans="2:14">
      <c r="B530">
        <v>485</v>
      </c>
      <c r="C530">
        <v>9.7819307592391453</v>
      </c>
      <c r="D530" s="10">
        <v>0.51826819873069541</v>
      </c>
      <c r="E530">
        <v>21.380137548490406</v>
      </c>
      <c r="F530">
        <v>0</v>
      </c>
      <c r="G530">
        <v>-10.04692972430859</v>
      </c>
      <c r="H530">
        <v>35.495809527551792</v>
      </c>
      <c r="I530">
        <v>1150.8509361817653</v>
      </c>
      <c r="J530">
        <v>750.85093618176529</v>
      </c>
      <c r="K530">
        <v>2.1802102363481675</v>
      </c>
      <c r="L530">
        <v>0.90198759861740896</v>
      </c>
      <c r="M530">
        <v>75918.79669209836</v>
      </c>
      <c r="N530">
        <v>293.2694689148185</v>
      </c>
    </row>
    <row r="531" spans="2:14">
      <c r="B531">
        <v>486</v>
      </c>
      <c r="C531">
        <v>9.8020581887849048</v>
      </c>
      <c r="D531" s="10">
        <v>0.51229739654963602</v>
      </c>
      <c r="E531">
        <v>21.380132795208194</v>
      </c>
      <c r="F531">
        <v>0</v>
      </c>
      <c r="G531">
        <v>-10.044171604248925</v>
      </c>
      <c r="H531">
        <v>35.293646171241754</v>
      </c>
      <c r="I531">
        <v>1151.5592720441346</v>
      </c>
      <c r="J531">
        <v>751.55927204413456</v>
      </c>
      <c r="K531">
        <v>2.1802102363481675</v>
      </c>
      <c r="L531">
        <v>0.90183953462796274</v>
      </c>
      <c r="M531">
        <v>75905.142700993238</v>
      </c>
      <c r="N531">
        <v>293.26486473171315</v>
      </c>
    </row>
    <row r="532" spans="2:14">
      <c r="B532">
        <v>487</v>
      </c>
      <c r="C532">
        <v>9.8221856183306642</v>
      </c>
      <c r="D532" s="10">
        <v>0.50636422065670383</v>
      </c>
      <c r="E532">
        <v>21.380128069221559</v>
      </c>
      <c r="F532">
        <v>0</v>
      </c>
      <c r="G532">
        <v>-10.041430788081911</v>
      </c>
      <c r="H532">
        <v>35.091537980516016</v>
      </c>
      <c r="I532">
        <v>1152.263540543305</v>
      </c>
      <c r="J532">
        <v>752.263540543305</v>
      </c>
      <c r="K532">
        <v>2.1802102363481675</v>
      </c>
      <c r="L532">
        <v>0.90169234270534748</v>
      </c>
      <c r="M532">
        <v>75891.569341042879</v>
      </c>
      <c r="N532">
        <v>293.26028698646854</v>
      </c>
    </row>
    <row r="533" spans="2:14">
      <c r="B533">
        <v>488</v>
      </c>
      <c r="C533">
        <v>9.8423130478764236</v>
      </c>
      <c r="D533" s="10">
        <v>0.50046859902459462</v>
      </c>
      <c r="E533">
        <v>21.380123370523105</v>
      </c>
      <c r="F533">
        <v>0</v>
      </c>
      <c r="G533">
        <v>-10.038707242535445</v>
      </c>
      <c r="H533">
        <v>34.889484607761375</v>
      </c>
      <c r="I533">
        <v>1152.9637427791233</v>
      </c>
      <c r="J533">
        <v>752.96374277912332</v>
      </c>
      <c r="K533">
        <v>2.1802102363481675</v>
      </c>
      <c r="L533">
        <v>0.90154602223917224</v>
      </c>
      <c r="M533">
        <v>75878.076552236613</v>
      </c>
      <c r="N533">
        <v>293.25573567193572</v>
      </c>
    </row>
    <row r="534" spans="2:14">
      <c r="B534">
        <v>489</v>
      </c>
      <c r="C534">
        <v>9.862440477422183</v>
      </c>
      <c r="D534" s="10">
        <v>0.49461046012962928</v>
      </c>
      <c r="E534">
        <v>21.380118699105459</v>
      </c>
      <c r="F534">
        <v>0</v>
      </c>
      <c r="G534">
        <v>-10.036000934569271</v>
      </c>
      <c r="H534">
        <v>34.687485706029655</v>
      </c>
      <c r="I534">
        <v>1153.6598798444595</v>
      </c>
      <c r="J534">
        <v>753.65987984445951</v>
      </c>
      <c r="K534">
        <v>2.1802102363481675</v>
      </c>
      <c r="L534">
        <v>0.90140057262291318</v>
      </c>
      <c r="M534">
        <v>75864.664274945026</v>
      </c>
      <c r="N534">
        <v>293.25121078101103</v>
      </c>
    </row>
    <row r="535" spans="2:14">
      <c r="B535">
        <v>490</v>
      </c>
      <c r="C535">
        <v>9.8825679069679424</v>
      </c>
      <c r="D535" s="10">
        <v>0.4887897329499854</v>
      </c>
      <c r="E535">
        <v>21.380114054961307</v>
      </c>
      <c r="F535">
        <v>0</v>
      </c>
      <c r="G535">
        <v>-10.033311831374144</v>
      </c>
      <c r="H535">
        <v>34.485540929033036</v>
      </c>
      <c r="I535">
        <v>1154.3519528252205</v>
      </c>
      <c r="J535">
        <v>754.35195282522045</v>
      </c>
      <c r="K535">
        <v>2.1802102363481675</v>
      </c>
      <c r="L535">
        <v>0.9012559932539167</v>
      </c>
      <c r="M535">
        <v>75851.332449920141</v>
      </c>
      <c r="N535">
        <v>293.24671230663608</v>
      </c>
    </row>
    <row r="536" spans="2:14">
      <c r="B536">
        <v>491</v>
      </c>
      <c r="C536">
        <v>9.9026953365137018</v>
      </c>
      <c r="D536" s="10">
        <v>0.48300634696393446</v>
      </c>
      <c r="E536">
        <v>21.380109438083394</v>
      </c>
      <c r="F536">
        <v>0</v>
      </c>
      <c r="G536">
        <v>-10.030639900371035</v>
      </c>
      <c r="H536">
        <v>34.283649931139429</v>
      </c>
      <c r="I536">
        <v>1155.0399628003629</v>
      </c>
      <c r="J536">
        <v>755.0399628003629</v>
      </c>
      <c r="K536">
        <v>2.1802102363481675</v>
      </c>
      <c r="L536">
        <v>0.90111228353338579</v>
      </c>
      <c r="M536">
        <v>75838.081018294077</v>
      </c>
      <c r="N536">
        <v>293.24224024179762</v>
      </c>
    </row>
    <row r="537" spans="2:14">
      <c r="B537">
        <v>492</v>
      </c>
      <c r="C537">
        <v>9.9228227660594612</v>
      </c>
      <c r="D537" s="10">
        <v>0.47726023214809882</v>
      </c>
      <c r="E537">
        <v>21.380104848464487</v>
      </c>
      <c r="F537">
        <v>0</v>
      </c>
      <c r="G537">
        <v>-10.027985109210316</v>
      </c>
      <c r="H537">
        <v>34.081812367367874</v>
      </c>
      <c r="I537">
        <v>1155.7239108419067</v>
      </c>
      <c r="J537">
        <v>755.72391084190667</v>
      </c>
      <c r="K537">
        <v>2.1802102363481675</v>
      </c>
      <c r="L537">
        <v>0.90096944286637737</v>
      </c>
      <c r="M537">
        <v>75824.909921578786</v>
      </c>
      <c r="N537">
        <v>293.23779457952759</v>
      </c>
    </row>
    <row r="538" spans="2:14">
      <c r="B538">
        <v>493</v>
      </c>
      <c r="C538">
        <v>9.9429501956052206</v>
      </c>
      <c r="D538" s="10">
        <v>0.47155131897571739</v>
      </c>
      <c r="E538">
        <v>21.380100286097417</v>
      </c>
      <c r="F538">
        <v>0</v>
      </c>
      <c r="G538">
        <v>-10.025347425770955</v>
      </c>
      <c r="H538">
        <v>33.880027893383904</v>
      </c>
      <c r="I538">
        <v>1156.4037980149474</v>
      </c>
      <c r="J538">
        <v>756.40379801494737</v>
      </c>
      <c r="K538">
        <v>2.1802102363481675</v>
      </c>
      <c r="L538">
        <v>0.90082747066179114</v>
      </c>
      <c r="M538">
        <v>75811.819101664951</v>
      </c>
      <c r="N538">
        <v>293.23337531290287</v>
      </c>
    </row>
    <row r="539" spans="2:14">
      <c r="B539">
        <v>494</v>
      </c>
      <c r="C539">
        <v>9.9630776251509801</v>
      </c>
      <c r="D539" s="10">
        <v>0.4658795384149293</v>
      </c>
      <c r="E539">
        <v>21.380095750975055</v>
      </c>
      <c r="F539">
        <v>0</v>
      </c>
      <c r="G539">
        <v>-10.022726818159727</v>
      </c>
      <c r="H539">
        <v>33.678296165494999</v>
      </c>
      <c r="I539">
        <v>1157.0796253776696</v>
      </c>
      <c r="J539">
        <v>757.07962537766957</v>
      </c>
      <c r="K539">
        <v>2.1802102363481675</v>
      </c>
      <c r="L539">
        <v>0.90068636633236332</v>
      </c>
      <c r="M539">
        <v>75798.808500821324</v>
      </c>
      <c r="N539">
        <v>293.22898243504517</v>
      </c>
    </row>
    <row r="540" spans="2:14">
      <c r="B540">
        <v>495</v>
      </c>
      <c r="C540">
        <v>9.9832050546967395</v>
      </c>
      <c r="D540" s="10">
        <v>0.46024482192707145</v>
      </c>
      <c r="E540">
        <v>21.380091243090327</v>
      </c>
      <c r="F540">
        <v>0</v>
      </c>
      <c r="G540">
        <v>-10.020123254710425</v>
      </c>
      <c r="H540">
        <v>33.476616840645988</v>
      </c>
      <c r="I540">
        <v>1157.7513939813591</v>
      </c>
      <c r="J540">
        <v>757.75139398135912</v>
      </c>
      <c r="K540">
        <v>2.1802102363481675</v>
      </c>
      <c r="L540">
        <v>0.90054612929466371</v>
      </c>
      <c r="M540">
        <v>75785.878061694413</v>
      </c>
      <c r="N540">
        <v>293.22461593912118</v>
      </c>
    </row>
    <row r="541" spans="2:14">
      <c r="B541">
        <v>496</v>
      </c>
      <c r="C541">
        <v>10.003332484242499</v>
      </c>
      <c r="D541" s="10">
        <v>0.45464710146498571</v>
      </c>
      <c r="E541">
        <v>21.380086762436193</v>
      </c>
      <c r="F541">
        <v>0</v>
      </c>
      <c r="G541">
        <v>-10.017536703983081</v>
      </c>
      <c r="H541">
        <v>33.274989576414505</v>
      </c>
      <c r="I541">
        <v>1158.4191048704167</v>
      </c>
      <c r="J541">
        <v>758.41910487041673</v>
      </c>
      <c r="K541">
        <v>2.1802102363481675</v>
      </c>
      <c r="L541">
        <v>0.9004067589690834</v>
      </c>
      <c r="M541">
        <v>75773.027727307301</v>
      </c>
      <c r="N541">
        <v>293.22027581834232</v>
      </c>
    </row>
    <row r="542" spans="2:14">
      <c r="B542">
        <v>497</v>
      </c>
      <c r="C542">
        <v>10.023459913788258</v>
      </c>
      <c r="D542" s="10">
        <v>0.44908630947134387</v>
      </c>
      <c r="E542">
        <v>21.380082309005662</v>
      </c>
      <c r="F542">
        <v>0</v>
      </c>
      <c r="G542">
        <v>-10.014967134763188</v>
      </c>
      <c r="H542">
        <v>33.073414031006457</v>
      </c>
      <c r="I542">
        <v>1159.0827590823694</v>
      </c>
      <c r="J542">
        <v>759.08275908236942</v>
      </c>
      <c r="K542">
        <v>2.1802102363481675</v>
      </c>
      <c r="L542">
        <v>0.90026825477982986</v>
      </c>
      <c r="M542">
        <v>75760.257441059133</v>
      </c>
      <c r="N542">
        <v>293.21596206596462</v>
      </c>
    </row>
    <row r="543" spans="2:14">
      <c r="B543">
        <v>498</v>
      </c>
      <c r="C543">
        <v>10.043587343334018</v>
      </c>
      <c r="D543" s="10">
        <v>0.44356237887698502</v>
      </c>
      <c r="E543">
        <v>21.380077882791802</v>
      </c>
      <c r="F543">
        <v>0</v>
      </c>
      <c r="G543">
        <v>-10.012414516060922</v>
      </c>
      <c r="H543">
        <v>32.871889863251496</v>
      </c>
      <c r="I543">
        <v>1159.7423576478839</v>
      </c>
      <c r="J543">
        <v>759.74235764788386</v>
      </c>
      <c r="K543">
        <v>2.1802102363481675</v>
      </c>
      <c r="L543">
        <v>0.90013061615492085</v>
      </c>
      <c r="M543">
        <v>75747.567146724468</v>
      </c>
      <c r="N543">
        <v>293.21167467528875</v>
      </c>
    </row>
    <row r="544" spans="2:14">
      <c r="B544">
        <v>499</v>
      </c>
      <c r="C544">
        <v>10.063714772879777</v>
      </c>
      <c r="D544" s="10">
        <v>0.43807524309926549</v>
      </c>
      <c r="E544">
        <v>21.380073483787712</v>
      </c>
      <c r="F544">
        <v>0</v>
      </c>
      <c r="G544">
        <v>-10.009878817110403</v>
      </c>
      <c r="H544">
        <v>32.670416732598511</v>
      </c>
      <c r="I544">
        <v>1160.3979015907785</v>
      </c>
      <c r="J544">
        <v>760.39790159077847</v>
      </c>
      <c r="K544">
        <v>2.1802102363481675</v>
      </c>
      <c r="L544">
        <v>0.89999384252617709</v>
      </c>
      <c r="M544">
        <v>75734.956788452575</v>
      </c>
      <c r="N544">
        <v>293.20741363965993</v>
      </c>
    </row>
    <row r="545" spans="2:14">
      <c r="B545">
        <v>500</v>
      </c>
      <c r="C545">
        <v>10.083842202425537</v>
      </c>
      <c r="D545" s="10">
        <v>0.43262483604042368</v>
      </c>
      <c r="E545">
        <v>21.380069111986536</v>
      </c>
      <c r="F545">
        <v>0</v>
      </c>
      <c r="G545">
        <v>-10.007360007368913</v>
      </c>
      <c r="H545">
        <v>32.468994299111138</v>
      </c>
      <c r="I545">
        <v>1161.0493919280361</v>
      </c>
      <c r="J545">
        <v>761.04939192803613</v>
      </c>
      <c r="K545">
        <v>2.1802102363481675</v>
      </c>
      <c r="L545">
        <v>0.89985793332921515</v>
      </c>
      <c r="M545">
        <v>75722.426310766692</v>
      </c>
      <c r="N545">
        <v>293.20317895246774</v>
      </c>
    </row>
    <row r="546" spans="2:14">
      <c r="B546">
        <v>501</v>
      </c>
      <c r="C546">
        <v>10.103969631971296</v>
      </c>
      <c r="D546" s="10">
        <v>0.42721109208595665</v>
      </c>
      <c r="E546">
        <v>21.380064767381484</v>
      </c>
      <c r="F546">
        <v>0</v>
      </c>
      <c r="G546">
        <v>-10.004858056516158</v>
      </c>
      <c r="H546">
        <v>32.267622223463285</v>
      </c>
      <c r="I546">
        <v>1161.6968296698155</v>
      </c>
      <c r="J546">
        <v>761.69682966981554</v>
      </c>
      <c r="K546">
        <v>2.1802102363481675</v>
      </c>
      <c r="L546">
        <v>0.89972288800344069</v>
      </c>
      <c r="M546">
        <v>75709.975658563373</v>
      </c>
      <c r="N546">
        <v>293.19897060714618</v>
      </c>
    </row>
    <row r="547" spans="2:14">
      <c r="B547">
        <v>502</v>
      </c>
      <c r="C547">
        <v>10.124097061517055</v>
      </c>
      <c r="D547" s="10">
        <v>0.42183394610301067</v>
      </c>
      <c r="E547">
        <v>21.380060449965786</v>
      </c>
      <c r="F547">
        <v>0</v>
      </c>
      <c r="G547">
        <v>-10.002372934453529</v>
      </c>
      <c r="H547">
        <v>32.06630016693466</v>
      </c>
      <c r="I547">
        <v>1162.3402158194642</v>
      </c>
      <c r="J547">
        <v>762.34021581946422</v>
      </c>
      <c r="K547">
        <v>2.1802102363481675</v>
      </c>
      <c r="L547">
        <v>0.89958870599204044</v>
      </c>
      <c r="M547">
        <v>75697.604777111716</v>
      </c>
      <c r="N547">
        <v>293.1947885971735</v>
      </c>
    </row>
    <row r="548" spans="2:14">
      <c r="B548">
        <v>503</v>
      </c>
      <c r="C548">
        <v>10.144224491062815</v>
      </c>
      <c r="D548" s="10">
        <v>0.41649333343878753</v>
      </c>
      <c r="E548">
        <v>21.380056159732735</v>
      </c>
      <c r="F548">
        <v>0</v>
      </c>
      <c r="G548">
        <v>-9.9999046113033447</v>
      </c>
      <c r="H548">
        <v>31.865027791406334</v>
      </c>
      <c r="I548">
        <v>1162.9795513735305</v>
      </c>
      <c r="J548">
        <v>762.97955137353051</v>
      </c>
      <c r="K548">
        <v>2.1802102363481675</v>
      </c>
      <c r="L548">
        <v>0.89945538674198044</v>
      </c>
      <c r="M548">
        <v>75685.313612053011</v>
      </c>
      <c r="N548">
        <v>293.19063291607205</v>
      </c>
    </row>
    <row r="549" spans="2:14">
      <c r="B549">
        <v>504</v>
      </c>
      <c r="C549">
        <v>10.164351920608574</v>
      </c>
      <c r="D549" s="10">
        <v>0.4111891899189592</v>
      </c>
      <c r="E549">
        <v>21.380051896675667</v>
      </c>
      <c r="F549">
        <v>0</v>
      </c>
      <c r="G549">
        <v>-9.9974530574081459</v>
      </c>
      <c r="H549">
        <v>31.66380475935631</v>
      </c>
      <c r="I549">
        <v>1163.6148373217748</v>
      </c>
      <c r="J549">
        <v>763.61483732177476</v>
      </c>
      <c r="K549">
        <v>2.1802102363481675</v>
      </c>
      <c r="L549">
        <v>0.89932292970399375</v>
      </c>
      <c r="M549">
        <v>75673.102109399741</v>
      </c>
      <c r="N549">
        <v>293.18650355740846</v>
      </c>
    </row>
    <row r="550" spans="2:14">
      <c r="B550">
        <v>505</v>
      </c>
      <c r="C550">
        <v>10.184479350154334</v>
      </c>
      <c r="D550" s="10">
        <v>0.40592145184609885</v>
      </c>
      <c r="E550">
        <v>21.380047660787955</v>
      </c>
      <c r="F550">
        <v>0</v>
      </c>
      <c r="G550">
        <v>-9.9950182433299464</v>
      </c>
      <c r="H550">
        <v>31.462630733855104</v>
      </c>
      <c r="I550">
        <v>1164.2460746471822</v>
      </c>
      <c r="J550">
        <v>764.24607464718224</v>
      </c>
      <c r="K550">
        <v>2.1802102363481675</v>
      </c>
      <c r="L550">
        <v>0.89919133433257592</v>
      </c>
      <c r="M550">
        <v>75660.970215534981</v>
      </c>
      <c r="N550">
        <v>293.1824005147933</v>
      </c>
    </row>
    <row r="551" spans="2:14">
      <c r="B551">
        <v>506</v>
      </c>
      <c r="C551">
        <v>10.204606779700093</v>
      </c>
      <c r="D551" s="10">
        <v>0.40069005599812457</v>
      </c>
      <c r="E551">
        <v>21.380043452063031</v>
      </c>
      <c r="F551">
        <v>0</v>
      </c>
      <c r="G551">
        <v>-9.9926001398495199</v>
      </c>
      <c r="H551">
        <v>31.261505378561335</v>
      </c>
      <c r="I551">
        <v>1164.8732643259743</v>
      </c>
      <c r="J551">
        <v>764.87326432597433</v>
      </c>
      <c r="K551">
        <v>2.1802102363481675</v>
      </c>
      <c r="L551">
        <v>0.89906060008597943</v>
      </c>
      <c r="M551">
        <v>75648.917877211876</v>
      </c>
      <c r="N551">
        <v>293.17832378188115</v>
      </c>
    </row>
    <row r="552" spans="2:14">
      <c r="B552">
        <v>507</v>
      </c>
      <c r="C552">
        <v>10.224734209245852</v>
      </c>
      <c r="D552" s="10">
        <v>0.39549493962675564</v>
      </c>
      <c r="E552">
        <v>21.380039270494361</v>
      </c>
      <c r="F552">
        <v>0</v>
      </c>
      <c r="G552">
        <v>-9.9901987179656988</v>
      </c>
      <c r="H552">
        <v>31.060428357717342</v>
      </c>
      <c r="I552">
        <v>1165.4964073276203</v>
      </c>
      <c r="J552">
        <v>765.49640732762032</v>
      </c>
      <c r="K552">
        <v>2.1802102363481675</v>
      </c>
      <c r="L552">
        <v>0.89893072642620697</v>
      </c>
      <c r="M552">
        <v>75636.945041552943</v>
      </c>
      <c r="N552">
        <v>293.17427335237045</v>
      </c>
    </row>
    <row r="553" spans="2:14">
      <c r="B553">
        <v>508</v>
      </c>
      <c r="C553">
        <v>10.244861638791612</v>
      </c>
      <c r="D553" s="10">
        <v>0.39033604045598164</v>
      </c>
      <c r="E553">
        <v>21.380035116075458</v>
      </c>
      <c r="F553">
        <v>0</v>
      </c>
      <c r="G553">
        <v>-9.9878139488946438</v>
      </c>
      <c r="H553">
        <v>30.859399336144808</v>
      </c>
      <c r="I553">
        <v>1166.1155046148488</v>
      </c>
      <c r="J553">
        <v>766.11550461484876</v>
      </c>
      <c r="K553">
        <v>2.1802102363481675</v>
      </c>
      <c r="L553">
        <v>0.89880171281900501</v>
      </c>
      <c r="M553">
        <v>75625.051656049429</v>
      </c>
      <c r="N553">
        <v>293.17024922000348</v>
      </c>
    </row>
    <row r="554" spans="2:14">
      <c r="B554">
        <v>509</v>
      </c>
      <c r="C554">
        <v>10.264989068337371</v>
      </c>
      <c r="D554" s="10">
        <v>0.3852132966805436</v>
      </c>
      <c r="E554">
        <v>21.380030988799895</v>
      </c>
      <c r="F554">
        <v>0</v>
      </c>
      <c r="G554">
        <v>-9.98544580406916</v>
      </c>
      <c r="H554">
        <v>30.658417979240404</v>
      </c>
      <c r="I554">
        <v>1166.7305571436598</v>
      </c>
      <c r="J554">
        <v>766.73055714365978</v>
      </c>
      <c r="K554">
        <v>2.1802102363481675</v>
      </c>
      <c r="L554">
        <v>0.89867355873385535</v>
      </c>
      <c r="M554">
        <v>75613.237668560512</v>
      </c>
      <c r="N554">
        <v>293.16625137856619</v>
      </c>
    </row>
    <row r="555" spans="2:14">
      <c r="B555">
        <v>510</v>
      </c>
      <c r="C555">
        <v>10.285116497883131</v>
      </c>
      <c r="D555" s="10">
        <v>0.38012664696443016</v>
      </c>
      <c r="E555">
        <v>21.380026888661263</v>
      </c>
      <c r="F555">
        <v>0</v>
      </c>
      <c r="G555">
        <v>-9.9830942551379938</v>
      </c>
      <c r="H555">
        <v>30.457483952971437</v>
      </c>
      <c r="I555">
        <v>1167.3415658633357</v>
      </c>
      <c r="J555">
        <v>767.34156586333575</v>
      </c>
      <c r="K555">
        <v>2.1802102363481675</v>
      </c>
      <c r="L555">
        <v>0.89854626364397217</v>
      </c>
      <c r="M555">
        <v>75601.503027312938</v>
      </c>
      <c r="N555">
        <v>293.16227982188832</v>
      </c>
    </row>
    <row r="556" spans="2:14">
      <c r="B556">
        <v>511</v>
      </c>
      <c r="C556">
        <v>10.30524392742889</v>
      </c>
      <c r="D556" s="10">
        <v>0.37507603043938487</v>
      </c>
      <c r="E556">
        <v>21.380022815653223</v>
      </c>
      <c r="F556">
        <v>0</v>
      </c>
      <c r="G556">
        <v>-9.9807592739651358</v>
      </c>
      <c r="H556">
        <v>30.256596923871516</v>
      </c>
      <c r="I556">
        <v>1167.9485317164531</v>
      </c>
      <c r="J556">
        <v>767.94853171645309</v>
      </c>
      <c r="K556">
        <v>2.1802102363481675</v>
      </c>
      <c r="L556">
        <v>0.89841982702629564</v>
      </c>
      <c r="M556">
        <v>75589.847680900362</v>
      </c>
      <c r="N556">
        <v>293.15833454384307</v>
      </c>
    </row>
    <row r="557" spans="2:14">
      <c r="B557">
        <v>512</v>
      </c>
      <c r="C557">
        <v>10.325371356974649</v>
      </c>
      <c r="D557" s="10">
        <v>0.3700613867034237</v>
      </c>
      <c r="E557">
        <v>21.380018769769471</v>
      </c>
      <c r="F557">
        <v>0</v>
      </c>
      <c r="G557">
        <v>-9.9784408326291523</v>
      </c>
      <c r="H557">
        <v>30.05575655903624</v>
      </c>
      <c r="I557">
        <v>1168.551455638893</v>
      </c>
      <c r="J557">
        <v>768.551455638893</v>
      </c>
      <c r="K557">
        <v>2.1802102363481675</v>
      </c>
      <c r="L557">
        <v>0.8982942483614792</v>
      </c>
      <c r="M557">
        <v>75578.27157828222</v>
      </c>
      <c r="N557">
        <v>293.15441553834722</v>
      </c>
    </row>
    <row r="558" spans="2:14">
      <c r="B558">
        <v>513</v>
      </c>
      <c r="C558">
        <v>10.345498786520409</v>
      </c>
      <c r="D558" s="10">
        <v>0.36508265581937283</v>
      </c>
      <c r="E558">
        <v>21.380014751003742</v>
      </c>
      <c r="F558">
        <v>0</v>
      </c>
      <c r="G558">
        <v>-9.9761389034224894</v>
      </c>
      <c r="H558">
        <v>29.854962526118893</v>
      </c>
      <c r="I558">
        <v>1169.1503385598535</v>
      </c>
      <c r="J558">
        <v>769.15033855985348</v>
      </c>
      <c r="K558">
        <v>2.1802102363481675</v>
      </c>
      <c r="L558">
        <v>0.89816952713389542</v>
      </c>
      <c r="M558">
        <v>75566.774668784041</v>
      </c>
      <c r="N558">
        <v>293.15052279936094</v>
      </c>
    </row>
    <row r="559" spans="2:14">
      <c r="B559">
        <v>514</v>
      </c>
      <c r="C559">
        <v>10.365626216066168</v>
      </c>
      <c r="D559" s="10">
        <v>0.36013977831340804</v>
      </c>
      <c r="E559">
        <v>21.380010759349837</v>
      </c>
      <c r="F559">
        <v>0</v>
      </c>
      <c r="G559">
        <v>-9.9738534588508116</v>
      </c>
      <c r="H559">
        <v>29.65421449332614</v>
      </c>
      <c r="I559">
        <v>1169.7451814018596</v>
      </c>
      <c r="J559">
        <v>769.74518140185955</v>
      </c>
      <c r="K559">
        <v>2.1802102363481675</v>
      </c>
      <c r="L559">
        <v>0.89804566283161691</v>
      </c>
      <c r="M559">
        <v>75555.356902095868</v>
      </c>
      <c r="N559">
        <v>293.14665632088793</v>
      </c>
    </row>
    <row r="560" spans="2:14">
      <c r="B560">
        <v>515</v>
      </c>
      <c r="C560">
        <v>10.385753645611928</v>
      </c>
      <c r="D560" s="10">
        <v>0.35523269517361722</v>
      </c>
      <c r="E560">
        <v>21.38000679480157</v>
      </c>
      <c r="F560">
        <v>0</v>
      </c>
      <c r="G560">
        <v>-9.9715844716323332</v>
      </c>
      <c r="H560">
        <v>29.45351212941377</v>
      </c>
      <c r="I560">
        <v>1170.3359850807749</v>
      </c>
      <c r="J560">
        <v>770.33598508077489</v>
      </c>
      <c r="K560">
        <v>2.1802102363481675</v>
      </c>
      <c r="L560">
        <v>0.89792265494642098</v>
      </c>
      <c r="M560">
        <v>75544.018228272398</v>
      </c>
      <c r="N560">
        <v>293.14281609697497</v>
      </c>
    </row>
    <row r="561" spans="2:14">
      <c r="B561">
        <v>516</v>
      </c>
      <c r="C561">
        <v>10.405881075157687</v>
      </c>
      <c r="D561" s="10">
        <v>0.35036134784856676</v>
      </c>
      <c r="E561">
        <v>21.380002857352821</v>
      </c>
      <c r="F561">
        <v>0</v>
      </c>
      <c r="G561">
        <v>-9.9693319146971433</v>
      </c>
      <c r="H561">
        <v>29.25285510368241</v>
      </c>
      <c r="I561">
        <v>1170.9227505058125</v>
      </c>
      <c r="J561">
        <v>770.92275050581247</v>
      </c>
      <c r="K561">
        <v>2.1802102363481675</v>
      </c>
      <c r="L561">
        <v>0.89780050297377578</v>
      </c>
      <c r="M561">
        <v>75532.758597731838</v>
      </c>
      <c r="N561">
        <v>293.13900212171222</v>
      </c>
    </row>
    <row r="562" spans="2:14">
      <c r="B562">
        <v>517</v>
      </c>
      <c r="C562">
        <v>10.426008504703447</v>
      </c>
      <c r="D562" s="10">
        <v>0.34552567824588615</v>
      </c>
      <c r="E562">
        <v>21.379998946997521</v>
      </c>
      <c r="F562">
        <v>0</v>
      </c>
      <c r="G562">
        <v>-9.9670957611865685</v>
      </c>
      <c r="H562">
        <v>29.052243085973288</v>
      </c>
      <c r="I562">
        <v>1171.5054785795455</v>
      </c>
      <c r="J562">
        <v>771.50547857954552</v>
      </c>
      <c r="K562">
        <v>2.1802102363481675</v>
      </c>
      <c r="L562">
        <v>0.89767920641283894</v>
      </c>
      <c r="M562">
        <v>75521.577961255622</v>
      </c>
      <c r="N562">
        <v>293.13521438923294</v>
      </c>
    </row>
    <row r="563" spans="2:14">
      <c r="B563">
        <v>518</v>
      </c>
      <c r="C563">
        <v>10.446135934249206</v>
      </c>
      <c r="D563" s="10">
        <v>0.34072562873086137</v>
      </c>
      <c r="E563">
        <v>21.379995063729634</v>
      </c>
      <c r="F563">
        <v>0</v>
      </c>
      <c r="G563">
        <v>-9.9648759844525205</v>
      </c>
      <c r="H563">
        <v>28.851675746663986</v>
      </c>
      <c r="I563">
        <v>1172.084170197918</v>
      </c>
      <c r="J563">
        <v>772.08417019791796</v>
      </c>
      <c r="K563">
        <v>2.1802102363481675</v>
      </c>
      <c r="L563">
        <v>0.89755876476644991</v>
      </c>
      <c r="M563">
        <v>75510.476269987703</v>
      </c>
      <c r="N563">
        <v>293.13145289371352</v>
      </c>
    </row>
    <row r="564" spans="2:14">
      <c r="B564">
        <v>519</v>
      </c>
      <c r="C564">
        <v>10.466263363794965</v>
      </c>
      <c r="D564" s="10">
        <v>0.3359611421250428</v>
      </c>
      <c r="E564">
        <v>21.379991207543156</v>
      </c>
      <c r="F564">
        <v>0</v>
      </c>
      <c r="G564">
        <v>-9.9626725580568358</v>
      </c>
      <c r="H564">
        <v>28.651152756664224</v>
      </c>
      <c r="I564">
        <v>1172.6588262502557</v>
      </c>
      <c r="J564">
        <v>772.65882625025574</v>
      </c>
      <c r="K564">
        <v>2.1802102363481675</v>
      </c>
      <c r="L564">
        <v>0.89743917754112523</v>
      </c>
      <c r="M564">
        <v>75499.453475434057</v>
      </c>
      <c r="N564">
        <v>293.12771762937336</v>
      </c>
    </row>
    <row r="565" spans="2:14">
      <c r="B565">
        <v>520</v>
      </c>
      <c r="C565">
        <v>10.486390793340725</v>
      </c>
      <c r="D565" s="10">
        <v>0.3312321617048628</v>
      </c>
      <c r="E565">
        <v>21.379987378432158</v>
      </c>
      <c r="F565">
        <v>0</v>
      </c>
      <c r="G565">
        <v>-9.9604854557706428</v>
      </c>
      <c r="H565">
        <v>28.450673787411635</v>
      </c>
      <c r="I565">
        <v>1173.2294476192767</v>
      </c>
      <c r="J565">
        <v>773.2294476192767</v>
      </c>
      <c r="K565">
        <v>2.1802102363481675</v>
      </c>
      <c r="L565">
        <v>0.89732044424705182</v>
      </c>
      <c r="M565">
        <v>75488.509529461968</v>
      </c>
      <c r="N565">
        <v>293.12400859047472</v>
      </c>
    </row>
    <row r="566" spans="2:14">
      <c r="B566">
        <v>521</v>
      </c>
      <c r="C566">
        <v>10.506518222886484</v>
      </c>
      <c r="D566" s="10">
        <v>0.32653863120026722</v>
      </c>
      <c r="E566">
        <v>21.379983576390728</v>
      </c>
      <c r="F566">
        <v>0</v>
      </c>
      <c r="G566">
        <v>-9.9583146515737493</v>
      </c>
      <c r="H566">
        <v>28.250238510867579</v>
      </c>
      <c r="I566">
        <v>1173.7960351811016</v>
      </c>
      <c r="J566">
        <v>773.79603518110162</v>
      </c>
      <c r="K566">
        <v>2.1802102363481675</v>
      </c>
      <c r="L566">
        <v>0.89720256439807933</v>
      </c>
      <c r="M566">
        <v>75477.644384299376</v>
      </c>
      <c r="N566">
        <v>293.12032577132283</v>
      </c>
    </row>
    <row r="567" spans="2:14">
      <c r="B567">
        <v>522</v>
      </c>
      <c r="C567">
        <v>10.526645652432244</v>
      </c>
      <c r="D567" s="10">
        <v>0.32188049479335934</v>
      </c>
      <c r="E567">
        <v>21.379979801413015</v>
      </c>
      <c r="F567">
        <v>0</v>
      </c>
      <c r="G567">
        <v>-9.9561601196539762</v>
      </c>
      <c r="H567">
        <v>28.049846599512939</v>
      </c>
      <c r="I567">
        <v>1174.358589805264</v>
      </c>
      <c r="J567">
        <v>774.35858980526405</v>
      </c>
      <c r="K567">
        <v>2.1802102363481675</v>
      </c>
      <c r="L567">
        <v>0.89708553751171982</v>
      </c>
      <c r="M567">
        <v>75466.857992534715</v>
      </c>
      <c r="N567">
        <v>293.11666916626581</v>
      </c>
    </row>
    <row r="568" spans="2:14">
      <c r="B568">
        <v>523</v>
      </c>
      <c r="C568">
        <v>10.546773081978003</v>
      </c>
      <c r="D568" s="10">
        <v>0.31725769711705354</v>
      </c>
      <c r="E568">
        <v>21.379976053493206</v>
      </c>
      <c r="F568">
        <v>0</v>
      </c>
      <c r="G568">
        <v>-9.9540218344065732</v>
      </c>
      <c r="H568">
        <v>27.849497726343966</v>
      </c>
      <c r="I568">
        <v>1174.9171123547212</v>
      </c>
      <c r="J568">
        <v>774.91711235472121</v>
      </c>
      <c r="K568">
        <v>2.1802102363481675</v>
      </c>
      <c r="L568">
        <v>0.89696936310913666</v>
      </c>
      <c r="M568">
        <v>75456.150307115837</v>
      </c>
      <c r="N568">
        <v>293.1130387696943</v>
      </c>
    </row>
    <row r="569" spans="2:14">
      <c r="B569">
        <v>524</v>
      </c>
      <c r="C569">
        <v>10.566900511523762</v>
      </c>
      <c r="D569" s="10">
        <v>0.31267018325374263</v>
      </c>
      <c r="E569">
        <v>21.379972332625528</v>
      </c>
      <c r="F569">
        <v>0</v>
      </c>
      <c r="G569">
        <v>-9.9518997704335757</v>
      </c>
      <c r="H569">
        <v>27.649191564868101</v>
      </c>
      <c r="I569">
        <v>1175.471603685864</v>
      </c>
      <c r="J569">
        <v>775.47160368586401</v>
      </c>
      <c r="K569">
        <v>2.1802102363481675</v>
      </c>
      <c r="L569">
        <v>0.89685404071514041</v>
      </c>
      <c r="M569">
        <v>75445.521281349691</v>
      </c>
      <c r="N569">
        <v>293.10943457604191</v>
      </c>
    </row>
    <row r="570" spans="2:14">
      <c r="B570">
        <v>525</v>
      </c>
      <c r="C570">
        <v>10.587027941069522</v>
      </c>
      <c r="D570" s="10">
        <v>0.30811789873397699</v>
      </c>
      <c r="E570">
        <v>21.379968638804268</v>
      </c>
      <c r="F570">
        <v>0</v>
      </c>
      <c r="G570">
        <v>-9.9497939025432025</v>
      </c>
      <c r="H570">
        <v>27.448927789099834</v>
      </c>
      <c r="I570">
        <v>1176.022064648527</v>
      </c>
      <c r="J570">
        <v>776.02206464852702</v>
      </c>
      <c r="K570">
        <v>2.1802102363481675</v>
      </c>
      <c r="L570">
        <v>0.89673956985818482</v>
      </c>
      <c r="M570">
        <v>75434.970868901728</v>
      </c>
      <c r="N570">
        <v>293.10585657978459</v>
      </c>
    </row>
    <row r="571" spans="2:14">
      <c r="B571">
        <v>526</v>
      </c>
      <c r="C571">
        <v>10.607155370615281</v>
      </c>
      <c r="D571" s="10">
        <v>0.30360078953515485</v>
      </c>
      <c r="E571">
        <v>21.379964972023732</v>
      </c>
      <c r="F571">
        <v>0</v>
      </c>
      <c r="G571">
        <v>-9.9477042057492557</v>
      </c>
      <c r="H571">
        <v>27.248706073556558</v>
      </c>
      <c r="I571">
        <v>1176.5684960859992</v>
      </c>
      <c r="J571">
        <v>776.56849608599919</v>
      </c>
      <c r="K571">
        <v>2.1802102363481675</v>
      </c>
      <c r="L571">
        <v>0.89662595007036061</v>
      </c>
      <c r="M571">
        <v>75424.499023795448</v>
      </c>
      <c r="N571">
        <v>293.10230477544098</v>
      </c>
    </row>
    <row r="572" spans="2:14">
      <c r="B572">
        <v>527</v>
      </c>
      <c r="C572">
        <v>10.627282800161041</v>
      </c>
      <c r="D572" s="10">
        <v>0.2991188020802244</v>
      </c>
      <c r="E572">
        <v>21.379961332278295</v>
      </c>
      <c r="F572">
        <v>0</v>
      </c>
      <c r="G572">
        <v>-9.9456306552705041</v>
      </c>
      <c r="H572">
        <v>27.048526093254452</v>
      </c>
      <c r="I572">
        <v>1177.1108988350329</v>
      </c>
      <c r="J572">
        <v>777.11089883503291</v>
      </c>
      <c r="K572">
        <v>2.1802102363481675</v>
      </c>
      <c r="L572">
        <v>0.89651318088738885</v>
      </c>
      <c r="M572">
        <v>75414.105700411674</v>
      </c>
      <c r="N572">
        <v>293.09877915757227</v>
      </c>
    </row>
    <row r="573" spans="2:14">
      <c r="B573">
        <v>528</v>
      </c>
      <c r="C573">
        <v>10.6474102297068</v>
      </c>
      <c r="D573" s="10">
        <v>0.29467188323639776</v>
      </c>
      <c r="E573">
        <v>21.379957719562363</v>
      </c>
      <c r="F573">
        <v>0</v>
      </c>
      <c r="G573">
        <v>-9.9435732265301091</v>
      </c>
      <c r="H573">
        <v>26.848387523704364</v>
      </c>
      <c r="I573">
        <v>1177.6492737258545</v>
      </c>
      <c r="J573">
        <v>777.64927372585453</v>
      </c>
      <c r="K573">
        <v>2.1802102363481675</v>
      </c>
      <c r="L573">
        <v>0.89640126184861568</v>
      </c>
      <c r="M573">
        <v>75403.790853488012</v>
      </c>
      <c r="N573">
        <v>293.09527972078195</v>
      </c>
    </row>
    <row r="574" spans="2:14">
      <c r="B574">
        <v>529</v>
      </c>
      <c r="C574">
        <v>10.667537659252559</v>
      </c>
      <c r="D574" s="10">
        <v>0.29025998031387695</v>
      </c>
      <c r="E574">
        <v>21.379954133870381</v>
      </c>
      <c r="F574">
        <v>0</v>
      </c>
      <c r="G574">
        <v>-9.9415318951550145</v>
      </c>
      <c r="H574">
        <v>26.648290040907707</v>
      </c>
      <c r="I574">
        <v>1178.1836215821743</v>
      </c>
      <c r="J574">
        <v>778.18362158217428</v>
      </c>
      <c r="K574">
        <v>2.1802102363481675</v>
      </c>
      <c r="L574">
        <v>0.8962901924970087</v>
      </c>
      <c r="M574">
        <v>75393.554438118459</v>
      </c>
      <c r="N574">
        <v>293.09180645971588</v>
      </c>
    </row>
    <row r="575" spans="2:14">
      <c r="B575">
        <v>530</v>
      </c>
      <c r="C575">
        <v>10.687665088798319</v>
      </c>
      <c r="D575" s="10">
        <v>0.28588304106459089</v>
      </c>
      <c r="E575">
        <v>21.379950575196858</v>
      </c>
      <c r="F575">
        <v>0</v>
      </c>
      <c r="G575">
        <v>-9.9395066369753735</v>
      </c>
      <c r="H575">
        <v>26.448233321352372</v>
      </c>
      <c r="I575">
        <v>1178.7139432211957</v>
      </c>
      <c r="J575">
        <v>778.71394322119568</v>
      </c>
      <c r="K575">
        <v>2.1802102363481675</v>
      </c>
      <c r="L575">
        <v>0.89617997237915037</v>
      </c>
      <c r="M575">
        <v>75383.396409752793</v>
      </c>
      <c r="N575">
        <v>293.08835936906223</v>
      </c>
    </row>
    <row r="576" spans="2:14">
      <c r="B576">
        <v>531</v>
      </c>
      <c r="C576">
        <v>10.707792518344078</v>
      </c>
      <c r="D576" s="10">
        <v>0.28154101368094409</v>
      </c>
      <c r="E576">
        <v>21.379947043536319</v>
      </c>
      <c r="F576">
        <v>0</v>
      </c>
      <c r="G576">
        <v>-9.9374974280239723</v>
      </c>
      <c r="H576">
        <v>26.248217042008651</v>
      </c>
      <c r="I576">
        <v>1179.2402394536252</v>
      </c>
      <c r="J576">
        <v>779.24023945362524</v>
      </c>
      <c r="K576">
        <v>2.1802102363481675</v>
      </c>
      <c r="L576">
        <v>0.89607060104523328</v>
      </c>
      <c r="M576">
        <v>75373.316724196062</v>
      </c>
      <c r="N576">
        <v>293.08493844355144</v>
      </c>
    </row>
    <row r="577" spans="2:14">
      <c r="B577">
        <v>532</v>
      </c>
      <c r="C577">
        <v>10.727919947889838</v>
      </c>
      <c r="D577" s="10">
        <v>0.27723384679457541</v>
      </c>
      <c r="E577">
        <v>21.37994353888336</v>
      </c>
      <c r="F577">
        <v>0</v>
      </c>
      <c r="G577">
        <v>-9.9355042445356379</v>
      </c>
      <c r="H577">
        <v>26.048240880325164</v>
      </c>
      <c r="I577">
        <v>1179.7625110836825</v>
      </c>
      <c r="J577">
        <v>779.76251108368251</v>
      </c>
      <c r="K577">
        <v>2.1802102363481675</v>
      </c>
      <c r="L577">
        <v>0.89596207804905048</v>
      </c>
      <c r="M577">
        <v>75363.315337607695</v>
      </c>
      <c r="N577">
        <v>293.08154367795606</v>
      </c>
    </row>
    <row r="578" spans="2:14">
      <c r="B578">
        <v>533</v>
      </c>
      <c r="C578">
        <v>10.748047377435597</v>
      </c>
      <c r="D578" s="10">
        <v>0.27296148947513238</v>
      </c>
      <c r="E578">
        <v>21.379940061232602</v>
      </c>
      <c r="F578">
        <v>0</v>
      </c>
      <c r="G578">
        <v>-9.9335270629466965</v>
      </c>
      <c r="H578">
        <v>25.848304514224807</v>
      </c>
      <c r="I578">
        <v>1180.2807589091087</v>
      </c>
      <c r="J578">
        <v>780.28075890910873</v>
      </c>
      <c r="K578">
        <v>2.1802102363481675</v>
      </c>
      <c r="L578">
        <v>0.89585440294799801</v>
      </c>
      <c r="M578">
        <v>75353.392206501609</v>
      </c>
      <c r="N578">
        <v>293.0781750670908</v>
      </c>
    </row>
    <row r="579" spans="2:14">
      <c r="B579">
        <v>534</v>
      </c>
      <c r="C579">
        <v>10.768174806981357</v>
      </c>
      <c r="D579" s="10">
        <v>0.26872389122905249</v>
      </c>
      <c r="E579">
        <v>21.379936610578714</v>
      </c>
      <c r="F579">
        <v>0</v>
      </c>
      <c r="G579">
        <v>-9.9315658598943877</v>
      </c>
      <c r="H579">
        <v>25.648407622100709</v>
      </c>
      <c r="I579">
        <v>1180.7949837211772</v>
      </c>
      <c r="J579">
        <v>780.79498372117723</v>
      </c>
      <c r="K579">
        <v>2.1802102363481675</v>
      </c>
      <c r="L579">
        <v>0.89574757530306681</v>
      </c>
      <c r="M579">
        <v>75343.547287745459</v>
      </c>
      <c r="N579">
        <v>293.07483260581233</v>
      </c>
    </row>
    <row r="580" spans="2:14">
      <c r="B580">
        <v>535</v>
      </c>
      <c r="C580">
        <v>10.788302236527116</v>
      </c>
      <c r="D580" s="10">
        <v>0.26452100199835665</v>
      </c>
      <c r="E580">
        <v>21.379933186916414</v>
      </c>
      <c r="F580">
        <v>0</v>
      </c>
      <c r="G580">
        <v>-9.9296206122163149</v>
      </c>
      <c r="H580">
        <v>25.448549882812202</v>
      </c>
      <c r="I580">
        <v>1181.3051863047019</v>
      </c>
      <c r="J580">
        <v>781.30518630470192</v>
      </c>
      <c r="K580">
        <v>2.1802102363481675</v>
      </c>
      <c r="L580">
        <v>0.89564159467883231</v>
      </c>
      <c r="M580">
        <v>75333.780538559688</v>
      </c>
      <c r="N580">
        <v>293.07151628901943</v>
      </c>
    </row>
    <row r="581" spans="2:14">
      <c r="B581">
        <v>536</v>
      </c>
      <c r="C581">
        <v>10.808429666072875</v>
      </c>
      <c r="D581" s="10">
        <v>0.26035277215945635</v>
      </c>
      <c r="E581">
        <v>21.379929790240457</v>
      </c>
      <c r="F581">
        <v>0</v>
      </c>
      <c r="G581">
        <v>-9.9276912969498934</v>
      </c>
      <c r="H581">
        <v>25.24873097568079</v>
      </c>
      <c r="I581">
        <v>1181.8113674380472</v>
      </c>
      <c r="J581">
        <v>781.81136743804723</v>
      </c>
      <c r="K581">
        <v>2.1802102363481675</v>
      </c>
      <c r="L581">
        <v>0.89553646064345671</v>
      </c>
      <c r="M581">
        <v>75324.091916517602</v>
      </c>
      <c r="N581">
        <v>293.06822611165268</v>
      </c>
    </row>
    <row r="582" spans="2:14">
      <c r="B582">
        <v>537</v>
      </c>
      <c r="C582">
        <v>10.828557095618635</v>
      </c>
      <c r="D582" s="10">
        <v>0.25621915252196942</v>
      </c>
      <c r="E582">
        <v>21.37992642054564</v>
      </c>
      <c r="F582">
        <v>0</v>
      </c>
      <c r="G582">
        <v>-9.9257778913317978</v>
      </c>
      <c r="H582">
        <v>25.048950580486149</v>
      </c>
      <c r="I582">
        <v>1182.3135278931368</v>
      </c>
      <c r="J582">
        <v>782.31352789313678</v>
      </c>
      <c r="K582">
        <v>2.1802102363481675</v>
      </c>
      <c r="L582">
        <v>0.89543217276868003</v>
      </c>
      <c r="M582">
        <v>75314.481379544566</v>
      </c>
      <c r="N582">
        <v>293.06496206869463</v>
      </c>
    </row>
    <row r="583" spans="2:14">
      <c r="B583">
        <v>538</v>
      </c>
      <c r="C583">
        <v>10.848684525164394</v>
      </c>
      <c r="D583" s="10">
        <v>0.25212009432754812</v>
      </c>
      <c r="E583">
        <v>21.379923077826813</v>
      </c>
      <c r="F583">
        <v>0</v>
      </c>
      <c r="G583">
        <v>-9.9238803727974236</v>
      </c>
      <c r="H583">
        <v>24.849208377462123</v>
      </c>
      <c r="I583">
        <v>1182.8116684354627</v>
      </c>
      <c r="J583">
        <v>782.81166843546271</v>
      </c>
      <c r="K583">
        <v>2.1802102363481675</v>
      </c>
      <c r="L583">
        <v>0.89532873062981599</v>
      </c>
      <c r="M583">
        <v>75304.948885917518</v>
      </c>
      <c r="N583">
        <v>293.06172415516949</v>
      </c>
    </row>
    <row r="584" spans="2:14">
      <c r="B584">
        <v>539</v>
      </c>
      <c r="C584">
        <v>10.868811954710154</v>
      </c>
      <c r="D584" s="10">
        <v>0.24805554924871795</v>
      </c>
      <c r="E584">
        <v>21.379919762078863</v>
      </c>
      <c r="F584">
        <v>0</v>
      </c>
      <c r="G584">
        <v>-9.9219987189803494</v>
      </c>
      <c r="H584">
        <v>24.649504047292726</v>
      </c>
      <c r="I584">
        <v>1183.3057898240947</v>
      </c>
      <c r="J584">
        <v>783.30578982409475</v>
      </c>
      <c r="K584">
        <v>2.1802102363481675</v>
      </c>
      <c r="L584">
        <v>0.89522613380574745</v>
      </c>
      <c r="M584">
        <v>75295.49439426462</v>
      </c>
      <c r="N584">
        <v>293.05851236614336</v>
      </c>
    </row>
    <row r="585" spans="2:14">
      <c r="B585">
        <v>540</v>
      </c>
      <c r="C585">
        <v>10.888939384255913</v>
      </c>
      <c r="D585" s="10">
        <v>0.24402546938772804</v>
      </c>
      <c r="E585">
        <v>21.379916473296721</v>
      </c>
      <c r="F585">
        <v>0</v>
      </c>
      <c r="G585">
        <v>-9.9201329077118015</v>
      </c>
      <c r="H585">
        <v>24.449837271108184</v>
      </c>
      <c r="I585">
        <v>1183.7958928116891</v>
      </c>
      <c r="J585">
        <v>783.7958928116891</v>
      </c>
      <c r="K585">
        <v>2.1802102363481675</v>
      </c>
      <c r="L585">
        <v>0.89512438187892074</v>
      </c>
      <c r="M585">
        <v>75286.117863564592</v>
      </c>
      <c r="N585">
        <v>293.05532669672402</v>
      </c>
    </row>
    <row r="586" spans="2:14">
      <c r="B586">
        <v>541</v>
      </c>
      <c r="C586">
        <v>10.909066813801672</v>
      </c>
      <c r="D586" s="10">
        <v>0.24002980727541171</v>
      </c>
      <c r="E586">
        <v>21.379913211475355</v>
      </c>
      <c r="F586">
        <v>0</v>
      </c>
      <c r="G586">
        <v>-9.9182829170201288</v>
      </c>
      <c r="H586">
        <v>24.250207730480948</v>
      </c>
      <c r="I586">
        <v>1184.2819781444973</v>
      </c>
      <c r="J586">
        <v>784.28197814449732</v>
      </c>
      <c r="K586">
        <v>2.1802102363481675</v>
      </c>
      <c r="L586">
        <v>0.89502347443534058</v>
      </c>
      <c r="M586">
        <v>75276.819253146212</v>
      </c>
      <c r="N586">
        <v>293.0521671420608</v>
      </c>
    </row>
    <row r="587" spans="2:14">
      <c r="B587">
        <v>542</v>
      </c>
      <c r="C587">
        <v>10.929194243347432</v>
      </c>
      <c r="D587" s="10">
        <v>0.23606851587005878</v>
      </c>
      <c r="E587">
        <v>21.379909976609781</v>
      </c>
      <c r="F587">
        <v>0</v>
      </c>
      <c r="G587">
        <v>-9.9164487251302784</v>
      </c>
      <c r="H587">
        <v>24.050615107421748</v>
      </c>
      <c r="I587">
        <v>1184.7640465623749</v>
      </c>
      <c r="J587">
        <v>784.76404656237492</v>
      </c>
      <c r="K587">
        <v>2.1802102363481675</v>
      </c>
      <c r="L587">
        <v>0.89492341106456652</v>
      </c>
      <c r="M587">
        <v>75267.598522687971</v>
      </c>
      <c r="N587">
        <v>293.04903369734456</v>
      </c>
    </row>
    <row r="588" spans="2:14">
      <c r="B588">
        <v>543</v>
      </c>
      <c r="C588">
        <v>10.949321672893191</v>
      </c>
      <c r="D588" s="10">
        <v>0.2321415485562984</v>
      </c>
      <c r="E588">
        <v>21.379906768695069</v>
      </c>
      <c r="F588">
        <v>0</v>
      </c>
      <c r="G588">
        <v>-9.9146303104632736</v>
      </c>
      <c r="H588">
        <v>23.851059084375645</v>
      </c>
      <c r="I588">
        <v>1185.2420987987903</v>
      </c>
      <c r="J588">
        <v>785.24209879879027</v>
      </c>
      <c r="K588">
        <v>2.1802102363481675</v>
      </c>
      <c r="L588">
        <v>0.89482419135970648</v>
      </c>
      <c r="M588">
        <v>75258.45563221749</v>
      </c>
      <c r="N588">
        <v>293.04592635780784</v>
      </c>
    </row>
    <row r="589" spans="2:14">
      <c r="B589">
        <v>544</v>
      </c>
      <c r="C589">
        <v>10.969449102438951</v>
      </c>
      <c r="D589" s="10">
        <v>0.22824885914399345</v>
      </c>
      <c r="E589">
        <v>21.379903587726314</v>
      </c>
      <c r="F589">
        <v>0</v>
      </c>
      <c r="G589">
        <v>-9.9128276516357214</v>
      </c>
      <c r="H589">
        <v>23.65153934421809</v>
      </c>
      <c r="I589">
        <v>1185.7161355808332</v>
      </c>
      <c r="J589">
        <v>785.71613558083322</v>
      </c>
      <c r="K589">
        <v>2.1802102363481675</v>
      </c>
      <c r="L589">
        <v>0.89472581491741554</v>
      </c>
      <c r="M589">
        <v>75249.390542111258</v>
      </c>
      <c r="N589">
        <v>293.04284511872459</v>
      </c>
    </row>
    <row r="590" spans="2:14">
      <c r="B590">
        <v>545</v>
      </c>
      <c r="C590">
        <v>10.98957653198471</v>
      </c>
      <c r="D590" s="10">
        <v>0.22439040186714368</v>
      </c>
      <c r="E590">
        <v>21.379900433698666</v>
      </c>
      <c r="F590">
        <v>0</v>
      </c>
      <c r="G590">
        <v>-9.9110407274592784</v>
      </c>
      <c r="H590">
        <v>23.452055570250998</v>
      </c>
      <c r="I590">
        <v>1186.1861576292238</v>
      </c>
      <c r="J590">
        <v>786.18615762922377</v>
      </c>
      <c r="K590">
        <v>2.1802102363481675</v>
      </c>
      <c r="L590">
        <v>0.89462828133788541</v>
      </c>
      <c r="M590">
        <v>75240.403213093683</v>
      </c>
      <c r="N590">
        <v>293.03978997541003</v>
      </c>
    </row>
    <row r="591" spans="2:14">
      <c r="B591">
        <v>546</v>
      </c>
      <c r="C591">
        <v>11.009703961530469</v>
      </c>
      <c r="D591" s="10">
        <v>0.22056613138280282</v>
      </c>
      <c r="E591">
        <v>21.379897306607312</v>
      </c>
      <c r="F591">
        <v>0</v>
      </c>
      <c r="G591">
        <v>-9.9092695169401654</v>
      </c>
      <c r="H591">
        <v>23.252607446198841</v>
      </c>
      <c r="I591">
        <v>1186.65216565832</v>
      </c>
      <c r="J591">
        <v>786.65216565831997</v>
      </c>
      <c r="K591">
        <v>2.1802102363481675</v>
      </c>
      <c r="L591">
        <v>0.89453159022484563</v>
      </c>
      <c r="M591">
        <v>75231.493606237185</v>
      </c>
      <c r="N591">
        <v>293.03676092322092</v>
      </c>
    </row>
    <row r="592" spans="2:14">
      <c r="B592">
        <v>547</v>
      </c>
      <c r="C592">
        <v>11.029831391076229</v>
      </c>
      <c r="D592" s="10">
        <v>0.21677600277000356</v>
      </c>
      <c r="E592">
        <v>21.379894206447482</v>
      </c>
      <c r="F592">
        <v>0</v>
      </c>
      <c r="G592">
        <v>-9.9075139992786649</v>
      </c>
      <c r="H592">
        <v>23.053194656204731</v>
      </c>
      <c r="I592">
        <v>1187.1141603761268</v>
      </c>
      <c r="J592">
        <v>787.11416037612685</v>
      </c>
      <c r="K592">
        <v>2.1802102363481675</v>
      </c>
      <c r="L592">
        <v>0.89443574118555513</v>
      </c>
      <c r="M592">
        <v>75222.661682961319</v>
      </c>
      <c r="N592">
        <v>293.03375795755517</v>
      </c>
    </row>
    <row r="593" spans="2:14">
      <c r="B593">
        <v>548</v>
      </c>
      <c r="C593">
        <v>11.049958820621988</v>
      </c>
      <c r="D593" s="10">
        <v>0.21301997152869476</v>
      </c>
      <c r="E593">
        <v>21.379891133214446</v>
      </c>
      <c r="F593">
        <v>0</v>
      </c>
      <c r="G593">
        <v>-9.9057741538686255</v>
      </c>
      <c r="H593">
        <v>22.853816884826532</v>
      </c>
      <c r="I593">
        <v>1187.5721424843048</v>
      </c>
      <c r="J593">
        <v>787.57214248430478</v>
      </c>
      <c r="K593">
        <v>2.1802102363481675</v>
      </c>
      <c r="L593">
        <v>0.89434073383079871</v>
      </c>
      <c r="M593">
        <v>75213.907405032471</v>
      </c>
      <c r="N593">
        <v>293.03078107385204</v>
      </c>
    </row>
    <row r="594" spans="2:14">
      <c r="B594">
        <v>549</v>
      </c>
      <c r="C594">
        <v>11.070086250167748</v>
      </c>
      <c r="D594" s="10">
        <v>0.20929799357868883</v>
      </c>
      <c r="E594">
        <v>21.379888086903531</v>
      </c>
      <c r="F594">
        <v>0</v>
      </c>
      <c r="G594">
        <v>-9.904049960296982</v>
      </c>
      <c r="H594">
        <v>22.654473817032969</v>
      </c>
      <c r="I594">
        <v>1188.0261126781772</v>
      </c>
      <c r="J594">
        <v>788.02611267817724</v>
      </c>
      <c r="K594">
        <v>2.1802102363481675</v>
      </c>
      <c r="L594">
        <v>0.89424656777488265</v>
      </c>
      <c r="M594">
        <v>75205.230734563374</v>
      </c>
      <c r="N594">
        <v>293.02783026759187</v>
      </c>
    </row>
    <row r="595" spans="2:14">
      <c r="B595">
        <v>550</v>
      </c>
      <c r="C595">
        <v>11.090213679713507</v>
      </c>
      <c r="D595" s="10">
        <v>0.2056100252586206</v>
      </c>
      <c r="E595">
        <v>21.379885067510088</v>
      </c>
      <c r="F595">
        <v>0</v>
      </c>
      <c r="G595">
        <v>-9.9023413983432675</v>
      </c>
      <c r="H595">
        <v>22.455165138199757</v>
      </c>
      <c r="I595">
        <v>1188.4760716467392</v>
      </c>
      <c r="J595">
        <v>788.47607164673923</v>
      </c>
      <c r="K595">
        <v>2.1802102363481675</v>
      </c>
      <c r="L595">
        <v>0.89415324263563323</v>
      </c>
      <c r="M595">
        <v>75196.631634012927</v>
      </c>
      <c r="N595">
        <v>293.02490553429618</v>
      </c>
    </row>
    <row r="596" spans="2:14">
      <c r="B596">
        <v>551</v>
      </c>
      <c r="C596">
        <v>11.110341109259267</v>
      </c>
      <c r="D596" s="10">
        <v>0.20195602332491397</v>
      </c>
      <c r="E596">
        <v>21.379882075029521</v>
      </c>
      <c r="F596">
        <v>0</v>
      </c>
      <c r="G596">
        <v>-9.900648447979135</v>
      </c>
      <c r="H596">
        <v>22.25589053410572</v>
      </c>
      <c r="I596">
        <v>1188.9220200726654</v>
      </c>
      <c r="J596">
        <v>788.92202007266542</v>
      </c>
      <c r="K596">
        <v>2.1802102363481675</v>
      </c>
      <c r="L596">
        <v>0.89406075803438456</v>
      </c>
      <c r="M596">
        <v>75188.110066185123</v>
      </c>
      <c r="N596">
        <v>293.02200686952767</v>
      </c>
    </row>
    <row r="597" spans="2:14">
      <c r="B597">
        <v>552</v>
      </c>
      <c r="C597">
        <v>11.130468538805026</v>
      </c>
      <c r="D597" s="10">
        <v>0.19833594495076337</v>
      </c>
      <c r="E597">
        <v>21.379879109457274</v>
      </c>
      <c r="F597">
        <v>0</v>
      </c>
      <c r="G597">
        <v>-9.8989710893678851</v>
      </c>
      <c r="H597">
        <v>22.056649690928957</v>
      </c>
      <c r="I597">
        <v>1189.3639586323181</v>
      </c>
      <c r="J597">
        <v>789.36395863231814</v>
      </c>
      <c r="K597">
        <v>2.1802102363481675</v>
      </c>
      <c r="L597">
        <v>0.8939691135959833</v>
      </c>
      <c r="M597">
        <v>75179.665994229304</v>
      </c>
      <c r="N597">
        <v>293.01913426888996</v>
      </c>
    </row>
    <row r="598" spans="2:14">
      <c r="B598">
        <v>553</v>
      </c>
      <c r="C598">
        <v>11.150595968350785</v>
      </c>
      <c r="D598" s="10">
        <v>0.19474974772512205</v>
      </c>
      <c r="E598">
        <v>21.379876170788833</v>
      </c>
      <c r="F598">
        <v>0</v>
      </c>
      <c r="G598">
        <v>-9.8973093028640005</v>
      </c>
      <c r="H598">
        <v>21.857442295242969</v>
      </c>
      <c r="I598">
        <v>1189.8018879957554</v>
      </c>
      <c r="J598">
        <v>789.80188799575535</v>
      </c>
      <c r="K598">
        <v>2.1802102363481675</v>
      </c>
      <c r="L598">
        <v>0.89387830894877895</v>
      </c>
      <c r="M598">
        <v>75171.299381639328</v>
      </c>
      <c r="N598">
        <v>293.01628772802758</v>
      </c>
    </row>
    <row r="599" spans="2:14">
      <c r="B599">
        <v>554</v>
      </c>
      <c r="C599">
        <v>11.170723397896545</v>
      </c>
      <c r="D599" s="10">
        <v>0.19119738965170191</v>
      </c>
      <c r="E599">
        <v>21.379873259019732</v>
      </c>
      <c r="F599">
        <v>0</v>
      </c>
      <c r="G599">
        <v>-9.8956630690126737</v>
      </c>
      <c r="H599">
        <v>21.658268034012838</v>
      </c>
      <c r="I599">
        <v>1190.2358088267381</v>
      </c>
      <c r="J599">
        <v>790.23580882673809</v>
      </c>
      <c r="K599">
        <v>2.1802102363481675</v>
      </c>
      <c r="L599">
        <v>0.89378834372461891</v>
      </c>
      <c r="M599">
        <v>75163.010192253088</v>
      </c>
      <c r="N599">
        <v>293.01346724262618</v>
      </c>
    </row>
    <row r="600" spans="2:14">
      <c r="B600">
        <v>555</v>
      </c>
      <c r="C600">
        <v>11.190850827442304</v>
      </c>
      <c r="D600" s="10">
        <v>0.18767882914798492</v>
      </c>
      <c r="E600">
        <v>21.37987037414554</v>
      </c>
      <c r="F600">
        <v>0</v>
      </c>
      <c r="G600">
        <v>-9.8940323685493663</v>
      </c>
      <c r="H600">
        <v>21.459126594591396</v>
      </c>
      <c r="I600">
        <v>1190.6657217827385</v>
      </c>
      <c r="J600">
        <v>790.6657217827385</v>
      </c>
      <c r="K600">
        <v>2.1802102363481675</v>
      </c>
      <c r="L600">
        <v>0.89369921755884785</v>
      </c>
      <c r="M600">
        <v>75154.79839025237</v>
      </c>
      <c r="N600">
        <v>293.01067280841221</v>
      </c>
    </row>
    <row r="601" spans="2:14">
      <c r="B601">
        <v>556</v>
      </c>
      <c r="C601">
        <v>11.210978256988064</v>
      </c>
      <c r="D601" s="10">
        <v>0.18419402504424287</v>
      </c>
      <c r="E601">
        <v>21.379867516161873</v>
      </c>
      <c r="F601">
        <v>0</v>
      </c>
      <c r="G601">
        <v>-9.8924171823993348</v>
      </c>
      <c r="H601">
        <v>21.260017664715392</v>
      </c>
      <c r="I601">
        <v>1191.0916275149477</v>
      </c>
      <c r="J601">
        <v>791.09162751494773</v>
      </c>
      <c r="K601">
        <v>2.1802102363481675</v>
      </c>
      <c r="L601">
        <v>0.89361093009030024</v>
      </c>
      <c r="M601">
        <v>75146.663940162107</v>
      </c>
      <c r="N601">
        <v>293.00790442115283</v>
      </c>
    </row>
    <row r="602" spans="2:14">
      <c r="B602">
        <v>557</v>
      </c>
      <c r="C602">
        <v>11.231105686533823</v>
      </c>
      <c r="D602" s="10">
        <v>0.18074293658256935</v>
      </c>
      <c r="E602">
        <v>21.37986468506438</v>
      </c>
      <c r="F602">
        <v>0</v>
      </c>
      <c r="G602">
        <v>-9.8908174916771898</v>
      </c>
      <c r="H602">
        <v>21.060940932501691</v>
      </c>
      <c r="I602">
        <v>1191.5135266682832</v>
      </c>
      <c r="J602">
        <v>791.51352666828325</v>
      </c>
      <c r="K602">
        <v>2.1802102363481675</v>
      </c>
      <c r="L602">
        <v>0.89352348096129908</v>
      </c>
      <c r="M602">
        <v>75138.606806850308</v>
      </c>
      <c r="N602">
        <v>293.00516207665618</v>
      </c>
    </row>
    <row r="603" spans="2:14">
      <c r="B603">
        <v>558</v>
      </c>
      <c r="C603">
        <v>11.251233116079582</v>
      </c>
      <c r="D603" s="10">
        <v>0.1773255234159207</v>
      </c>
      <c r="E603">
        <v>21.379861880848765</v>
      </c>
      <c r="F603">
        <v>0</v>
      </c>
      <c r="G603">
        <v>-9.889233277686456</v>
      </c>
      <c r="H603">
        <v>20.861896086443473</v>
      </c>
      <c r="I603">
        <v>1191.9314198813963</v>
      </c>
      <c r="J603">
        <v>791.93141988139632</v>
      </c>
      <c r="K603">
        <v>2.1802102363481675</v>
      </c>
      <c r="L603">
        <v>0.89343686981765025</v>
      </c>
      <c r="M603">
        <v>75130.626955527419</v>
      </c>
      <c r="N603">
        <v>293.00244577077092</v>
      </c>
    </row>
    <row r="604" spans="2:14">
      <c r="B604">
        <v>559</v>
      </c>
      <c r="C604">
        <v>11.271360545625342</v>
      </c>
      <c r="D604" s="10">
        <v>0.17394174560716721</v>
      </c>
      <c r="E604">
        <v>21.379859103510768</v>
      </c>
      <c r="F604">
        <v>0</v>
      </c>
      <c r="G604">
        <v>-9.8876645219191239</v>
      </c>
      <c r="H604">
        <v>20.662882815406437</v>
      </c>
      <c r="I604">
        <v>1192.34530778668</v>
      </c>
      <c r="J604">
        <v>792.34530778668</v>
      </c>
      <c r="K604">
        <v>2.1802102363481675</v>
      </c>
      <c r="L604">
        <v>0.89335109630863707</v>
      </c>
      <c r="M604">
        <v>75122.72435174587</v>
      </c>
      <c r="N604">
        <v>292.99975549938659</v>
      </c>
    </row>
    <row r="605" spans="2:14">
      <c r="B605">
        <v>560</v>
      </c>
      <c r="C605">
        <v>11.291487975171101</v>
      </c>
      <c r="D605" s="10">
        <v>0.1705915636281552</v>
      </c>
      <c r="E605">
        <v>21.379856353046172</v>
      </c>
      <c r="F605">
        <v>0</v>
      </c>
      <c r="G605">
        <v>-9.8861112060552276</v>
      </c>
      <c r="H605">
        <v>20.463900808625016</v>
      </c>
      <c r="I605">
        <v>1192.7551910102759</v>
      </c>
      <c r="J605">
        <v>792.75519101027589</v>
      </c>
      <c r="K605">
        <v>2.1802102363481675</v>
      </c>
      <c r="L605">
        <v>0.89326616008701709</v>
      </c>
      <c r="M605">
        <v>75114.898961399667</v>
      </c>
      <c r="N605">
        <v>292.99709125843322</v>
      </c>
    </row>
    <row r="606" spans="2:14">
      <c r="B606">
        <v>561</v>
      </c>
      <c r="C606">
        <v>11.311615404716861</v>
      </c>
      <c r="D606" s="10">
        <v>0.16727493835877935</v>
      </c>
      <c r="E606">
        <v>21.3798536294508</v>
      </c>
      <c r="F606">
        <v>0</v>
      </c>
      <c r="G606">
        <v>-9.8845733119623969</v>
      </c>
      <c r="H606">
        <v>20.264949755698595</v>
      </c>
      <c r="I606">
        <v>1193.1610701720817</v>
      </c>
      <c r="J606">
        <v>793.16107017208174</v>
      </c>
      <c r="K606">
        <v>2.1802102363481675</v>
      </c>
      <c r="L606">
        <v>0.89318206080902141</v>
      </c>
      <c r="M606">
        <v>75107.150750724337</v>
      </c>
      <c r="N606">
        <v>292.99445304388149</v>
      </c>
    </row>
    <row r="607" spans="2:14">
      <c r="B607">
        <v>562</v>
      </c>
      <c r="C607">
        <v>11.33174283426262</v>
      </c>
      <c r="D607" s="10">
        <v>0.16399183108606433</v>
      </c>
      <c r="E607">
        <v>21.379850932720522</v>
      </c>
      <c r="F607">
        <v>0</v>
      </c>
      <c r="G607">
        <v>-9.8830508216954467</v>
      </c>
      <c r="H607">
        <v>20.066029346587758</v>
      </c>
      <c r="I607">
        <v>1193.5629458857586</v>
      </c>
      <c r="J607">
        <v>793.56294588575861</v>
      </c>
      <c r="K607">
        <v>2.1802102363481675</v>
      </c>
      <c r="L607">
        <v>0.89309879813434701</v>
      </c>
      <c r="M607">
        <v>75099.479686296152</v>
      </c>
      <c r="N607">
        <v>292.99184085174255</v>
      </c>
    </row>
    <row r="608" spans="2:14">
      <c r="B608">
        <v>563</v>
      </c>
      <c r="C608">
        <v>11.351870263808379</v>
      </c>
      <c r="D608" s="10">
        <v>0.16074220350325608</v>
      </c>
      <c r="E608">
        <v>21.37984826285124</v>
      </c>
      <c r="F608">
        <v>0</v>
      </c>
      <c r="G608">
        <v>-9.881543717495946</v>
      </c>
      <c r="H608">
        <v>19.867139271610515</v>
      </c>
      <c r="I608">
        <v>1193.960818758738</v>
      </c>
      <c r="J608">
        <v>793.96081875873801</v>
      </c>
      <c r="K608">
        <v>2.1802102363481675</v>
      </c>
      <c r="L608">
        <v>0.89301637172615056</v>
      </c>
      <c r="M608">
        <v>75091.885735031625</v>
      </c>
      <c r="N608">
        <v>292.98925467806822</v>
      </c>
    </row>
    <row r="609" spans="2:14">
      <c r="B609">
        <v>564</v>
      </c>
      <c r="C609">
        <v>11.371997693354139</v>
      </c>
      <c r="D609" s="10">
        <v>0.15752601770892546</v>
      </c>
      <c r="E609">
        <v>21.379845619838914</v>
      </c>
      <c r="F609">
        <v>0</v>
      </c>
      <c r="G609">
        <v>-9.8800519817918069</v>
      </c>
      <c r="H609">
        <v>19.668279221438556</v>
      </c>
      <c r="I609">
        <v>1194.3546893922291</v>
      </c>
      <c r="J609">
        <v>794.35468939222915</v>
      </c>
      <c r="K609">
        <v>2.1802102363481675</v>
      </c>
      <c r="L609">
        <v>0.89293478125105163</v>
      </c>
      <c r="M609">
        <v>75084.368864187607</v>
      </c>
      <c r="N609">
        <v>292.98669451895051</v>
      </c>
    </row>
    <row r="610" spans="2:14">
      <c r="B610">
        <v>565</v>
      </c>
      <c r="C610">
        <v>11.392125122899898</v>
      </c>
      <c r="D610" s="10">
        <v>0.1543432362060794</v>
      </c>
      <c r="E610">
        <v>21.379843003679525</v>
      </c>
      <c r="F610">
        <v>0</v>
      </c>
      <c r="G610">
        <v>-9.8785755971968747</v>
      </c>
      <c r="H610">
        <v>19.469448887093517</v>
      </c>
      <c r="I610">
        <v>1194.7445583812259</v>
      </c>
      <c r="J610">
        <v>794.74455838122594</v>
      </c>
      <c r="K610">
        <v>2.1802102363481675</v>
      </c>
      <c r="L610">
        <v>0.89285402637912292</v>
      </c>
      <c r="M610">
        <v>75076.929041360519</v>
      </c>
      <c r="N610">
        <v>292.98416037052203</v>
      </c>
    </row>
    <row r="611" spans="2:14">
      <c r="B611">
        <v>566</v>
      </c>
      <c r="C611">
        <v>11.412252552445658</v>
      </c>
      <c r="D611" s="10">
        <v>0.15119382190128297</v>
      </c>
      <c r="E611">
        <v>21.37984041436912</v>
      </c>
      <c r="F611">
        <v>0</v>
      </c>
      <c r="G611">
        <v>-9.8771145465105121</v>
      </c>
      <c r="H611">
        <v>19.270647959943229</v>
      </c>
      <c r="I611">
        <v>1195.1304263145134</v>
      </c>
      <c r="J611">
        <v>795.13042631451344</v>
      </c>
      <c r="K611">
        <v>2.1802102363481675</v>
      </c>
      <c r="L611">
        <v>0.89277410678388835</v>
      </c>
      <c r="M611">
        <v>75069.566234486061</v>
      </c>
      <c r="N611">
        <v>292.98165222895568</v>
      </c>
    </row>
    <row r="612" spans="2:14">
      <c r="B612">
        <v>567</v>
      </c>
      <c r="C612">
        <v>11.432379981991417</v>
      </c>
      <c r="D612" s="10">
        <v>0.14807773810379213</v>
      </c>
      <c r="E612">
        <v>21.379837851903766</v>
      </c>
      <c r="F612">
        <v>0</v>
      </c>
      <c r="G612">
        <v>-9.8756688127172048</v>
      </c>
      <c r="H612">
        <v>19.071876131698009</v>
      </c>
      <c r="I612">
        <v>1195.5122937746753</v>
      </c>
      <c r="J612">
        <v>795.5122937746753</v>
      </c>
      <c r="K612">
        <v>2.1802102363481675</v>
      </c>
      <c r="L612">
        <v>0.89269502214232199</v>
      </c>
      <c r="M612">
        <v>75062.28041183902</v>
      </c>
      <c r="N612">
        <v>292.97917009046461</v>
      </c>
    </row>
    <row r="613" spans="2:14">
      <c r="B613">
        <v>568</v>
      </c>
      <c r="C613">
        <v>11.452507411537177</v>
      </c>
      <c r="D613" s="10">
        <v>0.14499494852469438</v>
      </c>
      <c r="E613">
        <v>21.379835316279586</v>
      </c>
      <c r="F613">
        <v>0</v>
      </c>
      <c r="G613">
        <v>-9.8742383789861581</v>
      </c>
      <c r="H613">
        <v>18.873133094406928</v>
      </c>
      <c r="I613">
        <v>1195.8901613381004</v>
      </c>
      <c r="J613">
        <v>795.89016133810037</v>
      </c>
      <c r="K613">
        <v>2.1802102363481675</v>
      </c>
      <c r="L613">
        <v>0.89261677213483792</v>
      </c>
      <c r="M613">
        <v>75055.0715420325</v>
      </c>
      <c r="N613">
        <v>292.97671395130237</v>
      </c>
    </row>
    <row r="614" spans="2:14">
      <c r="B614">
        <v>569</v>
      </c>
      <c r="C614">
        <v>11.472634841082936</v>
      </c>
      <c r="D614" s="10">
        <v>0.14194541727606164</v>
      </c>
      <c r="E614">
        <v>21.379832807492736</v>
      </c>
      <c r="F614">
        <v>0</v>
      </c>
      <c r="G614">
        <v>-9.8728232286709083</v>
      </c>
      <c r="H614">
        <v>18.674418540454113</v>
      </c>
      <c r="I614">
        <v>1196.2640295749891</v>
      </c>
      <c r="J614">
        <v>796.26402957498908</v>
      </c>
      <c r="K614">
        <v>2.1802102363481675</v>
      </c>
      <c r="L614">
        <v>0.89253935644529281</v>
      </c>
      <c r="M614">
        <v>75047.93959401788</v>
      </c>
      <c r="N614">
        <v>292.97428380776256</v>
      </c>
    </row>
    <row r="615" spans="2:14">
      <c r="B615">
        <v>570</v>
      </c>
      <c r="C615">
        <v>11.492762270628695</v>
      </c>
      <c r="D615" s="10">
        <v>0.13892910887011142</v>
      </c>
      <c r="E615">
        <v>21.379830325539412</v>
      </c>
      <c r="F615">
        <v>0</v>
      </c>
      <c r="G615">
        <v>-9.8714233453089282</v>
      </c>
      <c r="H615">
        <v>18.47573216255504</v>
      </c>
      <c r="I615">
        <v>1196.6338990493607</v>
      </c>
      <c r="J615">
        <v>796.63389904936071</v>
      </c>
      <c r="K615">
        <v>2.1802102363481675</v>
      </c>
      <c r="L615">
        <v>0.8924627747609799</v>
      </c>
      <c r="M615">
        <v>75040.88453708445</v>
      </c>
      <c r="N615">
        <v>292.97187965617917</v>
      </c>
    </row>
    <row r="616" spans="2:14">
      <c r="B616">
        <v>571</v>
      </c>
      <c r="C616">
        <v>11.512889700174455</v>
      </c>
      <c r="D616" s="10">
        <v>0.13594598821837789</v>
      </c>
      <c r="E616">
        <v>21.37982787041587</v>
      </c>
      <c r="F616">
        <v>0</v>
      </c>
      <c r="G616">
        <v>-9.870038712621243</v>
      </c>
      <c r="H616">
        <v>18.277073653752836</v>
      </c>
      <c r="I616">
        <v>1196.9997703190595</v>
      </c>
      <c r="J616">
        <v>796.99977031905951</v>
      </c>
      <c r="K616">
        <v>2.1802102363481675</v>
      </c>
      <c r="L616">
        <v>0.89238702677262449</v>
      </c>
      <c r="M616">
        <v>75033.906340858797</v>
      </c>
      <c r="N616">
        <v>292.9695014929261</v>
      </c>
    </row>
    <row r="617" spans="2:14">
      <c r="B617">
        <v>572</v>
      </c>
      <c r="C617">
        <v>11.533017129720214</v>
      </c>
      <c r="D617" s="10">
        <v>0.13299602063089319</v>
      </c>
      <c r="E617">
        <v>21.379825442118385</v>
      </c>
      <c r="F617">
        <v>0</v>
      </c>
      <c r="G617">
        <v>-9.8686693145120614</v>
      </c>
      <c r="H617">
        <v>18.078442707414595</v>
      </c>
      <c r="I617">
        <v>1197.3616439357611</v>
      </c>
      <c r="J617">
        <v>797.36164393576109</v>
      </c>
      <c r="K617">
        <v>2.1802102363481675</v>
      </c>
      <c r="L617">
        <v>0.89231211217438144</v>
      </c>
      <c r="M617">
        <v>75027.004975304677</v>
      </c>
      <c r="N617">
        <v>292.96714931441755</v>
      </c>
    </row>
    <row r="618" spans="2:14">
      <c r="B618">
        <v>573</v>
      </c>
      <c r="C618">
        <v>11.553144559265974</v>
      </c>
      <c r="D618" s="10">
        <v>0.13007917181537831</v>
      </c>
      <c r="E618">
        <v>21.379823040643284</v>
      </c>
      <c r="F618">
        <v>0</v>
      </c>
      <c r="G618">
        <v>-9.8673151350683774</v>
      </c>
      <c r="H618">
        <v>17.879839017227699</v>
      </c>
      <c r="I618">
        <v>1197.719520444979</v>
      </c>
      <c r="J618">
        <v>797.71952044497903</v>
      </c>
      <c r="K618">
        <v>2.1802102363481675</v>
      </c>
      <c r="L618">
        <v>0.89223803066383189</v>
      </c>
      <c r="M618">
        <v>75020.180410722576</v>
      </c>
      <c r="N618">
        <v>292.96482311710764</v>
      </c>
    </row>
    <row r="619" spans="2:14">
      <c r="B619">
        <v>574</v>
      </c>
      <c r="C619">
        <v>11.573271988811733</v>
      </c>
      <c r="D619" s="10">
        <v>0.12719540787644351</v>
      </c>
      <c r="E619">
        <v>21.37982066598693</v>
      </c>
      <c r="F619">
        <v>0</v>
      </c>
      <c r="G619">
        <v>-9.865976158559624</v>
      </c>
      <c r="H619">
        <v>17.681262277196144</v>
      </c>
      <c r="I619">
        <v>1198.0734003860712</v>
      </c>
      <c r="J619">
        <v>798.07340038607117</v>
      </c>
      <c r="K619">
        <v>2.1802102363481675</v>
      </c>
      <c r="L619">
        <v>0.89216478194197946</v>
      </c>
      <c r="M619">
        <v>75013.432617749393</v>
      </c>
      <c r="N619">
        <v>292.96252289749054</v>
      </c>
    </row>
    <row r="620" spans="2:14">
      <c r="B620">
        <v>575</v>
      </c>
      <c r="C620">
        <v>11.593399418357492</v>
      </c>
      <c r="D620" s="10">
        <v>0.12434469531479847</v>
      </c>
      <c r="E620">
        <v>21.379818318145745</v>
      </c>
      <c r="F620">
        <v>0</v>
      </c>
      <c r="G620">
        <v>-9.8646523694372856</v>
      </c>
      <c r="H620">
        <v>17.482712181636884</v>
      </c>
      <c r="I620">
        <v>1198.4232842922461</v>
      </c>
      <c r="J620">
        <v>798.42328429224608</v>
      </c>
      <c r="K620">
        <v>2.1802102363481675</v>
      </c>
      <c r="L620">
        <v>0.89209236571324579</v>
      </c>
      <c r="M620">
        <v>75006.761567357986</v>
      </c>
      <c r="N620">
        <v>292.9602486521004</v>
      </c>
    </row>
    <row r="621" spans="2:14">
      <c r="B621">
        <v>576</v>
      </c>
      <c r="C621">
        <v>11.613526847903252</v>
      </c>
      <c r="D621" s="10">
        <v>0.12152700102647192</v>
      </c>
      <c r="E621">
        <v>21.379815997116165</v>
      </c>
      <c r="F621">
        <v>0</v>
      </c>
      <c r="G621">
        <v>-9.863343752334556</v>
      </c>
      <c r="H621">
        <v>17.284188425176161</v>
      </c>
      <c r="I621">
        <v>1198.7691726905689</v>
      </c>
      <c r="J621">
        <v>798.76917269056889</v>
      </c>
      <c r="K621">
        <v>2.1802102363481675</v>
      </c>
      <c r="L621">
        <v>0.89202078168546939</v>
      </c>
      <c r="M621">
        <v>75000.167230857027</v>
      </c>
      <c r="N621">
        <v>292.95800037751133</v>
      </c>
    </row>
    <row r="622" spans="2:14">
      <c r="B622">
        <v>577</v>
      </c>
      <c r="C622">
        <v>11.633654277449011</v>
      </c>
      <c r="D622" s="10">
        <v>0.11874229230204135</v>
      </c>
      <c r="E622">
        <v>21.379813702894687</v>
      </c>
      <c r="F622">
        <v>0</v>
      </c>
      <c r="G622">
        <v>-9.862050292065959</v>
      </c>
      <c r="H622">
        <v>17.085690702745865</v>
      </c>
      <c r="I622">
        <v>1199.1110661019675</v>
      </c>
      <c r="J622">
        <v>799.11106610196748</v>
      </c>
      <c r="K622">
        <v>2.1802102363481675</v>
      </c>
      <c r="L622">
        <v>0.89195002956990121</v>
      </c>
      <c r="M622">
        <v>74993.649579890567</v>
      </c>
      <c r="N622">
        <v>292.9557780703372</v>
      </c>
    </row>
    <row r="623" spans="2:14">
      <c r="B623">
        <v>578</v>
      </c>
      <c r="C623">
        <v>11.653781706994771</v>
      </c>
      <c r="D623" s="10">
        <v>0.11599053682587133</v>
      </c>
      <c r="E623">
        <v>21.379811435477844</v>
      </c>
      <c r="F623">
        <v>0</v>
      </c>
      <c r="G623">
        <v>-9.8607719736270099</v>
      </c>
      <c r="H623">
        <v>16.887218709579884</v>
      </c>
      <c r="I623">
        <v>1199.4489650412388</v>
      </c>
      <c r="J623">
        <v>799.44896504123881</v>
      </c>
      <c r="K623">
        <v>2.1802102363481675</v>
      </c>
      <c r="L623">
        <v>0.89188010908119941</v>
      </c>
      <c r="M623">
        <v>74987.208586437555</v>
      </c>
      <c r="N623">
        <v>292.95358172723195</v>
      </c>
    </row>
    <row r="624" spans="2:14">
      <c r="B624">
        <v>579</v>
      </c>
      <c r="C624">
        <v>11.67390913654053</v>
      </c>
      <c r="D624" s="10">
        <v>0.11327170267536227</v>
      </c>
      <c r="E624">
        <v>21.379809194862208</v>
      </c>
      <c r="F624">
        <v>0</v>
      </c>
      <c r="G624">
        <v>-9.8595087821938634</v>
      </c>
      <c r="H624">
        <v>16.688772141210478</v>
      </c>
      <c r="I624">
        <v>1199.7828700170546</v>
      </c>
      <c r="J624">
        <v>799.78287001705462</v>
      </c>
      <c r="K624">
        <v>2.1802102363481675</v>
      </c>
      <c r="L624">
        <v>0.89181101993742762</v>
      </c>
      <c r="M624">
        <v>74980.844222811618</v>
      </c>
      <c r="N624">
        <v>292.95141134488915</v>
      </c>
    </row>
    <row r="625" spans="2:14">
      <c r="B625">
        <v>580</v>
      </c>
      <c r="C625">
        <v>11.694036566086289</v>
      </c>
      <c r="D625" s="10">
        <v>0.11058575832020874</v>
      </c>
      <c r="E625">
        <v>21.379806981044396</v>
      </c>
      <c r="F625">
        <v>0</v>
      </c>
      <c r="G625">
        <v>-9.8582607031229639</v>
      </c>
      <c r="H625">
        <v>16.490350693464638</v>
      </c>
      <c r="I625">
        <v>1200.1127815319674</v>
      </c>
      <c r="J625">
        <v>800.11278153196736</v>
      </c>
      <c r="K625">
        <v>2.1802102363481675</v>
      </c>
      <c r="L625">
        <v>0.89174276186005585</v>
      </c>
      <c r="M625">
        <v>74974.556461661094</v>
      </c>
      <c r="N625">
        <v>292.94926692004219</v>
      </c>
    </row>
    <row r="626" spans="2:14">
      <c r="B626">
        <v>581</v>
      </c>
      <c r="C626">
        <v>11.714163995632049</v>
      </c>
      <c r="D626" s="10">
        <v>0.10793267262166593</v>
      </c>
      <c r="E626">
        <v>21.379804794021062</v>
      </c>
      <c r="F626">
        <v>0</v>
      </c>
      <c r="G626">
        <v>-9.8570277219507147</v>
      </c>
      <c r="H626">
        <v>16.291954062460473</v>
      </c>
      <c r="I626">
        <v>1200.4387000824161</v>
      </c>
      <c r="J626">
        <v>800.43870008241606</v>
      </c>
      <c r="K626">
        <v>2.1802102363481675</v>
      </c>
      <c r="L626">
        <v>0.89167533457394876</v>
      </c>
      <c r="M626">
        <v>74968.345275968008</v>
      </c>
      <c r="N626">
        <v>292.94714844946429</v>
      </c>
    </row>
    <row r="627" spans="2:14">
      <c r="B627">
        <v>582</v>
      </c>
      <c r="C627">
        <v>11.734291425177808</v>
      </c>
      <c r="D627" s="10">
        <v>0.10531241483182724</v>
      </c>
      <c r="E627">
        <v>21.379802633788902</v>
      </c>
      <c r="F627">
        <v>0</v>
      </c>
      <c r="G627">
        <v>-9.8558098243931269</v>
      </c>
      <c r="H627">
        <v>16.093581944603592</v>
      </c>
      <c r="I627">
        <v>1200.7606261587321</v>
      </c>
      <c r="J627">
        <v>800.76062615873207</v>
      </c>
      <c r="K627">
        <v>2.1802102363481675</v>
      </c>
      <c r="L627">
        <v>0.89160873780736982</v>
      </c>
      <c r="M627">
        <v>74962.210639048339</v>
      </c>
      <c r="N627">
        <v>292.94505592996825</v>
      </c>
    </row>
    <row r="628" spans="2:14">
      <c r="B628">
        <v>583</v>
      </c>
      <c r="C628">
        <v>11.754418854723568</v>
      </c>
      <c r="D628" s="10">
        <v>0.10272495459291019</v>
      </c>
      <c r="E628">
        <v>21.379800500344665</v>
      </c>
      <c r="F628">
        <v>0</v>
      </c>
      <c r="G628">
        <v>-9.8546069963455007</v>
      </c>
      <c r="H628">
        <v>15.895234036583497</v>
      </c>
      <c r="I628">
        <v>1201.0785602451447</v>
      </c>
      <c r="J628">
        <v>801.07856024514467</v>
      </c>
      <c r="K628">
        <v>2.1802102363481675</v>
      </c>
      <c r="L628">
        <v>0.89154297129197535</v>
      </c>
      <c r="M628">
        <v>74956.152524551479</v>
      </c>
      <c r="N628">
        <v>292.94298935840658</v>
      </c>
    </row>
    <row r="629" spans="2:14">
      <c r="B629">
        <v>584</v>
      </c>
      <c r="C629">
        <v>11.774546284269327</v>
      </c>
      <c r="D629" s="10">
        <v>0.10017026193655175</v>
      </c>
      <c r="E629">
        <v>21.379798393685117</v>
      </c>
      <c r="F629">
        <v>0</v>
      </c>
      <c r="G629">
        <v>-9.8534192238821028</v>
      </c>
      <c r="H629">
        <v>15.696910035369976</v>
      </c>
      <c r="I629">
        <v>1201.3925028197868</v>
      </c>
      <c r="J629">
        <v>801.39250281978684</v>
      </c>
      <c r="K629">
        <v>2.1802102363481675</v>
      </c>
      <c r="L629">
        <v>0.89147803476280962</v>
      </c>
      <c r="M629">
        <v>74950.170906459782</v>
      </c>
      <c r="N629">
        <v>292.94094873167137</v>
      </c>
    </row>
    <row r="630" spans="2:14">
      <c r="B630">
        <v>585</v>
      </c>
      <c r="C630">
        <v>11.794673713815087</v>
      </c>
      <c r="D630" s="10">
        <v>9.7648307283113675E-2</v>
      </c>
      <c r="E630">
        <v>21.379796313807084</v>
      </c>
      <c r="F630">
        <v>0</v>
      </c>
      <c r="G630">
        <v>-9.8522464932558176</v>
      </c>
      <c r="H630">
        <v>15.498609638209512</v>
      </c>
      <c r="I630">
        <v>1201.7024543547009</v>
      </c>
      <c r="J630">
        <v>801.70245435470088</v>
      </c>
      <c r="K630">
        <v>2.1802102363481675</v>
      </c>
      <c r="L630">
        <v>0.89141392795830487</v>
      </c>
      <c r="M630">
        <v>74944.265759088536</v>
      </c>
      <c r="N630">
        <v>292.93893404669444</v>
      </c>
    </row>
    <row r="631" spans="2:14">
      <c r="B631">
        <v>586</v>
      </c>
      <c r="C631">
        <v>11.814801143360846</v>
      </c>
      <c r="D631" s="10">
        <v>9.5159061440996714E-2</v>
      </c>
      <c r="E631">
        <v>21.379794260707431</v>
      </c>
      <c r="F631">
        <v>0</v>
      </c>
      <c r="G631">
        <v>-9.8510887908978564</v>
      </c>
      <c r="H631">
        <v>15.300332542621693</v>
      </c>
      <c r="I631">
        <v>1202.0084153158432</v>
      </c>
      <c r="J631">
        <v>802.00841531584319</v>
      </c>
      <c r="K631">
        <v>2.1802102363481675</v>
      </c>
      <c r="L631">
        <v>0.89135065062027852</v>
      </c>
      <c r="M631">
        <v>74938.437057085597</v>
      </c>
      <c r="N631">
        <v>292.93694530044701</v>
      </c>
    </row>
    <row r="632" spans="2:14">
      <c r="B632">
        <v>587</v>
      </c>
      <c r="C632">
        <v>11.834928572906605</v>
      </c>
      <c r="D632" s="10">
        <v>9.2702495605963942E-2</v>
      </c>
      <c r="E632">
        <v>21.379792234383054</v>
      </c>
      <c r="F632">
        <v>0</v>
      </c>
      <c r="G632">
        <v>-9.8499461034174303</v>
      </c>
      <c r="H632">
        <v>15.102078446395629</v>
      </c>
      <c r="I632">
        <v>1202.3103861630907</v>
      </c>
      <c r="J632">
        <v>802.3103861630907</v>
      </c>
      <c r="K632">
        <v>2.1802102363481675</v>
      </c>
      <c r="L632">
        <v>0.89128820249392759</v>
      </c>
      <c r="M632">
        <v>74932.684775430971</v>
      </c>
      <c r="N632">
        <v>292.9349824899399</v>
      </c>
    </row>
    <row r="633" spans="2:14">
      <c r="B633">
        <v>588</v>
      </c>
      <c r="C633">
        <v>11.855056002452365</v>
      </c>
      <c r="D633" s="10">
        <v>9.027858136047362E-2</v>
      </c>
      <c r="E633">
        <v>21.379790234830903</v>
      </c>
      <c r="F633">
        <v>0</v>
      </c>
      <c r="G633">
        <v>-9.8488184176014393</v>
      </c>
      <c r="H633">
        <v>14.903847047586375</v>
      </c>
      <c r="I633">
        <v>1202.6083673502451</v>
      </c>
      <c r="J633">
        <v>802.60836735024509</v>
      </c>
      <c r="K633">
        <v>2.1802102363481675</v>
      </c>
      <c r="L633">
        <v>0.89122658332782778</v>
      </c>
      <c r="M633">
        <v>74927.00888943662</v>
      </c>
      <c r="N633">
        <v>292.9330456122234</v>
      </c>
    </row>
    <row r="634" spans="2:14">
      <c r="B634">
        <v>589</v>
      </c>
      <c r="C634">
        <v>11.875183431998124</v>
      </c>
      <c r="D634" s="10">
        <v>8.7887290673021298E-2</v>
      </c>
      <c r="E634">
        <v>21.379788262047956</v>
      </c>
      <c r="F634">
        <v>0</v>
      </c>
      <c r="G634">
        <v>-9.8477057204141687</v>
      </c>
      <c r="H634">
        <v>14.705638044511364</v>
      </c>
      <c r="I634">
        <v>1202.902359325039</v>
      </c>
      <c r="J634">
        <v>802.90235932503901</v>
      </c>
      <c r="K634">
        <v>2.1802102363481675</v>
      </c>
      <c r="L634">
        <v>0.89116579287392961</v>
      </c>
      <c r="M634">
        <v>74921.409374746116</v>
      </c>
      <c r="N634">
        <v>292.93113466438723</v>
      </c>
    </row>
    <row r="635" spans="2:14">
      <c r="B635">
        <v>590</v>
      </c>
      <c r="C635">
        <v>11.895310861543884</v>
      </c>
      <c r="D635" s="10">
        <v>8.5528595897490955E-2</v>
      </c>
      <c r="E635">
        <v>21.379786316031243</v>
      </c>
      <c r="F635">
        <v>0</v>
      </c>
      <c r="G635">
        <v>-9.846607998996987</v>
      </c>
      <c r="H635">
        <v>14.507451135746837</v>
      </c>
      <c r="I635">
        <v>1203.1923625291408</v>
      </c>
      <c r="J635">
        <v>803.19236252914084</v>
      </c>
      <c r="K635">
        <v>2.1802102363481675</v>
      </c>
      <c r="L635">
        <v>0.89110583088755624</v>
      </c>
      <c r="M635">
        <v>74915.886207334421</v>
      </c>
      <c r="N635">
        <v>292.92924964356058</v>
      </c>
    </row>
    <row r="636" spans="2:14">
      <c r="B636">
        <v>591</v>
      </c>
      <c r="C636">
        <v>11.915438291089643</v>
      </c>
      <c r="D636" s="10">
        <v>8.3202469772515344E-2</v>
      </c>
      <c r="E636">
        <v>21.379784396777826</v>
      </c>
      <c r="F636">
        <v>0</v>
      </c>
      <c r="G636">
        <v>-9.8455252406680476</v>
      </c>
      <c r="H636">
        <v>14.309286020124292</v>
      </c>
      <c r="I636">
        <v>1203.4783773981594</v>
      </c>
      <c r="J636">
        <v>803.47837739815941</v>
      </c>
      <c r="K636">
        <v>2.1802102363481675</v>
      </c>
      <c r="L636">
        <v>0.89104669712739892</v>
      </c>
      <c r="M636">
        <v>74910.439363507408</v>
      </c>
      <c r="N636">
        <v>292.92739054691197</v>
      </c>
    </row>
    <row r="637" spans="2:14">
      <c r="B637">
        <v>592</v>
      </c>
      <c r="C637">
        <v>11.935565720635402</v>
      </c>
      <c r="D637" s="10">
        <v>8.0908885420846011E-2</v>
      </c>
      <c r="E637">
        <v>21.379782504284815</v>
      </c>
      <c r="F637">
        <v>0</v>
      </c>
      <c r="G637">
        <v>-9.8444574329219972</v>
      </c>
      <c r="H637">
        <v>14.111142396726924</v>
      </c>
      <c r="I637">
        <v>1203.7604043616498</v>
      </c>
      <c r="J637">
        <v>803.76040436164976</v>
      </c>
      <c r="K637">
        <v>2.1802102363481675</v>
      </c>
      <c r="L637">
        <v>0.89098839135551899</v>
      </c>
      <c r="M637">
        <v>74905.068819902081</v>
      </c>
      <c r="N637">
        <v>292.92555737164929</v>
      </c>
    </row>
    <row r="638" spans="2:14">
      <c r="B638">
        <v>593</v>
      </c>
      <c r="C638">
        <v>11.955693150181162</v>
      </c>
      <c r="D638" s="10">
        <v>7.8647816348731261E-2</v>
      </c>
      <c r="E638">
        <v>21.379780638549356</v>
      </c>
      <c r="F638">
        <v>0</v>
      </c>
      <c r="G638">
        <v>-9.8434045634296847</v>
      </c>
      <c r="H638">
        <v>13.913019964886084</v>
      </c>
      <c r="I638">
        <v>1204.0384438431176</v>
      </c>
      <c r="J638">
        <v>804.03844384311765</v>
      </c>
      <c r="K638">
        <v>2.1802102363481675</v>
      </c>
      <c r="L638">
        <v>0.89093091333733776</v>
      </c>
      <c r="M638">
        <v>74899.774553485549</v>
      </c>
      <c r="N638">
        <v>292.92375011501974</v>
      </c>
    </row>
    <row r="639" spans="2:14">
      <c r="B639">
        <v>594</v>
      </c>
      <c r="C639">
        <v>11.975820579726921</v>
      </c>
      <c r="D639" s="10">
        <v>7.6419236445304684E-2</v>
      </c>
      <c r="E639">
        <v>21.379778799568641</v>
      </c>
      <c r="F639">
        <v>0</v>
      </c>
      <c r="G639">
        <v>-9.8423666200378737</v>
      </c>
      <c r="H639">
        <v>13.714918424177736</v>
      </c>
      <c r="I639">
        <v>1204.3124962600243</v>
      </c>
      <c r="J639">
        <v>804.31249626002432</v>
      </c>
      <c r="K639">
        <v>2.1802102363481675</v>
      </c>
      <c r="L639">
        <v>0.89087426284164162</v>
      </c>
      <c r="M639">
        <v>74894.556541555532</v>
      </c>
      <c r="N639">
        <v>292.92196877430985</v>
      </c>
    </row>
    <row r="640" spans="2:14">
      <c r="B640">
        <v>595</v>
      </c>
      <c r="C640">
        <v>11.995948009272681</v>
      </c>
      <c r="D640" s="10">
        <v>7.422311998198157E-2</v>
      </c>
      <c r="E640">
        <v>21.379776987339891</v>
      </c>
      <c r="F640">
        <v>0</v>
      </c>
      <c r="G640">
        <v>-9.8413435907689735</v>
      </c>
      <c r="H640">
        <v>13.516837474418919</v>
      </c>
      <c r="I640">
        <v>1204.5825620237918</v>
      </c>
      <c r="J640">
        <v>804.58256202379175</v>
      </c>
      <c r="K640">
        <v>2.1802102363481675</v>
      </c>
      <c r="L640">
        <v>0.89081843964057394</v>
      </c>
      <c r="M640">
        <v>74889.414761739565</v>
      </c>
      <c r="N640">
        <v>292.92021334684534</v>
      </c>
    </row>
    <row r="641" spans="2:14">
      <c r="B641">
        <v>596</v>
      </c>
      <c r="C641">
        <v>12.01607543881844</v>
      </c>
      <c r="D641" s="10">
        <v>7.2059441611864963E-2</v>
      </c>
      <c r="E641">
        <v>21.379775201860379</v>
      </c>
      <c r="F641">
        <v>0</v>
      </c>
      <c r="G641">
        <v>-9.8403354638207414</v>
      </c>
      <c r="H641">
        <v>13.318776815664226</v>
      </c>
      <c r="I641">
        <v>1204.8486415398072</v>
      </c>
      <c r="J641">
        <v>804.8486415398072</v>
      </c>
      <c r="K641">
        <v>2.1802102363481675</v>
      </c>
      <c r="L641">
        <v>0.89076344350963432</v>
      </c>
      <c r="M641">
        <v>74884.34919199493</v>
      </c>
      <c r="N641">
        <v>292.91848382999126</v>
      </c>
    </row>
    <row r="642" spans="2:14">
      <c r="B642">
        <v>597</v>
      </c>
      <c r="C642">
        <v>12.0362028683642</v>
      </c>
      <c r="D642" s="10">
        <v>6.9928176369160752E-2</v>
      </c>
      <c r="E642">
        <v>21.379773443127419</v>
      </c>
      <c r="F642">
        <v>0</v>
      </c>
      <c r="G642">
        <v>-9.8393422275660321</v>
      </c>
      <c r="H642">
        <v>13.120736148202273</v>
      </c>
      <c r="I642">
        <v>1205.110735207428</v>
      </c>
      <c r="J642">
        <v>805.11073520742798</v>
      </c>
      <c r="K642">
        <v>2.1802102363481675</v>
      </c>
      <c r="L642">
        <v>0.89070927422767632</v>
      </c>
      <c r="M642">
        <v>74879.359810608381</v>
      </c>
      <c r="N642">
        <v>292.91678022115173</v>
      </c>
    </row>
    <row r="643" spans="2:14">
      <c r="B643">
        <v>598</v>
      </c>
      <c r="C643">
        <v>12.056330297909959</v>
      </c>
      <c r="D643" s="10">
        <v>6.7829299668601462E-2</v>
      </c>
      <c r="E643">
        <v>21.379771711138361</v>
      </c>
      <c r="F643">
        <v>0</v>
      </c>
      <c r="G643">
        <v>-9.83836387055252</v>
      </c>
      <c r="H643">
        <v>12.922715172552179</v>
      </c>
      <c r="I643">
        <v>1205.3688434199855</v>
      </c>
      <c r="J643">
        <v>805.36884341998552</v>
      </c>
      <c r="K643">
        <v>2.1802102363481675</v>
      </c>
      <c r="L643">
        <v>0.8906559315769037</v>
      </c>
      <c r="M643">
        <v>74874.446596195819</v>
      </c>
      <c r="N643">
        <v>292.91510251777009</v>
      </c>
    </row>
    <row r="644" spans="2:14">
      <c r="B644">
        <v>599</v>
      </c>
      <c r="C644">
        <v>12.076457727455718</v>
      </c>
      <c r="D644" s="10">
        <v>6.5762787304879514E-2</v>
      </c>
      <c r="E644">
        <v>21.379770005890588</v>
      </c>
      <c r="F644">
        <v>0</v>
      </c>
      <c r="G644">
        <v>-9.8374003815024285</v>
      </c>
      <c r="H644">
        <v>12.724713589460059</v>
      </c>
      <c r="I644">
        <v>1205.6229665647904</v>
      </c>
      <c r="J644">
        <v>805.62296656479043</v>
      </c>
      <c r="K644">
        <v>2.1802102363481675</v>
      </c>
      <c r="L644">
        <v>0.89060341534287157</v>
      </c>
      <c r="M644">
        <v>74869.609527702356</v>
      </c>
      <c r="N644">
        <v>292.91345071732889</v>
      </c>
    </row>
    <row r="645" spans="2:14">
      <c r="B645">
        <v>600</v>
      </c>
      <c r="C645">
        <v>12.096585157001478</v>
      </c>
      <c r="D645" s="10">
        <v>6.3728615452088647E-2</v>
      </c>
      <c r="E645">
        <v>21.379768327381541</v>
      </c>
      <c r="F645">
        <v>0</v>
      </c>
      <c r="G645">
        <v>-9.8364517493122783</v>
      </c>
      <c r="H645">
        <v>12.52673109989551</v>
      </c>
      <c r="I645">
        <v>1205.8731050231372</v>
      </c>
      <c r="J645">
        <v>805.87310502313721</v>
      </c>
      <c r="K645">
        <v>2.1802102363481675</v>
      </c>
      <c r="L645">
        <v>0.89055172531447746</v>
      </c>
      <c r="M645">
        <v>74864.848584401465</v>
      </c>
      <c r="N645">
        <v>292.91182481734961</v>
      </c>
    </row>
    <row r="646" spans="2:14">
      <c r="B646">
        <v>601</v>
      </c>
      <c r="C646">
        <v>12.116712586547237</v>
      </c>
      <c r="D646" s="10">
        <v>6.1726760663175298E-2</v>
      </c>
      <c r="E646">
        <v>21.379766675608689</v>
      </c>
      <c r="F646">
        <v>0</v>
      </c>
      <c r="G646">
        <v>-9.8355179630526344</v>
      </c>
      <c r="H646">
        <v>12.328767405048115</v>
      </c>
      <c r="I646">
        <v>1206.1192591703079</v>
      </c>
      <c r="J646">
        <v>806.11925917030794</v>
      </c>
      <c r="K646">
        <v>2.1802102363481675</v>
      </c>
      <c r="L646">
        <v>0.89050086128396511</v>
      </c>
      <c r="M646">
        <v>74860.163745895363</v>
      </c>
      <c r="N646">
        <v>292.91022481539301</v>
      </c>
    </row>
    <row r="647" spans="2:14">
      <c r="B647">
        <v>602</v>
      </c>
      <c r="C647">
        <v>12.136840016092997</v>
      </c>
      <c r="D647" s="10">
        <v>5.9757199869398085E-2</v>
      </c>
      <c r="E647">
        <v>21.379765050569542</v>
      </c>
      <c r="F647">
        <v>0</v>
      </c>
      <c r="G647">
        <v>-9.8345990119678426</v>
      </c>
      <c r="H647">
        <v>12.130822206323934</v>
      </c>
      <c r="I647">
        <v>1206.3614293755772</v>
      </c>
      <c r="J647">
        <v>806.36142937557725</v>
      </c>
      <c r="K647">
        <v>2.1802102363481675</v>
      </c>
      <c r="L647">
        <v>0.89045082304691925</v>
      </c>
      <c r="M647">
        <v>74855.554992114412</v>
      </c>
      <c r="N647">
        <v>292.90865070905875</v>
      </c>
    </row>
    <row r="648" spans="2:14">
      <c r="B648">
        <v>603</v>
      </c>
      <c r="C648">
        <v>12.156967445638756</v>
      </c>
      <c r="D648" s="10">
        <v>5.7819910379796453E-2</v>
      </c>
      <c r="E648">
        <v>21.379763452261663</v>
      </c>
      <c r="F648">
        <v>0</v>
      </c>
      <c r="G648">
        <v>-9.8336948854757917</v>
      </c>
      <c r="H648">
        <v>11.932895205342023</v>
      </c>
      <c r="I648">
        <v>1206.599616002216</v>
      </c>
      <c r="J648">
        <v>806.59961600221595</v>
      </c>
      <c r="K648">
        <v>2.1802102363481675</v>
      </c>
      <c r="L648">
        <v>0.89040161040226218</v>
      </c>
      <c r="M648">
        <v>74851.022303316902</v>
      </c>
      <c r="N648">
        <v>292.90710249598561</v>
      </c>
    </row>
    <row r="649" spans="2:14">
      <c r="B649">
        <v>604</v>
      </c>
      <c r="C649">
        <v>12.177094875184515</v>
      </c>
      <c r="D649" s="10">
        <v>5.5914869880668627E-2</v>
      </c>
      <c r="E649">
        <v>21.379761880682636</v>
      </c>
      <c r="F649">
        <v>0</v>
      </c>
      <c r="G649">
        <v>-9.8328055731676685</v>
      </c>
      <c r="H649">
        <v>11.734986103930938</v>
      </c>
      <c r="I649">
        <v>1206.8338194074956</v>
      </c>
      <c r="J649">
        <v>806.83381940749564</v>
      </c>
      <c r="K649">
        <v>2.1802102363481675</v>
      </c>
      <c r="L649">
        <v>0.89035322315225729</v>
      </c>
      <c r="M649">
        <v>74846.565660089196</v>
      </c>
      <c r="N649">
        <v>292.90558017385126</v>
      </c>
    </row>
    <row r="650" spans="2:14">
      <c r="B650">
        <v>605</v>
      </c>
      <c r="C650">
        <v>12.197222304730275</v>
      </c>
      <c r="D650" s="10">
        <v>5.4042056435057349E-2</v>
      </c>
      <c r="E650">
        <v>21.379760335830095</v>
      </c>
      <c r="F650">
        <v>0</v>
      </c>
      <c r="G650">
        <v>-9.8319310648077085</v>
      </c>
      <c r="H650">
        <v>11.537094604125254</v>
      </c>
      <c r="I650">
        <v>1207.0640399426929</v>
      </c>
      <c r="J650">
        <v>807.06403994269294</v>
      </c>
      <c r="K650">
        <v>2.1802102363481675</v>
      </c>
      <c r="L650">
        <v>0.89030566110249798</v>
      </c>
      <c r="M650">
        <v>74842.1850433449</v>
      </c>
      <c r="N650">
        <v>292.90408374037247</v>
      </c>
    </row>
    <row r="651" spans="2:14">
      <c r="B651">
        <v>606</v>
      </c>
      <c r="C651">
        <v>12.217349734276034</v>
      </c>
      <c r="D651" s="10">
        <v>5.2201448482245533E-2</v>
      </c>
      <c r="E651">
        <v>21.379758817701717</v>
      </c>
      <c r="F651">
        <v>0</v>
      </c>
      <c r="G651">
        <v>-9.8310713503329747</v>
      </c>
      <c r="H651">
        <v>11.33922040816209</v>
      </c>
      <c r="I651">
        <v>1207.290277953093</v>
      </c>
      <c r="J651">
        <v>807.29027795309298</v>
      </c>
      <c r="K651">
        <v>2.1802102363481675</v>
      </c>
      <c r="L651">
        <v>0.89025892406191087</v>
      </c>
      <c r="M651">
        <v>74837.880434324979</v>
      </c>
      <c r="N651">
        <v>292.90261319330489</v>
      </c>
    </row>
    <row r="652" spans="2:14">
      <c r="B652">
        <v>607</v>
      </c>
      <c r="C652">
        <v>12.237477163821794</v>
      </c>
      <c r="D652" s="10">
        <v>5.0393024837260346E-2</v>
      </c>
      <c r="E652">
        <v>21.379757326295216</v>
      </c>
      <c r="F652">
        <v>0</v>
      </c>
      <c r="G652">
        <v>-9.8302264198531155</v>
      </c>
      <c r="H652">
        <v>11.141363218477631</v>
      </c>
      <c r="I652">
        <v>1207.5125337779939</v>
      </c>
      <c r="J652">
        <v>807.51253377799389</v>
      </c>
      <c r="K652">
        <v>2.1802102363481675</v>
      </c>
      <c r="L652">
        <v>0.8902130118427547</v>
      </c>
      <c r="M652">
        <v>74833.651814597673</v>
      </c>
      <c r="N652">
        <v>292.90116853044304</v>
      </c>
    </row>
    <row r="653" spans="2:14">
      <c r="B653">
        <v>608</v>
      </c>
      <c r="C653">
        <v>12.257604593367553</v>
      </c>
      <c r="D653" s="10">
        <v>4.8616764690385797E-2</v>
      </c>
      <c r="E653">
        <v>21.379755861608349</v>
      </c>
      <c r="F653">
        <v>0</v>
      </c>
      <c r="G653">
        <v>-9.8293962636501444</v>
      </c>
      <c r="H653">
        <v>10.943522737703658</v>
      </c>
      <c r="I653">
        <v>1207.7308077507105</v>
      </c>
      <c r="J653">
        <v>807.73080775071048</v>
      </c>
      <c r="K653">
        <v>2.1802102363481675</v>
      </c>
      <c r="L653">
        <v>0.89016792426061442</v>
      </c>
      <c r="M653">
        <v>74829.49916605794</v>
      </c>
      <c r="N653">
        <v>292.89974974962036</v>
      </c>
    </row>
    <row r="654" spans="2:14">
      <c r="B654">
        <v>609</v>
      </c>
      <c r="C654">
        <v>12.277732022913312</v>
      </c>
      <c r="D654" s="10">
        <v>4.6872647606684519E-2</v>
      </c>
      <c r="E654">
        <v>21.379754423638911</v>
      </c>
      <c r="F654">
        <v>0</v>
      </c>
      <c r="G654">
        <v>-9.8285808721782111</v>
      </c>
      <c r="H654">
        <v>10.745698668664089</v>
      </c>
      <c r="I654">
        <v>1207.9451001985778</v>
      </c>
      <c r="J654">
        <v>807.94510019857785</v>
      </c>
      <c r="K654">
        <v>2.1802102363481675</v>
      </c>
      <c r="L654">
        <v>0.89012366113440267</v>
      </c>
      <c r="M654">
        <v>74825.422470927631</v>
      </c>
      <c r="N654">
        <v>292.89835684870923</v>
      </c>
    </row>
    <row r="655" spans="2:14">
      <c r="B655">
        <v>610</v>
      </c>
      <c r="C655">
        <v>12.297859452459072</v>
      </c>
      <c r="D655" s="10">
        <v>4.5160653525528033E-2</v>
      </c>
      <c r="E655">
        <v>21.379753012384736</v>
      </c>
      <c r="F655">
        <v>0</v>
      </c>
      <c r="G655">
        <v>-9.8277802360633828</v>
      </c>
      <c r="H655">
        <v>10.547890714371514</v>
      </c>
      <c r="I655">
        <v>1208.1554114429559</v>
      </c>
      <c r="J655">
        <v>808.15541144295594</v>
      </c>
      <c r="K655">
        <v>2.1802102363481675</v>
      </c>
      <c r="L655">
        <v>0.89008022228635475</v>
      </c>
      <c r="M655">
        <v>74821.421711754912</v>
      </c>
      <c r="N655">
        <v>292.89698982562078</v>
      </c>
    </row>
    <row r="656" spans="2:14">
      <c r="B656">
        <v>611</v>
      </c>
      <c r="C656">
        <v>12.317986882004831</v>
      </c>
      <c r="D656" s="10">
        <v>4.3480762760135773E-2</v>
      </c>
      <c r="E656">
        <v>21.379751627843699</v>
      </c>
      <c r="F656">
        <v>0</v>
      </c>
      <c r="G656">
        <v>-9.8269943461034295</v>
      </c>
      <c r="H656">
        <v>10.350098578023738</v>
      </c>
      <c r="I656">
        <v>1208.3617417992323</v>
      </c>
      <c r="J656">
        <v>808.36174179923228</v>
      </c>
      <c r="K656">
        <v>2.1802102363481675</v>
      </c>
      <c r="L656">
        <v>0.8900376075420271</v>
      </c>
      <c r="M656">
        <v>74817.496871414187</v>
      </c>
      <c r="N656">
        <v>292.89564867830501</v>
      </c>
    </row>
    <row r="657" spans="2:14">
      <c r="B657">
        <v>612</v>
      </c>
      <c r="C657">
        <v>12.338114311550591</v>
      </c>
      <c r="D657" s="10">
        <v>4.1832955997123014E-2</v>
      </c>
      <c r="E657">
        <v>21.379750270013719</v>
      </c>
      <c r="F657">
        <v>0</v>
      </c>
      <c r="G657">
        <v>-9.8262231932676158</v>
      </c>
      <c r="H657">
        <v>10.152321963000334</v>
      </c>
      <c r="I657">
        <v>1208.5640915768261</v>
      </c>
      <c r="J657">
        <v>808.56409157682606</v>
      </c>
      <c r="K657">
        <v>2.1802102363481675</v>
      </c>
      <c r="L657">
        <v>0.88999581673029693</v>
      </c>
      <c r="M657">
        <v>74813.647933105996</v>
      </c>
      <c r="N657">
        <v>292.89433340475063</v>
      </c>
    </row>
    <row r="658" spans="2:14">
      <c r="B658">
        <v>613</v>
      </c>
      <c r="C658">
        <v>12.35824174109635</v>
      </c>
      <c r="D658" s="10">
        <v>4.0217214296057374E-2</v>
      </c>
      <c r="E658">
        <v>21.379748938892746</v>
      </c>
      <c r="F658">
        <v>0</v>
      </c>
      <c r="G658">
        <v>-9.8254667686964918</v>
      </c>
      <c r="H658">
        <v>9.9545605728591919</v>
      </c>
      <c r="I658">
        <v>1208.7624610791918</v>
      </c>
      <c r="J658">
        <v>808.76246107919178</v>
      </c>
      <c r="K658">
        <v>2.1802102363481675</v>
      </c>
      <c r="L658">
        <v>0.88995484968336047</v>
      </c>
      <c r="M658">
        <v>74809.874880356874</v>
      </c>
      <c r="N658">
        <v>292.89304400298528</v>
      </c>
    </row>
    <row r="659" spans="2:14">
      <c r="B659">
        <v>614</v>
      </c>
      <c r="C659">
        <v>12.37836917064211</v>
      </c>
      <c r="D659" s="10">
        <v>3.8633519089023884E-2</v>
      </c>
      <c r="E659">
        <v>21.379747634478786</v>
      </c>
      <c r="F659">
        <v>0</v>
      </c>
      <c r="G659">
        <v>-9.8247250637016794</v>
      </c>
      <c r="H659">
        <v>9.7568141113330764</v>
      </c>
      <c r="I659">
        <v>1208.9568506038227</v>
      </c>
      <c r="J659">
        <v>808.95685060382266</v>
      </c>
      <c r="K659">
        <v>2.1802102363481675</v>
      </c>
      <c r="L659">
        <v>0.88991470623672886</v>
      </c>
      <c r="M659">
        <v>74806.177697018895</v>
      </c>
      <c r="N659">
        <v>292.89178047107515</v>
      </c>
    </row>
    <row r="660" spans="2:14">
      <c r="B660">
        <v>615</v>
      </c>
      <c r="C660">
        <v>12.398496600187869</v>
      </c>
      <c r="D660" s="10">
        <v>3.7081852180198854E-2</v>
      </c>
      <c r="E660">
        <v>21.379746356769868</v>
      </c>
      <c r="F660">
        <v>0</v>
      </c>
      <c r="G660">
        <v>-9.8239980697656968</v>
      </c>
      <c r="H660">
        <v>9.5590822823261874</v>
      </c>
      <c r="I660">
        <v>1209.1472604422536</v>
      </c>
      <c r="J660">
        <v>809.14726044225358</v>
      </c>
      <c r="K660">
        <v>2.1802102363481675</v>
      </c>
      <c r="L660">
        <v>0.88987538622922757</v>
      </c>
      <c r="M660">
        <v>74802.556367269717</v>
      </c>
      <c r="N660">
        <v>292.89054280712537</v>
      </c>
    </row>
    <row r="661" spans="2:14">
      <c r="B661">
        <v>616</v>
      </c>
      <c r="C661">
        <v>12.418624029733628</v>
      </c>
      <c r="D661" s="10">
        <v>3.556219574543238E-2</v>
      </c>
      <c r="E661">
        <v>21.379745105764069</v>
      </c>
      <c r="F661">
        <v>0</v>
      </c>
      <c r="G661">
        <v>-9.8232857785417345</v>
      </c>
      <c r="H661">
        <v>9.3613647899107253</v>
      </c>
      <c r="I661">
        <v>1209.3336908800654</v>
      </c>
      <c r="J661">
        <v>809.33369088006543</v>
      </c>
      <c r="K661">
        <v>2.1802102363481675</v>
      </c>
      <c r="L661">
        <v>0.889836889502994</v>
      </c>
      <c r="M661">
        <v>74799.010875612221</v>
      </c>
      <c r="N661">
        <v>292.8893310092796</v>
      </c>
    </row>
    <row r="662" spans="2:14">
      <c r="B662">
        <v>617</v>
      </c>
      <c r="C662">
        <v>12.438751459279388</v>
      </c>
      <c r="D662" s="10">
        <v>3.4074532331839408E-2</v>
      </c>
      <c r="E662">
        <v>21.379743881459508</v>
      </c>
      <c r="F662">
        <v>0</v>
      </c>
      <c r="G662">
        <v>-9.8225881818534848</v>
      </c>
      <c r="H662">
        <v>9.1636613383234575</v>
      </c>
      <c r="I662">
        <v>1209.5161421968874</v>
      </c>
      <c r="J662">
        <v>809.51614219688736</v>
      </c>
      <c r="K662">
        <v>2.1802102363481675</v>
      </c>
      <c r="L662">
        <v>0.8897992159034761</v>
      </c>
      <c r="M662">
        <v>74795.541206874434</v>
      </c>
      <c r="N662">
        <v>292.88814507572022</v>
      </c>
    </row>
    <row r="663" spans="2:14">
      <c r="B663">
        <v>618</v>
      </c>
      <c r="C663">
        <v>12.458878888825147</v>
      </c>
      <c r="D663" s="10">
        <v>3.2618844857399562E-2</v>
      </c>
      <c r="E663">
        <v>21.379742683854335</v>
      </c>
      <c r="F663">
        <v>0</v>
      </c>
      <c r="G663">
        <v>-9.8219052716949449</v>
      </c>
      <c r="H663">
        <v>8.965971631962292</v>
      </c>
      <c r="I663">
        <v>1209.6946146664006</v>
      </c>
      <c r="J663">
        <v>809.69461466640064</v>
      </c>
      <c r="K663">
        <v>2.1802102363481675</v>
      </c>
      <c r="L663">
        <v>0.88976236527943231</v>
      </c>
      <c r="M663">
        <v>74792.147346209516</v>
      </c>
      <c r="N663">
        <v>292.88698500466842</v>
      </c>
    </row>
    <row r="664" spans="2:14">
      <c r="B664">
        <v>619</v>
      </c>
      <c r="C664">
        <v>12.479006318370907</v>
      </c>
      <c r="D664" s="10">
        <v>3.1195116610565312E-2</v>
      </c>
      <c r="E664">
        <v>21.379741512946758</v>
      </c>
      <c r="F664">
        <v>0</v>
      </c>
      <c r="G664">
        <v>-9.8212370402302334</v>
      </c>
      <c r="H664">
        <v>8.7682953753828521</v>
      </c>
      <c r="I664">
        <v>1209.8691085563414</v>
      </c>
      <c r="J664">
        <v>809.86910855634142</v>
      </c>
      <c r="K664">
        <v>2.1802102363481675</v>
      </c>
      <c r="L664">
        <v>0.88972633748292695</v>
      </c>
      <c r="M664">
        <v>74788.829279095269</v>
      </c>
      <c r="N664">
        <v>292.88585079438377</v>
      </c>
    </row>
    <row r="665" spans="2:14">
      <c r="B665">
        <v>620</v>
      </c>
      <c r="C665">
        <v>12.499133747916666</v>
      </c>
      <c r="D665" s="10">
        <v>2.980333124987886E-2</v>
      </c>
      <c r="E665">
        <v>21.379740368735007</v>
      </c>
      <c r="F665">
        <v>0</v>
      </c>
      <c r="G665">
        <v>-9.8205834797934202</v>
      </c>
      <c r="H665">
        <v>8.5706322732950575</v>
      </c>
      <c r="I665">
        <v>1210.0396241285043</v>
      </c>
      <c r="J665">
        <v>810.03962412850433</v>
      </c>
      <c r="K665">
        <v>2.1802102363481675</v>
      </c>
      <c r="L665">
        <v>0.88969113236932773</v>
      </c>
      <c r="M665">
        <v>74785.586991333985</v>
      </c>
      <c r="N665">
        <v>292.88474244316473</v>
      </c>
    </row>
    <row r="666" spans="2:14">
      <c r="B666">
        <v>621</v>
      </c>
      <c r="C666">
        <v>12.519261177462425</v>
      </c>
      <c r="D666" s="10">
        <v>2.8443472803597852E-2</v>
      </c>
      <c r="E666">
        <v>21.379739251217355</v>
      </c>
      <c r="F666">
        <v>0</v>
      </c>
      <c r="G666">
        <v>-9.8199445828883363</v>
      </c>
      <c r="H666">
        <v>8.372982030559708</v>
      </c>
      <c r="I666">
        <v>1210.2061616387446</v>
      </c>
      <c r="J666">
        <v>810.20616163874456</v>
      </c>
      <c r="K666">
        <v>2.1802102363481675</v>
      </c>
      <c r="L666">
        <v>0.88965674979731113</v>
      </c>
      <c r="M666">
        <v>74782.420469052784</v>
      </c>
      <c r="N666">
        <v>292.88365994934816</v>
      </c>
    </row>
    <row r="667" spans="2:14">
      <c r="B667">
        <v>622</v>
      </c>
      <c r="C667">
        <v>12.539388607008185</v>
      </c>
      <c r="D667" s="10">
        <v>2.7115525669328962E-2</v>
      </c>
      <c r="E667">
        <v>21.379738160392126</v>
      </c>
      <c r="F667">
        <v>0</v>
      </c>
      <c r="G667">
        <v>-9.8193203421884068</v>
      </c>
      <c r="H667">
        <v>8.1753443521850659</v>
      </c>
      <c r="I667">
        <v>1210.3687213369819</v>
      </c>
      <c r="J667">
        <v>810.36872133698193</v>
      </c>
      <c r="K667">
        <v>2.1802102363481675</v>
      </c>
      <c r="L667">
        <v>0.8896231896288499</v>
      </c>
      <c r="M667">
        <v>74779.329698702611</v>
      </c>
      <c r="N667">
        <v>292.88260331130959</v>
      </c>
    </row>
    <row r="668" spans="2:14">
      <c r="B668">
        <v>623</v>
      </c>
      <c r="C668">
        <v>12.559516036553944</v>
      </c>
      <c r="D668" s="10">
        <v>2.5819474613670824E-2</v>
      </c>
      <c r="E668">
        <v>21.379737096257674</v>
      </c>
      <c r="F668">
        <v>0</v>
      </c>
      <c r="G668">
        <v>-9.818710750536491</v>
      </c>
      <c r="H668">
        <v>7.977718943323449</v>
      </c>
      <c r="I668">
        <v>1210.527303467203</v>
      </c>
      <c r="J668">
        <v>810.52730346720296</v>
      </c>
      <c r="K668">
        <v>2.1802102363481675</v>
      </c>
      <c r="L668">
        <v>0.88959045172922213</v>
      </c>
      <c r="M668">
        <v>74776.314667058949</v>
      </c>
      <c r="N668">
        <v>292.88157252746316</v>
      </c>
    </row>
    <row r="669" spans="2:14">
      <c r="B669">
        <v>624</v>
      </c>
      <c r="C669">
        <v>12.579643466099704</v>
      </c>
      <c r="D669" s="10">
        <v>2.4555304771864867E-2</v>
      </c>
      <c r="E669">
        <v>21.379736058812394</v>
      </c>
      <c r="F669">
        <v>0</v>
      </c>
      <c r="G669">
        <v>-9.8181158009447103</v>
      </c>
      <c r="H669">
        <v>7.7801055092678242</v>
      </c>
      <c r="I669">
        <v>1210.6819082674638</v>
      </c>
      <c r="J669">
        <v>810.68190826746377</v>
      </c>
      <c r="K669">
        <v>2.1802102363481675</v>
      </c>
      <c r="L669">
        <v>0.88955853596700396</v>
      </c>
      <c r="M669">
        <v>74773.375361221144</v>
      </c>
      <c r="N669">
        <v>292.88056759626147</v>
      </c>
    </row>
    <row r="670" spans="2:14">
      <c r="B670">
        <v>625</v>
      </c>
      <c r="C670">
        <v>12.599770895645463</v>
      </c>
      <c r="D670" s="10">
        <v>2.332300164745485E-2</v>
      </c>
      <c r="E670">
        <v>21.379735048054727</v>
      </c>
      <c r="F670">
        <v>0</v>
      </c>
      <c r="G670">
        <v>-9.8175354865942897</v>
      </c>
      <c r="H670">
        <v>7.5825037554484016</v>
      </c>
      <c r="I670">
        <v>1210.8325359698929</v>
      </c>
      <c r="J670">
        <v>810.83253596989289</v>
      </c>
      <c r="K670">
        <v>2.1802102363481675</v>
      </c>
      <c r="L670">
        <v>0.88952744221406588</v>
      </c>
      <c r="M670">
        <v>74770.511768612152</v>
      </c>
      <c r="N670">
        <v>292.87958851619572</v>
      </c>
    </row>
    <row r="671" spans="2:14">
      <c r="B671">
        <v>626</v>
      </c>
      <c r="C671">
        <v>12.619898325191222</v>
      </c>
      <c r="D671" s="10">
        <v>2.212255111195513E-2</v>
      </c>
      <c r="E671">
        <v>21.379734063983143</v>
      </c>
      <c r="F671">
        <v>0</v>
      </c>
      <c r="G671">
        <v>-9.8169698008354054</v>
      </c>
      <c r="H671">
        <v>7.3849133874292363</v>
      </c>
      <c r="I671">
        <v>1210.9791868006944</v>
      </c>
      <c r="J671">
        <v>810.97918680069438</v>
      </c>
      <c r="K671">
        <v>2.1802102363481675</v>
      </c>
      <c r="L671">
        <v>0.88949717034557985</v>
      </c>
      <c r="M671">
        <v>74767.723876978984</v>
      </c>
      <c r="N671">
        <v>292.8786352857955</v>
      </c>
    </row>
    <row r="672" spans="2:14">
      <c r="B672">
        <v>627</v>
      </c>
      <c r="C672">
        <v>12.640025754736982</v>
      </c>
      <c r="D672" s="10">
        <v>2.0953939404526924E-2</v>
      </c>
      <c r="E672">
        <v>21.379733106596163</v>
      </c>
      <c r="F672">
        <v>0</v>
      </c>
      <c r="G672">
        <v>-9.8164187371870231</v>
      </c>
      <c r="H672">
        <v>7.1873341109048292</v>
      </c>
      <c r="I672">
        <v>1211.1218609801494</v>
      </c>
      <c r="J672">
        <v>811.12186098014945</v>
      </c>
      <c r="K672">
        <v>2.1802102363481675</v>
      </c>
      <c r="L672">
        <v>0.88946772024000709</v>
      </c>
      <c r="M672">
        <v>74765.011674391804</v>
      </c>
      <c r="N672">
        <v>292.87770790362902</v>
      </c>
    </row>
    <row r="673" spans="2:14">
      <c r="B673">
        <v>628</v>
      </c>
      <c r="C673">
        <v>12.660153184282741</v>
      </c>
      <c r="D673" s="10">
        <v>1.9817153131663535E-2</v>
      </c>
      <c r="E673">
        <v>21.379732175892347</v>
      </c>
      <c r="F673">
        <v>0</v>
      </c>
      <c r="G673">
        <v>-9.815882289336761</v>
      </c>
      <c r="H673">
        <v>6.9897656316967334</v>
      </c>
      <c r="I673">
        <v>1211.2605587226199</v>
      </c>
      <c r="J673">
        <v>811.26055872261986</v>
      </c>
      <c r="K673">
        <v>2.1802102363481675</v>
      </c>
      <c r="L673">
        <v>0.88943909177910674</v>
      </c>
      <c r="M673">
        <v>74762.375149244559</v>
      </c>
      <c r="N673">
        <v>292.87680636830299</v>
      </c>
    </row>
    <row r="674" spans="2:14">
      <c r="B674">
        <v>629</v>
      </c>
      <c r="C674">
        <v>12.680280613828501</v>
      </c>
      <c r="D674" s="10">
        <v>1.8712179266883656E-2</v>
      </c>
      <c r="E674">
        <v>21.379731271870277</v>
      </c>
      <c r="F674">
        <v>0</v>
      </c>
      <c r="G674">
        <v>-9.8153604511407408</v>
      </c>
      <c r="H674">
        <v>6.7922076557501621</v>
      </c>
      <c r="I674">
        <v>1211.3952802365502</v>
      </c>
      <c r="J674">
        <v>811.39528023655021</v>
      </c>
      <c r="K674">
        <v>2.1802102363481675</v>
      </c>
      <c r="L674">
        <v>0.88941128484792698</v>
      </c>
      <c r="M674">
        <v>74759.814290254159</v>
      </c>
      <c r="N674">
        <v>292.8759306784624</v>
      </c>
    </row>
    <row r="675" spans="2:14">
      <c r="B675">
        <v>630</v>
      </c>
      <c r="C675">
        <v>12.70040804337426</v>
      </c>
      <c r="D675" s="10">
        <v>1.7639005150433332E-2</v>
      </c>
      <c r="E675">
        <v>21.379730394528604</v>
      </c>
      <c r="F675">
        <v>0</v>
      </c>
      <c r="G675">
        <v>-9.8148532166234403</v>
      </c>
      <c r="H675">
        <v>6.5946598891306003</v>
      </c>
      <c r="I675">
        <v>1211.5260257244697</v>
      </c>
      <c r="J675">
        <v>811.52602572446972</v>
      </c>
      <c r="K675">
        <v>2.1802102363481675</v>
      </c>
      <c r="L675">
        <v>0.88938429933480856</v>
      </c>
      <c r="M675">
        <v>74757.329086460901</v>
      </c>
      <c r="N675">
        <v>292.87508083279096</v>
      </c>
    </row>
    <row r="676" spans="2:14">
      <c r="B676">
        <v>631</v>
      </c>
      <c r="C676">
        <v>12.72053547292002</v>
      </c>
      <c r="D676" s="10">
        <v>1.6597618488996258E-2</v>
      </c>
      <c r="E676">
        <v>21.379729543865995</v>
      </c>
      <c r="F676">
        <v>0</v>
      </c>
      <c r="G676">
        <v>-9.8143605799775706</v>
      </c>
      <c r="H676">
        <v>6.3971220380204201</v>
      </c>
      <c r="I676">
        <v>1211.6527953829952</v>
      </c>
      <c r="J676">
        <v>811.65279538299524</v>
      </c>
      <c r="K676">
        <v>2.1802102363481675</v>
      </c>
      <c r="L676">
        <v>0.88935813513138073</v>
      </c>
      <c r="M676">
        <v>74754.919527227918</v>
      </c>
      <c r="N676">
        <v>292.87425683001055</v>
      </c>
    </row>
    <row r="677" spans="2:14">
      <c r="B677">
        <v>632</v>
      </c>
      <c r="C677">
        <v>12.740662902465779</v>
      </c>
      <c r="D677" s="10">
        <v>1.5588007355412504E-2</v>
      </c>
      <c r="E677">
        <v>21.379728719881165</v>
      </c>
      <c r="F677">
        <v>0</v>
      </c>
      <c r="G677">
        <v>-9.8138825355639305</v>
      </c>
      <c r="H677">
        <v>6.1995938087154956</v>
      </c>
      <c r="I677">
        <v>1211.7755894028332</v>
      </c>
      <c r="J677">
        <v>811.77558940283325</v>
      </c>
      <c r="K677">
        <v>2.1802102363481675</v>
      </c>
      <c r="L677">
        <v>0.88933279213256056</v>
      </c>
      <c r="M677">
        <v>74752.585602241248</v>
      </c>
      <c r="N677">
        <v>292.8734586688816</v>
      </c>
    </row>
    <row r="678" spans="2:14">
      <c r="B678">
        <v>633</v>
      </c>
      <c r="C678">
        <v>12.760790332011538</v>
      </c>
      <c r="D678" s="10">
        <v>1.4610160188405689E-2</v>
      </c>
      <c r="E678">
        <v>21.379727922572876</v>
      </c>
      <c r="F678">
        <v>0</v>
      </c>
      <c r="G678">
        <v>-9.8134190779112842</v>
      </c>
      <c r="H678">
        <v>6.0020749076218216</v>
      </c>
      <c r="I678">
        <v>1211.8944079687819</v>
      </c>
      <c r="J678">
        <v>811.89440796878193</v>
      </c>
      <c r="K678">
        <v>2.1802102363481675</v>
      </c>
      <c r="L678">
        <v>0.88930827023655301</v>
      </c>
      <c r="M678">
        <v>74750.32730150978</v>
      </c>
      <c r="N678">
        <v>292.87268634820293</v>
      </c>
    </row>
    <row r="679" spans="2:14">
      <c r="B679">
        <v>634</v>
      </c>
      <c r="C679">
        <v>12.780917761557298</v>
      </c>
      <c r="D679" s="10">
        <v>1.3664065792318511E-2</v>
      </c>
      <c r="E679">
        <v>21.379727151939917</v>
      </c>
      <c r="F679">
        <v>0</v>
      </c>
      <c r="G679">
        <v>-9.8129702017162366</v>
      </c>
      <c r="H679">
        <v>5.8045650412521388</v>
      </c>
      <c r="I679">
        <v>1212.0092512597334</v>
      </c>
      <c r="J679">
        <v>812.00925125973345</v>
      </c>
      <c r="K679">
        <v>2.1802102363481675</v>
      </c>
      <c r="L679">
        <v>0.8892845693448489</v>
      </c>
      <c r="M679">
        <v>74748.144615365018</v>
      </c>
      <c r="N679">
        <v>292.87193986681172</v>
      </c>
    </row>
    <row r="680" spans="2:14">
      <c r="B680">
        <v>635</v>
      </c>
      <c r="C680">
        <v>12.801045191103057</v>
      </c>
      <c r="D680" s="10">
        <v>1.274971333685665E-2</v>
      </c>
      <c r="E680">
        <v>21.379726407981128</v>
      </c>
      <c r="F680">
        <v>0</v>
      </c>
      <c r="G680">
        <v>-9.8125359018431055</v>
      </c>
      <c r="H680">
        <v>5.607063916222554</v>
      </c>
      <c r="I680">
        <v>1212.1201194486762</v>
      </c>
      <c r="J680">
        <v>812.12011944867618</v>
      </c>
      <c r="K680">
        <v>2.1802102363481675</v>
      </c>
      <c r="L680">
        <v>0.88926168936222394</v>
      </c>
      <c r="M680">
        <v>74746.037534461051</v>
      </c>
      <c r="N680">
        <v>292.87121922358358</v>
      </c>
    </row>
    <row r="681" spans="2:14">
      <c r="B681">
        <v>636</v>
      </c>
      <c r="C681">
        <v>12.821172620648817</v>
      </c>
      <c r="D681" s="10">
        <v>1.1867092356841075E-2</v>
      </c>
      <c r="E681">
        <v>21.379725690695381</v>
      </c>
      <c r="F681">
        <v>0</v>
      </c>
      <c r="G681">
        <v>-9.8121161733238118</v>
      </c>
      <c r="H681">
        <v>5.4095712392491695</v>
      </c>
      <c r="I681">
        <v>1212.2270127026961</v>
      </c>
      <c r="J681">
        <v>812.22701270269613</v>
      </c>
      <c r="K681">
        <v>2.1802102363481675</v>
      </c>
      <c r="L681">
        <v>0.88923963019673646</v>
      </c>
      <c r="M681">
        <v>74744.006049774311</v>
      </c>
      <c r="N681">
        <v>292.87052441743248</v>
      </c>
    </row>
    <row r="682" spans="2:14">
      <c r="B682">
        <v>637</v>
      </c>
      <c r="C682">
        <v>12.841300050194576</v>
      </c>
      <c r="D682" s="10">
        <v>1.1016192751968698E-2</v>
      </c>
      <c r="E682">
        <v>21.379725000081589</v>
      </c>
      <c r="F682">
        <v>0</v>
      </c>
      <c r="G682">
        <v>-9.8117110113577617</v>
      </c>
      <c r="H682">
        <v>5.2120867171447109</v>
      </c>
      <c r="I682">
        <v>1212.3299311829794</v>
      </c>
      <c r="J682">
        <v>812.32993118297941</v>
      </c>
      <c r="K682">
        <v>2.1802102363481675</v>
      </c>
      <c r="L682">
        <v>0.88921839175972694</v>
      </c>
      <c r="M682">
        <v>74742.050152603479</v>
      </c>
      <c r="N682">
        <v>292.86985544731061</v>
      </c>
    </row>
    <row r="683" spans="2:14">
      <c r="B683">
        <v>638</v>
      </c>
      <c r="C683">
        <v>12.861427479740335</v>
      </c>
      <c r="D683" s="10">
        <v>1.0197004786581459E-2</v>
      </c>
      <c r="E683">
        <v>21.379724336138711</v>
      </c>
      <c r="F683">
        <v>0</v>
      </c>
      <c r="G683">
        <v>-9.8113204113117352</v>
      </c>
      <c r="H683">
        <v>5.0146100568151599</v>
      </c>
      <c r="I683">
        <v>1212.4288750448136</v>
      </c>
      <c r="J683">
        <v>812.42887504481359</v>
      </c>
      <c r="K683">
        <v>2.1802102363481675</v>
      </c>
      <c r="L683">
        <v>0.88919797396582079</v>
      </c>
      <c r="M683">
        <v>74740.169834569781</v>
      </c>
      <c r="N683">
        <v>292.86921231220873</v>
      </c>
    </row>
    <row r="684" spans="2:14">
      <c r="B684">
        <v>639</v>
      </c>
      <c r="C684">
        <v>12.881554909286095</v>
      </c>
      <c r="D684" s="10">
        <v>9.4095190894435826E-3</v>
      </c>
      <c r="E684">
        <v>21.379723698865732</v>
      </c>
      <c r="F684">
        <v>0</v>
      </c>
      <c r="G684">
        <v>-9.8109443687197881</v>
      </c>
      <c r="H684">
        <v>4.8171409652563844</v>
      </c>
      <c r="I684">
        <v>1212.5238444375898</v>
      </c>
      <c r="J684">
        <v>812.52384443758979</v>
      </c>
      <c r="K684">
        <v>2.1802102363481675</v>
      </c>
      <c r="L684">
        <v>0.88917837673292188</v>
      </c>
      <c r="M684">
        <v>74738.365087616345</v>
      </c>
      <c r="N684">
        <v>292.86859501115566</v>
      </c>
    </row>
    <row r="685" spans="2:14">
      <c r="B685">
        <v>640</v>
      </c>
      <c r="C685">
        <v>12.901682338831854</v>
      </c>
      <c r="D685" s="10">
        <v>8.653726653527323E-3</v>
      </c>
      <c r="E685">
        <v>21.379723088261692</v>
      </c>
      <c r="F685">
        <v>0</v>
      </c>
      <c r="G685">
        <v>-9.8105828792831371</v>
      </c>
      <c r="H685">
        <v>4.6196791495507767</v>
      </c>
      <c r="I685">
        <v>1212.6148395048046</v>
      </c>
      <c r="J685">
        <v>812.61483950480465</v>
      </c>
      <c r="K685">
        <v>2.1802102363481675</v>
      </c>
      <c r="L685">
        <v>0.88915959998221206</v>
      </c>
      <c r="M685">
        <v>74736.635904008232</v>
      </c>
      <c r="N685">
        <v>292.86800354321878</v>
      </c>
    </row>
    <row r="686" spans="2:14">
      <c r="B686">
        <v>641</v>
      </c>
      <c r="C686">
        <v>12.921809768377614</v>
      </c>
      <c r="D686" s="10">
        <v>7.9296188358070341E-3</v>
      </c>
      <c r="E686">
        <v>21.379722504325663</v>
      </c>
      <c r="F686">
        <v>0</v>
      </c>
      <c r="G686">
        <v>-9.8102359388700773</v>
      </c>
      <c r="H686">
        <v>4.4222243168638897</v>
      </c>
      <c r="I686">
        <v>1212.7018603840611</v>
      </c>
      <c r="J686">
        <v>812.70186038406109</v>
      </c>
      <c r="K686">
        <v>2.1802102363481675</v>
      </c>
      <c r="L686">
        <v>0.88914164363815607</v>
      </c>
      <c r="M686">
        <v>74734.982276332754</v>
      </c>
      <c r="N686">
        <v>292.86743790750359</v>
      </c>
    </row>
    <row r="687" spans="2:14">
      <c r="B687">
        <v>642</v>
      </c>
      <c r="C687">
        <v>12.941937197923373</v>
      </c>
      <c r="D687" s="10">
        <v>7.2371873570614316E-3</v>
      </c>
      <c r="E687">
        <v>21.379721947056758</v>
      </c>
      <c r="F687">
        <v>0</v>
      </c>
      <c r="G687">
        <v>-9.8099035435158743</v>
      </c>
      <c r="H687">
        <v>4.2247761744410752</v>
      </c>
      <c r="I687">
        <v>1212.784907207071</v>
      </c>
      <c r="J687">
        <v>812.784907207071</v>
      </c>
      <c r="K687">
        <v>2.1802102363481675</v>
      </c>
      <c r="L687">
        <v>0.88912450762849249</v>
      </c>
      <c r="M687">
        <v>74733.404197498749</v>
      </c>
      <c r="N687">
        <v>292.86689810315403</v>
      </c>
    </row>
    <row r="688" spans="2:14">
      <c r="B688">
        <v>643</v>
      </c>
      <c r="C688">
        <v>12.962064627469132</v>
      </c>
      <c r="D688" s="10">
        <v>6.5764243016843277E-3</v>
      </c>
      <c r="E688">
        <v>21.379721416454132</v>
      </c>
      <c r="F688">
        <v>0</v>
      </c>
      <c r="G688">
        <v>-9.8095856894226792</v>
      </c>
      <c r="H688">
        <v>4.0273344296041271</v>
      </c>
      <c r="I688">
        <v>1212.8639800996557</v>
      </c>
      <c r="J688">
        <v>812.86398009965569</v>
      </c>
      <c r="K688">
        <v>2.1802102363481675</v>
      </c>
      <c r="L688">
        <v>0.88910819188423951</v>
      </c>
      <c r="M688">
        <v>74731.901660737043</v>
      </c>
      <c r="N688">
        <v>292.86638412935224</v>
      </c>
    </row>
    <row r="689" spans="2:14">
      <c r="B689">
        <v>644</v>
      </c>
      <c r="C689">
        <v>12.982192057014892</v>
      </c>
      <c r="D689" s="10">
        <v>5.9473221175035656E-3</v>
      </c>
      <c r="E689">
        <v>21.379720912516969</v>
      </c>
      <c r="F689">
        <v>0</v>
      </c>
      <c r="G689">
        <v>-9.8092823729594407</v>
      </c>
      <c r="H689">
        <v>3.8298987897479231</v>
      </c>
      <c r="I689">
        <v>1212.9390791817482</v>
      </c>
      <c r="J689">
        <v>812.93907918174818</v>
      </c>
      <c r="K689">
        <v>2.1802102363481675</v>
      </c>
      <c r="L689">
        <v>0.88909269633969212</v>
      </c>
      <c r="M689">
        <v>74730.474659600179</v>
      </c>
      <c r="N689">
        <v>292.86589598531862</v>
      </c>
    </row>
    <row r="690" spans="2:14">
      <c r="B690">
        <v>645</v>
      </c>
      <c r="C690">
        <v>13.002319486560651</v>
      </c>
      <c r="D690" s="10">
        <v>5.3498736156082699E-3</v>
      </c>
      <c r="E690">
        <v>21.379720435244511</v>
      </c>
      <c r="F690">
        <v>0</v>
      </c>
      <c r="G690">
        <v>-9.8089935906618226</v>
      </c>
      <c r="H690">
        <v>3.6324689623370685</v>
      </c>
      <c r="I690">
        <v>1213.0102045673941</v>
      </c>
      <c r="J690">
        <v>813.01020456739411</v>
      </c>
      <c r="K690">
        <v>2.1802102363481675</v>
      </c>
      <c r="L690">
        <v>0.88907802093241972</v>
      </c>
      <c r="M690">
        <v>74729.123187962221</v>
      </c>
      <c r="N690">
        <v>292.86543367031192</v>
      </c>
    </row>
    <row r="691" spans="2:14">
      <c r="B691">
        <v>646</v>
      </c>
      <c r="C691">
        <v>13.022446916106411</v>
      </c>
      <c r="D691" s="10">
        <v>4.7840719701844059E-3</v>
      </c>
      <c r="E691">
        <v>21.379719984636022</v>
      </c>
      <c r="F691">
        <v>0</v>
      </c>
      <c r="G691">
        <v>-9.8087193392321286</v>
      </c>
      <c r="H691">
        <v>3.4350446549025428</v>
      </c>
      <c r="I691">
        <v>1213.0773563647529</v>
      </c>
      <c r="J691">
        <v>813.07735636475286</v>
      </c>
      <c r="K691">
        <v>2.1802102363481675</v>
      </c>
      <c r="L691">
        <v>0.88906416560326651</v>
      </c>
      <c r="M691">
        <v>74727.847240018804</v>
      </c>
      <c r="N691">
        <v>292.8649971836291</v>
      </c>
    </row>
    <row r="692" spans="2:14">
      <c r="B692">
        <v>647</v>
      </c>
      <c r="C692">
        <v>13.04257434565217</v>
      </c>
      <c r="D692" s="10">
        <v>4.2499107183586269E-3</v>
      </c>
      <c r="E692">
        <v>21.37971956069082</v>
      </c>
      <c r="F692">
        <v>0</v>
      </c>
      <c r="G692">
        <v>-9.8084596155392152</v>
      </c>
      <c r="H692">
        <v>3.237625575038348</v>
      </c>
      <c r="I692">
        <v>1213.1405346760996</v>
      </c>
      <c r="J692">
        <v>813.14053467609961</v>
      </c>
      <c r="K692">
        <v>2.1802102363481675</v>
      </c>
      <c r="L692">
        <v>0.88905113029635219</v>
      </c>
      <c r="M692">
        <v>74726.6468102871</v>
      </c>
      <c r="N692">
        <v>292.86458652460533</v>
      </c>
    </row>
    <row r="693" spans="2:14">
      <c r="B693">
        <v>648</v>
      </c>
      <c r="C693">
        <v>13.06270177519793</v>
      </c>
      <c r="D693" s="10">
        <v>3.7473837600503633E-3</v>
      </c>
      <c r="E693">
        <v>21.379719163408254</v>
      </c>
      <c r="F693">
        <v>0</v>
      </c>
      <c r="G693">
        <v>-9.8082144166184335</v>
      </c>
      <c r="H693">
        <v>3.0402114303981556</v>
      </c>
      <c r="I693">
        <v>1213.1997395978253</v>
      </c>
      <c r="J693">
        <v>813.19973959782533</v>
      </c>
      <c r="K693">
        <v>2.1802102363481675</v>
      </c>
      <c r="L693">
        <v>0.88903891495906873</v>
      </c>
      <c r="M693">
        <v>74725.521893605634</v>
      </c>
      <c r="N693">
        <v>292.86420169261413</v>
      </c>
    </row>
    <row r="694" spans="2:14">
      <c r="B694">
        <v>649</v>
      </c>
      <c r="C694">
        <v>13.082829204743689</v>
      </c>
      <c r="D694" s="10">
        <v>3.2764853578322317E-3</v>
      </c>
      <c r="E694">
        <v>21.37971879278771</v>
      </c>
      <c r="F694">
        <v>0</v>
      </c>
      <c r="G694">
        <v>-9.8079837396715543</v>
      </c>
      <c r="H694">
        <v>2.8428019286919595</v>
      </c>
      <c r="I694">
        <v>1213.2549712204391</v>
      </c>
      <c r="J694">
        <v>813.25497122043907</v>
      </c>
      <c r="K694">
        <v>2.1802102363481675</v>
      </c>
      <c r="L694">
        <v>0.88902751954208248</v>
      </c>
      <c r="M694">
        <v>74724.472485134378</v>
      </c>
      <c r="N694">
        <v>292.86384268706712</v>
      </c>
    </row>
    <row r="695" spans="2:14">
      <c r="B695">
        <v>650</v>
      </c>
      <c r="C695">
        <v>13.102956634289448</v>
      </c>
      <c r="D695" s="10">
        <v>2.8372101367986581E-3</v>
      </c>
      <c r="E695">
        <v>21.379718448828619</v>
      </c>
      <c r="F695">
        <v>0</v>
      </c>
      <c r="G695">
        <v>-9.8077675820667025</v>
      </c>
      <c r="H695">
        <v>2.6453967776827256</v>
      </c>
      <c r="I695">
        <v>1213.306229628568</v>
      </c>
      <c r="J695">
        <v>813.30622962856796</v>
      </c>
      <c r="K695">
        <v>2.1802102363481675</v>
      </c>
      <c r="L695">
        <v>0.88901694399933007</v>
      </c>
      <c r="M695">
        <v>74723.49858035447</v>
      </c>
      <c r="N695">
        <v>292.86350950741434</v>
      </c>
    </row>
    <row r="696" spans="2:14">
      <c r="B696">
        <v>651</v>
      </c>
      <c r="C696">
        <v>13.123084063835208</v>
      </c>
      <c r="D696" s="10">
        <v>2.4295530844428196E-3</v>
      </c>
      <c r="E696">
        <v>21.379718131530449</v>
      </c>
      <c r="F696">
        <v>0</v>
      </c>
      <c r="G696">
        <v>-9.8075659413383018</v>
      </c>
      <c r="H696">
        <v>2.4479956851830464</v>
      </c>
      <c r="I696">
        <v>1213.353514900959</v>
      </c>
      <c r="J696">
        <v>813.353514900959</v>
      </c>
      <c r="K696">
        <v>2.1802102363481675</v>
      </c>
      <c r="L696">
        <v>0.88900718828802305</v>
      </c>
      <c r="M696">
        <v>74722.600175068466</v>
      </c>
      <c r="N696">
        <v>292.86320215314379</v>
      </c>
    </row>
    <row r="697" spans="2:14">
      <c r="B697">
        <v>652</v>
      </c>
      <c r="C697">
        <v>13.143211493380967</v>
      </c>
      <c r="D697" s="10">
        <v>2.0535095505417825E-3</v>
      </c>
      <c r="E697">
        <v>21.379717840892713</v>
      </c>
      <c r="F697">
        <v>0</v>
      </c>
      <c r="G697">
        <v>-9.8073788151870147</v>
      </c>
      <c r="H697">
        <v>2.2505983590517933</v>
      </c>
      <c r="I697">
        <v>1213.3968271104795</v>
      </c>
      <c r="J697">
        <v>813.39682711047953</v>
      </c>
      <c r="K697">
        <v>2.1802102363481675</v>
      </c>
      <c r="L697">
        <v>0.88899825236864272</v>
      </c>
      <c r="M697">
        <v>74721.777265400044</v>
      </c>
      <c r="N697">
        <v>292.86292062378186</v>
      </c>
    </row>
    <row r="698" spans="2:14">
      <c r="B698">
        <v>653</v>
      </c>
      <c r="C698">
        <v>13.163338922926727</v>
      </c>
      <c r="D698" s="10">
        <v>1.7090752470499376E-3</v>
      </c>
      <c r="E698">
        <v>21.379717576914967</v>
      </c>
      <c r="F698">
        <v>0</v>
      </c>
      <c r="G698">
        <v>-9.8072062014796924</v>
      </c>
      <c r="H698">
        <v>2.053204507190773</v>
      </c>
      <c r="I698">
        <v>1213.4361663241179</v>
      </c>
      <c r="J698">
        <v>813.43616632411795</v>
      </c>
      <c r="K698">
        <v>2.1802102363481675</v>
      </c>
      <c r="L698">
        <v>0.88899013620494183</v>
      </c>
      <c r="M698">
        <v>74721.029847794081</v>
      </c>
      <c r="N698">
        <v>292.86266491889324</v>
      </c>
    </row>
    <row r="699" spans="2:14">
      <c r="B699">
        <v>654</v>
      </c>
      <c r="C699">
        <v>13.183466352472486</v>
      </c>
      <c r="D699" s="10">
        <v>1.3962462480006544E-3</v>
      </c>
      <c r="E699">
        <v>21.379717339596784</v>
      </c>
      <c r="F699">
        <v>0</v>
      </c>
      <c r="G699">
        <v>-9.8070480982493287</v>
      </c>
      <c r="H699">
        <v>1.8558138375413828</v>
      </c>
      <c r="I699">
        <v>1213.471532602985</v>
      </c>
      <c r="J699">
        <v>813.47153260298501</v>
      </c>
      <c r="K699">
        <v>2.1802102363481675</v>
      </c>
      <c r="L699">
        <v>0.88898283976394243</v>
      </c>
      <c r="M699">
        <v>74720.357919016431</v>
      </c>
      <c r="N699">
        <v>292.8624350380806</v>
      </c>
    </row>
    <row r="700" spans="2:14">
      <c r="B700">
        <v>655</v>
      </c>
      <c r="C700">
        <v>13.203593782018245</v>
      </c>
      <c r="D700" s="10">
        <v>1.1150189894161984E-3</v>
      </c>
      <c r="E700">
        <v>21.379717128937806</v>
      </c>
      <c r="F700">
        <v>0</v>
      </c>
      <c r="G700">
        <v>-9.8069045036949998</v>
      </c>
      <c r="H700">
        <v>1.658426058081268</v>
      </c>
      <c r="I700">
        <v>1213.5029260023136</v>
      </c>
      <c r="J700">
        <v>813.50292600231364</v>
      </c>
      <c r="K700">
        <v>2.1802102363481675</v>
      </c>
      <c r="L700">
        <v>0.88897636301593863</v>
      </c>
      <c r="M700">
        <v>74719.761476154206</v>
      </c>
      <c r="N700">
        <v>292.86223098098498</v>
      </c>
    </row>
    <row r="701" spans="2:14">
      <c r="B701">
        <v>656</v>
      </c>
      <c r="C701">
        <v>13.223721211564005</v>
      </c>
      <c r="D701" s="10">
        <v>8.6539026922587343E-4</v>
      </c>
      <c r="E701">
        <v>21.379716944937691</v>
      </c>
      <c r="F701">
        <v>0</v>
      </c>
      <c r="G701">
        <v>-9.8067754161818463</v>
      </c>
      <c r="H701">
        <v>1.4610408768209795</v>
      </c>
      <c r="I701">
        <v>1213.5303465714608</v>
      </c>
      <c r="J701">
        <v>813.53034657146077</v>
      </c>
      <c r="K701">
        <v>2.1802102363481675</v>
      </c>
      <c r="L701">
        <v>0.88897070593449412</v>
      </c>
      <c r="M701">
        <v>74719.240516615508</v>
      </c>
      <c r="N701">
        <v>292.86205274728553</v>
      </c>
    </row>
    <row r="702" spans="2:14">
      <c r="B702">
        <v>657</v>
      </c>
      <c r="C702">
        <v>13.243848641109764</v>
      </c>
      <c r="D702" s="10">
        <v>6.4735724719240282E-4</v>
      </c>
      <c r="E702">
        <v>21.379716787596148</v>
      </c>
      <c r="F702">
        <v>0</v>
      </c>
      <c r="G702">
        <v>-9.8066608342410131</v>
      </c>
      <c r="H702">
        <v>1.2636580018006323</v>
      </c>
      <c r="I702">
        <v>1213.5537943539066</v>
      </c>
      <c r="J702">
        <v>813.5537943539066</v>
      </c>
      <c r="K702">
        <v>2.1802102363481675</v>
      </c>
      <c r="L702">
        <v>0.88896586849644044</v>
      </c>
      <c r="M702">
        <v>74718.795038129319</v>
      </c>
      <c r="N702">
        <v>292.86190033669959</v>
      </c>
    </row>
    <row r="703" spans="2:14">
      <c r="B703">
        <v>658</v>
      </c>
      <c r="C703">
        <v>13.263976070655524</v>
      </c>
      <c r="D703" s="10">
        <v>4.6091744484655269E-4</v>
      </c>
      <c r="E703">
        <v>21.37971665691293</v>
      </c>
      <c r="F703">
        <v>0</v>
      </c>
      <c r="G703">
        <v>-9.8065607565696311</v>
      </c>
      <c r="H703">
        <v>1.0662771410865648</v>
      </c>
      <c r="I703">
        <v>1213.5732693872562</v>
      </c>
      <c r="J703">
        <v>813.57326938725623</v>
      </c>
      <c r="K703">
        <v>2.1802102363481675</v>
      </c>
      <c r="L703">
        <v>0.88896185068188194</v>
      </c>
      <c r="M703">
        <v>74718.425038745947</v>
      </c>
      <c r="N703">
        <v>292.86177374898284</v>
      </c>
    </row>
    <row r="704" spans="2:14">
      <c r="B704">
        <v>659</v>
      </c>
      <c r="C704">
        <v>13.284103500201283</v>
      </c>
      <c r="D704" s="10">
        <v>3.0606874542997182E-4</v>
      </c>
      <c r="E704">
        <v>21.379716552887814</v>
      </c>
      <c r="F704">
        <v>0</v>
      </c>
      <c r="G704">
        <v>-9.8064751820307841</v>
      </c>
      <c r="H704">
        <v>0.868898002767999</v>
      </c>
      <c r="I704">
        <v>1213.5887717032392</v>
      </c>
      <c r="J704">
        <v>813.58877170323922</v>
      </c>
      <c r="K704">
        <v>2.1802102363481675</v>
      </c>
      <c r="L704">
        <v>0.88895865247418793</v>
      </c>
      <c r="M704">
        <v>74718.130516836245</v>
      </c>
      <c r="N704">
        <v>292.86167298392894</v>
      </c>
    </row>
    <row r="705" spans="2:14">
      <c r="B705">
        <v>660</v>
      </c>
      <c r="C705">
        <v>13.304230929747042</v>
      </c>
      <c r="D705" s="10">
        <v>1.8280939384627258E-4</v>
      </c>
      <c r="E705">
        <v>21.379716475520631</v>
      </c>
      <c r="F705">
        <v>0</v>
      </c>
      <c r="G705">
        <v>-9.8064041096534744</v>
      </c>
      <c r="H705">
        <v>0.67152029495370014</v>
      </c>
      <c r="I705">
        <v>1213.6003013277104</v>
      </c>
      <c r="J705">
        <v>813.60030132771044</v>
      </c>
      <c r="K705">
        <v>2.1802102363481675</v>
      </c>
      <c r="L705">
        <v>0.88895627385999954</v>
      </c>
      <c r="M705">
        <v>74717.911471092288</v>
      </c>
      <c r="N705">
        <v>292.86159804136986</v>
      </c>
    </row>
    <row r="706" spans="2:14">
      <c r="B706">
        <v>661</v>
      </c>
      <c r="C706">
        <v>13.324358359292802</v>
      </c>
      <c r="D706" s="10">
        <v>9.1137996620329861E-5</v>
      </c>
      <c r="E706">
        <v>21.379716424811246</v>
      </c>
      <c r="F706">
        <v>0</v>
      </c>
      <c r="G706">
        <v>-9.8063475386326129</v>
      </c>
      <c r="H706">
        <v>0.474143725768638</v>
      </c>
      <c r="I706">
        <v>1213.6078582806504</v>
      </c>
      <c r="J706">
        <v>813.60785828065036</v>
      </c>
      <c r="K706">
        <v>2.1802102363481675</v>
      </c>
      <c r="L706">
        <v>0.88895471482922528</v>
      </c>
      <c r="M706">
        <v>74717.767900527004</v>
      </c>
      <c r="N706">
        <v>292.86154892117577</v>
      </c>
    </row>
    <row r="707" spans="2:14">
      <c r="B707">
        <v>662</v>
      </c>
      <c r="C707">
        <v>13.344485788838561</v>
      </c>
      <c r="D707" s="10">
        <v>3.1053521865808653E-5</v>
      </c>
      <c r="E707">
        <v>21.37971640075957</v>
      </c>
      <c r="F707">
        <v>0</v>
      </c>
      <c r="G707">
        <v>-9.8063054683289863</v>
      </c>
      <c r="H707">
        <v>0.27676800335064811</v>
      </c>
      <c r="I707">
        <v>1213.6114425761648</v>
      </c>
      <c r="J707">
        <v>813.61144257616479</v>
      </c>
      <c r="K707">
        <v>2.1802102363481675</v>
      </c>
      <c r="L707">
        <v>0.88895397537504262</v>
      </c>
      <c r="M707">
        <v>74717.699804474207</v>
      </c>
      <c r="N707">
        <v>292.86152562325492</v>
      </c>
    </row>
    <row r="708" spans="2:14">
      <c r="B708">
        <v>663</v>
      </c>
      <c r="C708">
        <v>13.364613218384321</v>
      </c>
      <c r="D708" s="10">
        <v>2.5552992609134088E-6</v>
      </c>
      <c r="E708">
        <v>21.379716403365538</v>
      </c>
      <c r="F708">
        <v>0</v>
      </c>
      <c r="G708">
        <v>-9.8062778982692613</v>
      </c>
      <c r="H708">
        <v>7.9392835847092877E-2</v>
      </c>
      <c r="I708">
        <v>1213.6110542224858</v>
      </c>
      <c r="J708">
        <v>813.61105422248579</v>
      </c>
      <c r="K708">
        <v>2.1802102363481675</v>
      </c>
      <c r="L708">
        <v>0.88895405549389839</v>
      </c>
      <c r="M708">
        <v>74717.707182588725</v>
      </c>
      <c r="N708">
        <v>292.86152814755383</v>
      </c>
    </row>
    <row r="709" spans="2:14">
      <c r="B709">
        <v>664</v>
      </c>
      <c r="C709">
        <v>13.38474064793008</v>
      </c>
      <c r="D709" s="10">
        <v>5.6430200323602828E-6</v>
      </c>
      <c r="E709">
        <v>21.379716432629138</v>
      </c>
      <c r="F709">
        <v>0</v>
      </c>
      <c r="G709">
        <v>-9.8062648281459488</v>
      </c>
      <c r="H709">
        <v>-0.11798206858847624</v>
      </c>
      <c r="I709">
        <v>1213.606693221971</v>
      </c>
      <c r="J709">
        <v>813.606693221971</v>
      </c>
      <c r="K709">
        <v>2.1802102363481675</v>
      </c>
      <c r="L709">
        <v>0.88895495518550716</v>
      </c>
      <c r="M709">
        <v>74717.790034846228</v>
      </c>
      <c r="N709">
        <v>292.8615564940572</v>
      </c>
    </row>
    <row r="710" spans="2:14">
      <c r="D710" s="10"/>
    </row>
    <row r="711" spans="2:14">
      <c r="D711" s="10"/>
    </row>
    <row r="712" spans="2:14">
      <c r="D712" s="10"/>
    </row>
    <row r="713" spans="2:14">
      <c r="D713" s="10"/>
    </row>
    <row r="714" spans="2:14">
      <c r="D714" s="10"/>
    </row>
    <row r="715" spans="2:14">
      <c r="D715" s="10"/>
    </row>
    <row r="716" spans="2:14">
      <c r="D716" s="10"/>
    </row>
    <row r="717" spans="2:14">
      <c r="D717" s="10"/>
    </row>
    <row r="718" spans="2:14">
      <c r="D718" s="10"/>
    </row>
    <row r="719" spans="2:14">
      <c r="D719" s="10"/>
    </row>
    <row r="720" spans="2:14">
      <c r="D720" s="10"/>
    </row>
    <row r="721" spans="4:4">
      <c r="D721" s="10"/>
    </row>
    <row r="722" spans="4:4">
      <c r="D722" s="10"/>
    </row>
    <row r="723" spans="4:4">
      <c r="D723" s="10"/>
    </row>
    <row r="724" spans="4:4">
      <c r="D724" s="10"/>
    </row>
    <row r="725" spans="4:4">
      <c r="D725" s="10"/>
    </row>
    <row r="726" spans="4:4">
      <c r="D726" s="10"/>
    </row>
    <row r="727" spans="4:4">
      <c r="D727" s="10"/>
    </row>
    <row r="728" spans="4:4">
      <c r="D728" s="10"/>
    </row>
    <row r="729" spans="4:4">
      <c r="D729" s="10"/>
    </row>
    <row r="730" spans="4:4">
      <c r="D730" s="10"/>
    </row>
    <row r="731" spans="4:4">
      <c r="D731" s="10"/>
    </row>
    <row r="732" spans="4:4">
      <c r="D732" s="10"/>
    </row>
    <row r="733" spans="4:4">
      <c r="D733" s="10"/>
    </row>
    <row r="734" spans="4:4">
      <c r="D734" s="10"/>
    </row>
    <row r="735" spans="4:4">
      <c r="D735" s="10"/>
    </row>
    <row r="736" spans="4:4">
      <c r="D736" s="10"/>
    </row>
    <row r="737" spans="4:4">
      <c r="D737" s="10"/>
    </row>
    <row r="738" spans="4:4">
      <c r="D738" s="10"/>
    </row>
    <row r="739" spans="4:4">
      <c r="D739" s="10"/>
    </row>
    <row r="740" spans="4:4">
      <c r="D740" s="10"/>
    </row>
    <row r="741" spans="4:4">
      <c r="D741" s="10"/>
    </row>
    <row r="742" spans="4:4">
      <c r="D742" s="10"/>
    </row>
    <row r="743" spans="4:4">
      <c r="D743" s="10"/>
    </row>
    <row r="744" spans="4:4">
      <c r="D744" s="10"/>
    </row>
    <row r="745" spans="4:4">
      <c r="D745" s="10"/>
    </row>
    <row r="746" spans="4:4">
      <c r="D746" s="10"/>
    </row>
    <row r="747" spans="4:4">
      <c r="D747" s="10"/>
    </row>
    <row r="748" spans="4:4">
      <c r="D748" s="10"/>
    </row>
    <row r="749" spans="4:4">
      <c r="D749" s="10"/>
    </row>
    <row r="750" spans="4:4">
      <c r="D750" s="10"/>
    </row>
    <row r="751" spans="4:4">
      <c r="D751" s="10"/>
    </row>
    <row r="752" spans="4:4">
      <c r="D752" s="10"/>
    </row>
    <row r="753" spans="4:4">
      <c r="D753" s="10"/>
    </row>
    <row r="754" spans="4:4">
      <c r="D754" s="10"/>
    </row>
    <row r="755" spans="4:4">
      <c r="D755" s="10"/>
    </row>
    <row r="756" spans="4:4">
      <c r="D756" s="10"/>
    </row>
    <row r="757" spans="4:4">
      <c r="D757" s="10"/>
    </row>
    <row r="758" spans="4:4">
      <c r="D758" s="10"/>
    </row>
    <row r="759" spans="4:4">
      <c r="D759" s="10"/>
    </row>
    <row r="760" spans="4:4">
      <c r="D760" s="10"/>
    </row>
    <row r="761" spans="4:4">
      <c r="D761" s="10"/>
    </row>
    <row r="762" spans="4:4">
      <c r="D762" s="10"/>
    </row>
    <row r="763" spans="4:4">
      <c r="D763" s="10"/>
    </row>
    <row r="764" spans="4:4">
      <c r="D764" s="10"/>
    </row>
    <row r="765" spans="4:4">
      <c r="D765" s="10"/>
    </row>
    <row r="766" spans="4:4">
      <c r="D766" s="10"/>
    </row>
    <row r="767" spans="4:4">
      <c r="D767" s="10"/>
    </row>
    <row r="768" spans="4:4">
      <c r="D768" s="10"/>
    </row>
    <row r="769" spans="4:4">
      <c r="D769" s="10"/>
    </row>
    <row r="770" spans="4:4">
      <c r="D770" s="10"/>
    </row>
    <row r="771" spans="4:4">
      <c r="D771" s="10"/>
    </row>
    <row r="772" spans="4:4">
      <c r="D772" s="10"/>
    </row>
    <row r="773" spans="4:4">
      <c r="D773" s="10"/>
    </row>
    <row r="774" spans="4:4">
      <c r="D774" s="10"/>
    </row>
    <row r="775" spans="4:4">
      <c r="D775" s="10"/>
    </row>
    <row r="776" spans="4:4">
      <c r="D776" s="10"/>
    </row>
    <row r="777" spans="4:4">
      <c r="D777" s="10"/>
    </row>
    <row r="778" spans="4:4">
      <c r="D778" s="10"/>
    </row>
    <row r="779" spans="4:4">
      <c r="D779" s="10"/>
    </row>
    <row r="780" spans="4:4">
      <c r="D780" s="10"/>
    </row>
    <row r="781" spans="4:4">
      <c r="D781" s="10"/>
    </row>
    <row r="782" spans="4:4">
      <c r="D782" s="10"/>
    </row>
    <row r="783" spans="4:4">
      <c r="D783" s="10"/>
    </row>
    <row r="784" spans="4:4">
      <c r="D784" s="10"/>
    </row>
    <row r="785" spans="4:4">
      <c r="D785" s="10"/>
    </row>
    <row r="786" spans="4:4">
      <c r="D786" s="10"/>
    </row>
    <row r="787" spans="4:4">
      <c r="D787" s="10"/>
    </row>
    <row r="788" spans="4:4">
      <c r="D788" s="10"/>
    </row>
    <row r="789" spans="4:4">
      <c r="D789" s="10"/>
    </row>
    <row r="790" spans="4:4">
      <c r="D790" s="10"/>
    </row>
    <row r="791" spans="4:4">
      <c r="D791" s="10"/>
    </row>
    <row r="792" spans="4:4">
      <c r="D792" s="10"/>
    </row>
    <row r="793" spans="4:4">
      <c r="D793" s="10"/>
    </row>
    <row r="794" spans="4:4">
      <c r="D794" s="10"/>
    </row>
    <row r="795" spans="4:4">
      <c r="D795" s="10"/>
    </row>
    <row r="796" spans="4:4">
      <c r="D796" s="10"/>
    </row>
    <row r="797" spans="4:4">
      <c r="D797" s="10"/>
    </row>
    <row r="798" spans="4:4">
      <c r="D798" s="10"/>
    </row>
    <row r="799" spans="4:4">
      <c r="D799" s="10"/>
    </row>
    <row r="800" spans="4:4">
      <c r="D800" s="10"/>
    </row>
    <row r="801" spans="4:4">
      <c r="D801" s="10"/>
    </row>
    <row r="802" spans="4:4">
      <c r="D802" s="10"/>
    </row>
    <row r="803" spans="4:4">
      <c r="D803" s="10"/>
    </row>
    <row r="804" spans="4:4">
      <c r="D804" s="10"/>
    </row>
    <row r="805" spans="4:4">
      <c r="D805" s="10"/>
    </row>
    <row r="806" spans="4:4">
      <c r="D806" s="10"/>
    </row>
    <row r="807" spans="4:4">
      <c r="D807" s="10"/>
    </row>
    <row r="808" spans="4:4">
      <c r="D808" s="10"/>
    </row>
    <row r="809" spans="4:4">
      <c r="D809" s="10"/>
    </row>
    <row r="810" spans="4:4">
      <c r="D810" s="10"/>
    </row>
    <row r="811" spans="4:4">
      <c r="D811" s="10"/>
    </row>
    <row r="812" spans="4:4">
      <c r="D812" s="10"/>
    </row>
    <row r="813" spans="4:4">
      <c r="D813" s="10"/>
    </row>
    <row r="814" spans="4:4">
      <c r="D814" s="10"/>
    </row>
    <row r="815" spans="4:4">
      <c r="D815" s="10"/>
    </row>
    <row r="816" spans="4:4">
      <c r="D816" s="10"/>
    </row>
    <row r="817" spans="4:4">
      <c r="D817" s="10"/>
    </row>
    <row r="818" spans="4:4">
      <c r="D818" s="10"/>
    </row>
    <row r="819" spans="4:4">
      <c r="D819" s="10"/>
    </row>
    <row r="65127" spans="7:10">
      <c r="J65127" s="8"/>
    </row>
    <row r="65132" spans="7:10">
      <c r="G65132" s="415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50925" r:id="rId4" name="Button 13">
              <controlPr defaultSize="0" print="0" autoFill="0" autoPict="0" macro="[0]!RocketSimpleSim">
                <anchor moveWithCells="1">
                  <from>
                    <xdr:col>1</xdr:col>
                    <xdr:colOff>1127760</xdr:colOff>
                    <xdr:row>39</xdr:row>
                    <xdr:rowOff>144780</xdr:rowOff>
                  </from>
                  <to>
                    <xdr:col>3</xdr:col>
                    <xdr:colOff>99060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51263" r:id="rId5" name="Button 351">
              <controlPr defaultSize="0" print="0" autoFill="0" autoPict="0" macro="[0]!CleanData">
                <anchor moveWithCells="1" sizeWithCells="1">
                  <from>
                    <xdr:col>1</xdr:col>
                    <xdr:colOff>228600</xdr:colOff>
                    <xdr:row>39</xdr:row>
                    <xdr:rowOff>137160</xdr:rowOff>
                  </from>
                  <to>
                    <xdr:col>1</xdr:col>
                    <xdr:colOff>937260</xdr:colOff>
                    <xdr:row>41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5">
    <tabColor theme="1"/>
  </sheetPr>
  <dimension ref="A1:X196"/>
  <sheetViews>
    <sheetView tabSelected="1" zoomScale="85" zoomScaleNormal="85" workbookViewId="0">
      <selection activeCell="L10" sqref="L10"/>
    </sheetView>
  </sheetViews>
  <sheetFormatPr baseColWidth="10" defaultColWidth="8.88671875" defaultRowHeight="13.2"/>
  <cols>
    <col min="1" max="1" width="6.33203125" customWidth="1"/>
    <col min="2" max="2" width="10.6640625" customWidth="1"/>
    <col min="3" max="4" width="8.88671875" customWidth="1"/>
    <col min="5" max="5" width="13.109375" bestFit="1" customWidth="1"/>
    <col min="6" max="6" width="12.44140625" bestFit="1" customWidth="1"/>
    <col min="7" max="7" width="6.33203125" customWidth="1"/>
    <col min="8" max="8" width="5.44140625" customWidth="1"/>
    <col min="9" max="9" width="11.88671875" bestFit="1" customWidth="1"/>
    <col min="10" max="10" width="8.88671875" customWidth="1"/>
    <col min="11" max="11" width="14.109375" customWidth="1"/>
    <col min="12" max="12" width="14.88671875" customWidth="1"/>
    <col min="13" max="13" width="11.44140625" bestFit="1" customWidth="1"/>
    <col min="14" max="14" width="8.33203125" customWidth="1"/>
    <col min="15" max="15" width="17.33203125" customWidth="1"/>
    <col min="16" max="16" width="10" customWidth="1"/>
    <col min="17" max="17" width="9.6640625" customWidth="1"/>
    <col min="18" max="18" width="17" customWidth="1"/>
    <col min="19" max="19" width="12.6640625" customWidth="1"/>
    <col min="20" max="20" width="10.44140625" customWidth="1"/>
    <col min="21" max="21" width="10.33203125" customWidth="1"/>
  </cols>
  <sheetData>
    <row r="1" spans="1:21" ht="13.8" thickBot="1">
      <c r="E1" t="s">
        <v>705</v>
      </c>
      <c r="F1" t="str">
        <f>F3&amp; " MPa MEOP"</f>
        <v>5 MPa MEOP</v>
      </c>
    </row>
    <row r="2" spans="1:21">
      <c r="B2" t="s">
        <v>668</v>
      </c>
      <c r="C2">
        <f>etanoz</f>
        <v>0.75</v>
      </c>
      <c r="E2" t="s">
        <v>667</v>
      </c>
      <c r="F2">
        <v>0.105</v>
      </c>
      <c r="G2" t="s">
        <v>87</v>
      </c>
      <c r="I2" s="426" t="s">
        <v>670</v>
      </c>
      <c r="J2" s="418"/>
      <c r="K2" s="418"/>
      <c r="L2" s="418"/>
      <c r="M2" s="419"/>
      <c r="U2" s="720" t="s">
        <v>1035</v>
      </c>
    </row>
    <row r="3" spans="1:21">
      <c r="B3" t="s">
        <v>650</v>
      </c>
      <c r="C3">
        <v>1.4999999999999999E-2</v>
      </c>
      <c r="E3" t="s">
        <v>201</v>
      </c>
      <c r="F3">
        <v>5</v>
      </c>
      <c r="G3" t="s">
        <v>87</v>
      </c>
      <c r="I3" s="427" t="s">
        <v>677</v>
      </c>
      <c r="J3" s="421">
        <v>8.26</v>
      </c>
      <c r="K3" s="421" t="s">
        <v>671</v>
      </c>
      <c r="L3" s="421">
        <f>J3/1000</f>
        <v>8.26E-3</v>
      </c>
      <c r="M3" s="422" t="s">
        <v>676</v>
      </c>
      <c r="R3" s="8" t="s">
        <v>1039</v>
      </c>
      <c r="S3">
        <v>1.133</v>
      </c>
    </row>
    <row r="4" spans="1:21">
      <c r="B4" t="s">
        <v>110</v>
      </c>
      <c r="C4" t="s">
        <v>651</v>
      </c>
      <c r="E4" t="s">
        <v>669</v>
      </c>
      <c r="F4" s="8">
        <f>((F3*1000000)^(1-J4))/(K13*K14*K15)</f>
        <v>214.27106706557447</v>
      </c>
      <c r="G4" t="s">
        <v>64</v>
      </c>
      <c r="I4" s="420" t="s">
        <v>81</v>
      </c>
      <c r="J4" s="421">
        <v>0.31900000000000001</v>
      </c>
      <c r="K4" s="421">
        <f>1/(1-J4)</f>
        <v>1.4684287812041115</v>
      </c>
      <c r="L4" s="421">
        <f>1/K4</f>
        <v>0.68100000000000005</v>
      </c>
      <c r="M4" s="422"/>
      <c r="R4" s="8" t="s">
        <v>1036</v>
      </c>
      <c r="S4">
        <v>441</v>
      </c>
    </row>
    <row r="5" spans="1:21">
      <c r="B5">
        <f t="shared" ref="B5:B10" si="0">B6-$C$3</f>
        <v>1.0100000000000007</v>
      </c>
      <c r="C5">
        <f>$C$2*SQRT(D5*E5*F5)</f>
        <v>1.2571395754522126</v>
      </c>
      <c r="D5">
        <f t="shared" ref="D5:D10" si="1">(2*B5^2)/(B5-1)</f>
        <v>204.01999999998651</v>
      </c>
      <c r="E5">
        <f t="shared" ref="E5:E11" si="2">(2/(B5+1))^((B5+1)/(B5-1))</f>
        <v>0.36696241643015137</v>
      </c>
      <c r="F5">
        <f t="shared" ref="F5:F10" si="3">(1-($F$2/$F$3)^((B5-1)/B5))</f>
        <v>3.7527543748738679E-2</v>
      </c>
      <c r="I5" s="427" t="s">
        <v>80</v>
      </c>
      <c r="J5" s="421">
        <v>1000000</v>
      </c>
      <c r="K5" s="421"/>
      <c r="L5" s="421"/>
      <c r="M5" s="422"/>
      <c r="R5" s="8" t="s">
        <v>1037</v>
      </c>
      <c r="S5" s="40">
        <f>M31</f>
        <v>69.402342250802377</v>
      </c>
    </row>
    <row r="6" spans="1:21">
      <c r="B6">
        <f t="shared" si="0"/>
        <v>1.0250000000000006</v>
      </c>
      <c r="C6">
        <f t="shared" ref="C6:C20" si="4">$C$2*SQRT(D6*E6*F6)</f>
        <v>1.2467081497071399</v>
      </c>
      <c r="D6">
        <f t="shared" si="1"/>
        <v>84.049999999998164</v>
      </c>
      <c r="E6">
        <f t="shared" si="2"/>
        <v>0.36559682642992858</v>
      </c>
      <c r="F6">
        <f t="shared" si="3"/>
        <v>8.9922202393523665E-2</v>
      </c>
      <c r="I6" s="420" t="s">
        <v>672</v>
      </c>
      <c r="J6" s="421">
        <v>1.889</v>
      </c>
      <c r="K6" s="421" t="s">
        <v>674</v>
      </c>
      <c r="L6" s="421">
        <f>J6*1000</f>
        <v>1889</v>
      </c>
      <c r="M6" s="422" t="s">
        <v>675</v>
      </c>
      <c r="R6" s="8" t="s">
        <v>668</v>
      </c>
      <c r="S6">
        <v>0.75</v>
      </c>
    </row>
    <row r="7" spans="1:21">
      <c r="B7">
        <f t="shared" si="0"/>
        <v>1.0400000000000005</v>
      </c>
      <c r="C7">
        <f t="shared" si="4"/>
        <v>1.2368903601714352</v>
      </c>
      <c r="D7">
        <f t="shared" si="1"/>
        <v>54.079999999999401</v>
      </c>
      <c r="E7">
        <f t="shared" si="2"/>
        <v>0.36424302169309913</v>
      </c>
      <c r="F7">
        <f t="shared" si="3"/>
        <v>0.13807401692711085</v>
      </c>
      <c r="I7" s="420" t="s">
        <v>673</v>
      </c>
      <c r="J7" s="786">
        <f>J6*0.95</f>
        <v>1.7945499999999999</v>
      </c>
      <c r="K7" s="421" t="s">
        <v>674</v>
      </c>
      <c r="L7" s="421">
        <f>J7*1000</f>
        <v>1794.55</v>
      </c>
      <c r="M7" s="422" t="s">
        <v>675</v>
      </c>
      <c r="Q7" s="8" t="s">
        <v>1043</v>
      </c>
      <c r="R7" s="767" t="s">
        <v>651</v>
      </c>
      <c r="S7" s="767" t="s">
        <v>1038</v>
      </c>
      <c r="T7" s="8"/>
    </row>
    <row r="8" spans="1:21" ht="13.8" thickBot="1">
      <c r="B8">
        <f t="shared" si="0"/>
        <v>1.0550000000000004</v>
      </c>
      <c r="C8">
        <f t="shared" si="4"/>
        <v>1.2276426903991662</v>
      </c>
      <c r="D8">
        <f t="shared" si="1"/>
        <v>40.473636363636111</v>
      </c>
      <c r="E8">
        <f t="shared" si="2"/>
        <v>0.36290083519295496</v>
      </c>
      <c r="F8">
        <f t="shared" si="3"/>
        <v>0.1824152928225905</v>
      </c>
      <c r="I8" s="423" t="s">
        <v>148</v>
      </c>
      <c r="J8" s="424">
        <v>895</v>
      </c>
      <c r="K8" s="424" t="s">
        <v>150</v>
      </c>
      <c r="L8" s="424"/>
      <c r="M8" s="425"/>
      <c r="Q8">
        <v>189</v>
      </c>
      <c r="R8" s="768">
        <v>1.063376165575729</v>
      </c>
      <c r="S8" s="767">
        <v>2</v>
      </c>
    </row>
    <row r="9" spans="1:21">
      <c r="B9">
        <f t="shared" si="0"/>
        <v>1.0700000000000003</v>
      </c>
      <c r="C9">
        <f t="shared" si="4"/>
        <v>1.2189254096677478</v>
      </c>
      <c r="D9">
        <f t="shared" si="1"/>
        <v>32.711428571428456</v>
      </c>
      <c r="E9">
        <f t="shared" si="2"/>
        <v>0.36157010325746763</v>
      </c>
      <c r="F9">
        <f t="shared" si="3"/>
        <v>0.22332621723486801</v>
      </c>
      <c r="Q9">
        <v>176</v>
      </c>
      <c r="R9" s="768">
        <v>1.1595531780339037</v>
      </c>
      <c r="S9" s="767">
        <v>4</v>
      </c>
    </row>
    <row r="10" spans="1:21">
      <c r="B10">
        <f t="shared" si="0"/>
        <v>1.0850000000000002</v>
      </c>
      <c r="C10">
        <f t="shared" si="4"/>
        <v>1.2107021836375991</v>
      </c>
      <c r="D10">
        <f t="shared" si="1"/>
        <v>27.699411764705832</v>
      </c>
      <c r="E10">
        <f t="shared" si="2"/>
        <v>0.36025066548134721</v>
      </c>
      <c r="F10">
        <f t="shared" si="3"/>
        <v>0.26114203647906675</v>
      </c>
      <c r="Q10">
        <v>171</v>
      </c>
      <c r="R10" s="768">
        <v>1.2090469316422143</v>
      </c>
      <c r="S10" s="767">
        <v>6</v>
      </c>
    </row>
    <row r="11" spans="1:21">
      <c r="B11">
        <v>1.1000000000000001</v>
      </c>
      <c r="C11">
        <f t="shared" si="4"/>
        <v>1.20293973095597</v>
      </c>
      <c r="D11">
        <f>(2*B11^2)/(B11-1)</f>
        <v>24.199999999999982</v>
      </c>
      <c r="E11">
        <f t="shared" si="2"/>
        <v>0.35894236464095297</v>
      </c>
      <c r="F11">
        <f>(1-($F$2/$F$3)^((B11-1)/B11))</f>
        <v>0.29615913018501439</v>
      </c>
      <c r="I11" s="832" t="s">
        <v>1197</v>
      </c>
      <c r="J11" s="789" t="s">
        <v>1198</v>
      </c>
      <c r="L11" s="787"/>
      <c r="Q11">
        <v>170</v>
      </c>
      <c r="R11" s="768">
        <v>1.2416325526417351</v>
      </c>
      <c r="S11" s="767">
        <v>8</v>
      </c>
    </row>
    <row r="12" spans="1:21">
      <c r="B12">
        <f>B11+$C$3</f>
        <v>1.115</v>
      </c>
      <c r="C12">
        <f t="shared" si="4"/>
        <v>1.1956075197179103</v>
      </c>
      <c r="D12">
        <f t="shared" ref="D12:D20" si="5">(2*B12^2)/(B12-1)</f>
        <v>21.62130434782609</v>
      </c>
      <c r="E12">
        <f t="shared" ref="E12:E20" si="6">(2/(B12+1))^((B12+1)/(B12-1))</f>
        <v>0.35764504661195162</v>
      </c>
      <c r="F12">
        <f t="shared" ref="F12:F20" si="7">(1-($F$2/$F$3)^((B12-1)/B12))</f>
        <v>0.32864016835831267</v>
      </c>
      <c r="J12" t="s">
        <v>13</v>
      </c>
      <c r="K12">
        <v>117</v>
      </c>
      <c r="Q12">
        <v>169</v>
      </c>
      <c r="R12" s="768">
        <v>1.2656075616697078</v>
      </c>
      <c r="S12" s="767">
        <v>10</v>
      </c>
    </row>
    <row r="13" spans="1:21">
      <c r="A13" t="s">
        <v>666</v>
      </c>
      <c r="B13" s="417">
        <f>B12+$C$3+0.003</f>
        <v>1.1329999999999998</v>
      </c>
      <c r="C13">
        <f>$C$2*SQRT(D13*E13*F13)</f>
        <v>1.1873374489612027</v>
      </c>
      <c r="D13">
        <f t="shared" si="5"/>
        <v>19.303593984962429</v>
      </c>
      <c r="E13">
        <f t="shared" si="6"/>
        <v>0.35610254974070832</v>
      </c>
      <c r="F13">
        <f t="shared" si="7"/>
        <v>0.3645965435044255</v>
      </c>
      <c r="J13" t="s">
        <v>80</v>
      </c>
      <c r="K13">
        <f>L3/(1000000^J4)</f>
        <v>1.0068854087119401E-4</v>
      </c>
      <c r="L13" t="s">
        <v>64</v>
      </c>
      <c r="O13" t="s">
        <v>427</v>
      </c>
      <c r="P13" t="s">
        <v>682</v>
      </c>
      <c r="Q13">
        <v>168</v>
      </c>
      <c r="R13" s="768">
        <v>1.2844147909436945</v>
      </c>
      <c r="S13" s="767">
        <v>12</v>
      </c>
    </row>
    <row r="14" spans="1:21">
      <c r="B14">
        <f t="shared" ref="B14:B20" si="8">B13+$C$3</f>
        <v>1.1479999999999997</v>
      </c>
      <c r="C14">
        <f t="shared" si="4"/>
        <v>1.1808561695881317</v>
      </c>
      <c r="D14">
        <f t="shared" si="5"/>
        <v>17.80951351351354</v>
      </c>
      <c r="E14">
        <f t="shared" si="6"/>
        <v>0.35482886614572628</v>
      </c>
      <c r="F14">
        <f t="shared" si="7"/>
        <v>0.3922838955084712</v>
      </c>
      <c r="J14" t="s">
        <v>679</v>
      </c>
      <c r="K14">
        <f>L6</f>
        <v>1889</v>
      </c>
      <c r="O14" t="s">
        <v>681</v>
      </c>
      <c r="P14" t="s">
        <v>678</v>
      </c>
      <c r="Q14">
        <v>169</v>
      </c>
      <c r="R14" s="768">
        <v>1.3065367967488921</v>
      </c>
      <c r="S14" s="767">
        <v>15</v>
      </c>
    </row>
    <row r="15" spans="1:21">
      <c r="B15">
        <f t="shared" si="8"/>
        <v>1.1629999999999996</v>
      </c>
      <c r="C15">
        <f t="shared" si="4"/>
        <v>1.174722961681691</v>
      </c>
      <c r="D15">
        <f t="shared" si="5"/>
        <v>16.595938650306778</v>
      </c>
      <c r="E15">
        <f t="shared" si="6"/>
        <v>0.35356569207925037</v>
      </c>
      <c r="F15">
        <f t="shared" si="7"/>
        <v>0.41809642204579789</v>
      </c>
      <c r="J15" t="s">
        <v>148</v>
      </c>
      <c r="K15">
        <f>J8</f>
        <v>895</v>
      </c>
    </row>
    <row r="16" spans="1:21">
      <c r="B16">
        <f>B15+$C$3</f>
        <v>1.1779999999999995</v>
      </c>
      <c r="C16">
        <f t="shared" si="4"/>
        <v>1.16891623316392</v>
      </c>
      <c r="D16">
        <f t="shared" si="5"/>
        <v>15.591955056179806</v>
      </c>
      <c r="E16">
        <f t="shared" si="6"/>
        <v>0.35231288559256085</v>
      </c>
      <c r="F16">
        <f t="shared" si="7"/>
        <v>0.44219634771484106</v>
      </c>
      <c r="J16" t="s">
        <v>680</v>
      </c>
      <c r="K16">
        <f>(K12*K13*K14*K15)^K4</f>
        <v>2056362.6622265952</v>
      </c>
      <c r="O16" s="394"/>
      <c r="P16" s="394"/>
      <c r="Q16" s="394"/>
      <c r="R16" s="394"/>
      <c r="S16" s="394"/>
    </row>
    <row r="17" spans="2:21">
      <c r="B17">
        <f t="shared" si="8"/>
        <v>1.1929999999999994</v>
      </c>
      <c r="C17">
        <f t="shared" si="4"/>
        <v>1.1634160320085607</v>
      </c>
      <c r="D17">
        <f t="shared" si="5"/>
        <v>14.748694300518167</v>
      </c>
      <c r="E17">
        <f t="shared" si="6"/>
        <v>0.3510703074483863</v>
      </c>
      <c r="F17">
        <f t="shared" si="7"/>
        <v>0.46472912170610725</v>
      </c>
      <c r="K17">
        <f>K16/1000000</f>
        <v>2.0563626622265954</v>
      </c>
      <c r="L17" t="s">
        <v>87</v>
      </c>
      <c r="O17" s="394"/>
      <c r="P17" s="394"/>
      <c r="Q17" s="394"/>
      <c r="R17" s="394"/>
      <c r="S17" s="394"/>
    </row>
    <row r="18" spans="2:21">
      <c r="B18">
        <f>B17+$C$3</f>
        <v>1.2079999999999993</v>
      </c>
      <c r="C18">
        <f t="shared" si="4"/>
        <v>1.1582038985073049</v>
      </c>
      <c r="D18">
        <f t="shared" si="5"/>
        <v>14.031384615384647</v>
      </c>
      <c r="E18">
        <f t="shared" si="6"/>
        <v>0.34983782105338451</v>
      </c>
      <c r="F18">
        <f t="shared" si="7"/>
        <v>0.48582541401690627</v>
      </c>
      <c r="O18" s="394"/>
      <c r="P18" s="394"/>
      <c r="Q18" s="394"/>
      <c r="R18" s="394"/>
      <c r="S18" s="394"/>
    </row>
    <row r="19" spans="2:21">
      <c r="B19">
        <f t="shared" si="8"/>
        <v>1.2229999999999992</v>
      </c>
      <c r="C19">
        <f t="shared" si="4"/>
        <v>1.1532627328608136</v>
      </c>
      <c r="D19">
        <f t="shared" si="5"/>
        <v>13.414609865470883</v>
      </c>
      <c r="E19">
        <f t="shared" si="6"/>
        <v>0.348615292392712</v>
      </c>
      <c r="F19">
        <f t="shared" si="7"/>
        <v>0.50560284496224839</v>
      </c>
      <c r="O19" s="394"/>
      <c r="P19" s="394"/>
      <c r="Q19" s="394"/>
      <c r="R19" s="394"/>
      <c r="S19" s="394"/>
    </row>
    <row r="20" spans="2:21">
      <c r="B20">
        <f t="shared" si="8"/>
        <v>1.2379999999999991</v>
      </c>
      <c r="C20">
        <f t="shared" si="4"/>
        <v>1.1485766763039116</v>
      </c>
      <c r="D20">
        <f t="shared" si="5"/>
        <v>12.879361344537845</v>
      </c>
      <c r="E20">
        <f t="shared" si="6"/>
        <v>0.34740258996659268</v>
      </c>
      <c r="F20">
        <f t="shared" si="7"/>
        <v>0.52416748729893015</v>
      </c>
    </row>
    <row r="22" spans="2:21" ht="13.8" thickBot="1">
      <c r="B22" s="8" t="s">
        <v>1047</v>
      </c>
      <c r="D22" s="8" t="s">
        <v>1048</v>
      </c>
      <c r="F22" s="8" t="s">
        <v>1049</v>
      </c>
      <c r="L22" t="s">
        <v>684</v>
      </c>
      <c r="M22">
        <v>3</v>
      </c>
      <c r="N22" t="s">
        <v>104</v>
      </c>
      <c r="R22" s="789" t="s">
        <v>1118</v>
      </c>
      <c r="S22" s="789" t="s">
        <v>1119</v>
      </c>
    </row>
    <row r="23" spans="2:21" ht="13.8" thickBot="1">
      <c r="B23" s="8" t="s">
        <v>110</v>
      </c>
      <c r="C23" s="8" t="s">
        <v>651</v>
      </c>
      <c r="D23" s="8" t="s">
        <v>110</v>
      </c>
      <c r="E23" s="8" t="s">
        <v>651</v>
      </c>
      <c r="F23" t="s">
        <v>110</v>
      </c>
      <c r="G23" t="s">
        <v>651</v>
      </c>
      <c r="L23" t="s">
        <v>685</v>
      </c>
      <c r="M23">
        <v>14</v>
      </c>
      <c r="N23" t="s">
        <v>64</v>
      </c>
      <c r="P23" s="440" t="s">
        <v>699</v>
      </c>
      <c r="R23">
        <v>189</v>
      </c>
      <c r="S23" s="40">
        <f>T25-R23</f>
        <v>48</v>
      </c>
      <c r="T23" s="415"/>
    </row>
    <row r="24" spans="2:21" ht="13.8" thickBot="1">
      <c r="B24">
        <v>1.0100000000000007</v>
      </c>
      <c r="C24">
        <v>1.1004576250643052</v>
      </c>
      <c r="D24">
        <v>1.0100000000000007</v>
      </c>
      <c r="E24">
        <v>1.2858856938817027</v>
      </c>
      <c r="F24">
        <v>1.0100000000000007</v>
      </c>
      <c r="G24">
        <v>1.4208795526230777</v>
      </c>
      <c r="L24" s="441" t="s">
        <v>683</v>
      </c>
      <c r="M24" s="442">
        <f>M22*9.81*M23</f>
        <v>412.02</v>
      </c>
      <c r="N24" t="s">
        <v>11</v>
      </c>
      <c r="P24" s="8" t="s">
        <v>694</v>
      </c>
      <c r="R24">
        <v>2</v>
      </c>
      <c r="S24" s="8" t="s">
        <v>2</v>
      </c>
      <c r="T24" s="8" t="s">
        <v>696</v>
      </c>
    </row>
    <row r="25" spans="2:21">
      <c r="B25">
        <v>1.0250000000000006</v>
      </c>
      <c r="C25">
        <v>1.094883823518723</v>
      </c>
      <c r="D25">
        <v>1.0250000000000006</v>
      </c>
      <c r="E25">
        <v>1.2743928504321635</v>
      </c>
      <c r="F25">
        <v>1.0250000000000006</v>
      </c>
      <c r="G25">
        <v>1.4036339261783111</v>
      </c>
      <c r="L25" t="s">
        <v>652</v>
      </c>
      <c r="P25" s="435" t="s">
        <v>697</v>
      </c>
      <c r="Q25" s="436"/>
      <c r="R25" s="433">
        <f>((ROUNDUP(M48,0)+1)*R24)+(ROUNDUP(M48,0)*M37)</f>
        <v>236.55631919048105</v>
      </c>
      <c r="S25" s="8" t="s">
        <v>2</v>
      </c>
      <c r="T25" s="438">
        <f>ROUNDUP(R25,0)</f>
        <v>237</v>
      </c>
      <c r="U25" s="8" t="s">
        <v>2</v>
      </c>
    </row>
    <row r="26" spans="2:21" ht="13.8" thickBot="1">
      <c r="B26">
        <v>1.0400000000000005</v>
      </c>
      <c r="C26">
        <v>1.0896434583826267</v>
      </c>
      <c r="D26">
        <v>1.0400000000000005</v>
      </c>
      <c r="E26">
        <v>1.2635799297566739</v>
      </c>
      <c r="F26">
        <v>1.0400000000000005</v>
      </c>
      <c r="G26">
        <v>1.3874564590236778</v>
      </c>
      <c r="L26" t="s">
        <v>657</v>
      </c>
      <c r="M26">
        <f>F3</f>
        <v>5</v>
      </c>
      <c r="N26" t="s">
        <v>87</v>
      </c>
      <c r="P26" s="437" t="s">
        <v>698</v>
      </c>
      <c r="Q26" s="220"/>
      <c r="R26" s="434">
        <f>M35</f>
        <v>31.08</v>
      </c>
      <c r="S26" s="8" t="s">
        <v>2</v>
      </c>
      <c r="T26" s="439">
        <f>ROUNDUP(R26,0)</f>
        <v>32</v>
      </c>
      <c r="U26" s="8" t="s">
        <v>2</v>
      </c>
    </row>
    <row r="27" spans="2:21" ht="13.8" thickBot="1">
      <c r="B27">
        <v>1.0550000000000004</v>
      </c>
      <c r="C27">
        <v>1.0847143871179765</v>
      </c>
      <c r="D27">
        <v>1.0550000000000004</v>
      </c>
      <c r="E27">
        <v>1.2533980432338656</v>
      </c>
      <c r="F27">
        <v>1.0550000000000004</v>
      </c>
      <c r="G27">
        <v>1.3722648382097775</v>
      </c>
      <c r="L27" t="s">
        <v>656</v>
      </c>
      <c r="M27">
        <v>0.4</v>
      </c>
      <c r="N27" t="s">
        <v>587</v>
      </c>
      <c r="P27" s="8" t="s">
        <v>693</v>
      </c>
      <c r="R27">
        <f>((PI()*R26^2)/4)*R25</f>
        <v>179467.76550457333</v>
      </c>
      <c r="S27" s="8" t="s">
        <v>687</v>
      </c>
      <c r="T27" s="40"/>
    </row>
    <row r="28" spans="2:21" ht="13.8" thickBot="1">
      <c r="B28">
        <v>1.0700000000000003</v>
      </c>
      <c r="C28">
        <v>1.0800762627172529</v>
      </c>
      <c r="D28">
        <v>1.0700000000000003</v>
      </c>
      <c r="E28">
        <v>1.2438026132849838</v>
      </c>
      <c r="F28">
        <v>1.0700000000000003</v>
      </c>
      <c r="G28">
        <v>1.357984497450903</v>
      </c>
      <c r="L28" t="s">
        <v>176</v>
      </c>
      <c r="M28" s="756">
        <f>M27*M24</f>
        <v>164.80799999999999</v>
      </c>
      <c r="N28" t="s">
        <v>686</v>
      </c>
      <c r="R28">
        <f>R27/10^9</f>
        <v>1.7946776550457333E-4</v>
      </c>
      <c r="S28" s="789" t="s">
        <v>1041</v>
      </c>
    </row>
    <row r="29" spans="2:21" ht="13.8" thickBot="1">
      <c r="B29">
        <v>1.0850000000000002</v>
      </c>
      <c r="C29">
        <v>1.0757103608159075</v>
      </c>
      <c r="D29">
        <v>1.0850000000000002</v>
      </c>
      <c r="E29">
        <v>1.2347529244925168</v>
      </c>
      <c r="F29">
        <v>1.0850000000000002</v>
      </c>
      <c r="G29">
        <v>1.3445477617861656</v>
      </c>
      <c r="L29" t="s">
        <v>1034</v>
      </c>
      <c r="M29" s="766" t="str">
        <f>IF(OR(M28&gt;160,M28&lt;320),"H",IF(OR(M28&gt;320,M28&lt;640),"I",IF(OR(M28&gt;640,M28&lt;1280),"J",0)))</f>
        <v>H</v>
      </c>
      <c r="R29">
        <f>CONVERT(R28,"m^3","l")</f>
        <v>0.17946776550457333</v>
      </c>
      <c r="S29" s="789" t="s">
        <v>46</v>
      </c>
    </row>
    <row r="30" spans="2:21" ht="13.8" thickBot="1">
      <c r="B30">
        <v>1.1000000000000001</v>
      </c>
      <c r="C30">
        <v>1.0715994260077042</v>
      </c>
      <c r="D30">
        <v>1.1000000000000001</v>
      </c>
      <c r="E30">
        <v>1.2262117282880265</v>
      </c>
      <c r="F30">
        <v>1.1000000000000001</v>
      </c>
      <c r="G30">
        <v>1.3318930998780301</v>
      </c>
      <c r="L30" t="s">
        <v>88</v>
      </c>
      <c r="M30" s="40">
        <f>8.26*M26^(0.319)</f>
        <v>13.802300505949331</v>
      </c>
      <c r="N30" t="s">
        <v>671</v>
      </c>
      <c r="T30" s="720" t="s">
        <v>1093</v>
      </c>
    </row>
    <row r="31" spans="2:21">
      <c r="B31">
        <v>1.115</v>
      </c>
      <c r="C31">
        <v>1.067727534956985</v>
      </c>
      <c r="D31">
        <v>1.115</v>
      </c>
      <c r="E31">
        <v>1.2181448940382935</v>
      </c>
      <c r="F31">
        <v>1.115</v>
      </c>
      <c r="G31">
        <v>1.3199644688214407</v>
      </c>
      <c r="L31" s="428" t="s">
        <v>98</v>
      </c>
      <c r="M31" s="433">
        <f>M24/(C13*F3)</f>
        <v>69.402342250802377</v>
      </c>
      <c r="N31" t="s">
        <v>687</v>
      </c>
      <c r="T31" s="789" t="s">
        <v>1092</v>
      </c>
    </row>
    <row r="32" spans="2:21" ht="13.8" thickBot="1">
      <c r="B32">
        <v>1.1329999999999998</v>
      </c>
      <c r="C32">
        <v>1.063376165575729</v>
      </c>
      <c r="D32">
        <v>1.1329999999999998</v>
      </c>
      <c r="E32">
        <v>1.2090469316422143</v>
      </c>
      <c r="F32">
        <v>1.1329999999999998</v>
      </c>
      <c r="G32">
        <v>1.3065367967488921</v>
      </c>
      <c r="L32" s="430" t="s">
        <v>654</v>
      </c>
      <c r="M32" s="434">
        <f>SQRT((M31*4)/PI())</f>
        <v>9.4003088593389084</v>
      </c>
      <c r="N32" t="s">
        <v>2</v>
      </c>
    </row>
    <row r="33" spans="2:22">
      <c r="B33">
        <v>1.1479999999999997</v>
      </c>
      <c r="C33">
        <v>1.0599799222828739</v>
      </c>
      <c r="D33">
        <v>1.1479999999999997</v>
      </c>
      <c r="E33">
        <v>1.201916995542756</v>
      </c>
      <c r="F33">
        <v>1.1479999999999997</v>
      </c>
      <c r="G33">
        <v>1.2960316282813114</v>
      </c>
      <c r="L33" t="s">
        <v>665</v>
      </c>
      <c r="M33">
        <f>M31*M34</f>
        <v>14870.913930929628</v>
      </c>
      <c r="N33" s="789" t="s">
        <v>687</v>
      </c>
      <c r="T33" s="789" t="s">
        <v>1091</v>
      </c>
    </row>
    <row r="34" spans="2:22" ht="13.8" thickBot="1">
      <c r="B34">
        <v>1.1629999999999996</v>
      </c>
      <c r="C34">
        <v>1.0567793771515182</v>
      </c>
      <c r="D34">
        <v>1.1629999999999996</v>
      </c>
      <c r="E34">
        <v>1.1951697788051141</v>
      </c>
      <c r="F34">
        <v>1.1629999999999996</v>
      </c>
      <c r="G34">
        <v>1.2861037597545215</v>
      </c>
      <c r="L34" t="s">
        <v>13</v>
      </c>
      <c r="M34" s="40">
        <f>F4</f>
        <v>214.27106706557447</v>
      </c>
      <c r="N34" t="s">
        <v>64</v>
      </c>
    </row>
    <row r="35" spans="2:22">
      <c r="B35">
        <v>1.1779999999999995</v>
      </c>
      <c r="C35">
        <v>1.0537630086224015</v>
      </c>
      <c r="D35">
        <v>1.1779999999999995</v>
      </c>
      <c r="E35">
        <v>1.1887812566559248</v>
      </c>
      <c r="F35">
        <v>1.1779999999999995</v>
      </c>
      <c r="G35">
        <v>1.2767146609053861</v>
      </c>
      <c r="L35" s="428" t="s">
        <v>655</v>
      </c>
      <c r="M35" s="781">
        <v>31.08</v>
      </c>
      <c r="N35" t="s">
        <v>2</v>
      </c>
      <c r="O35" s="769" t="s">
        <v>695</v>
      </c>
      <c r="T35" s="789" t="s">
        <v>1090</v>
      </c>
    </row>
    <row r="36" spans="2:22" ht="13.8" thickBot="1">
      <c r="B36">
        <v>1.1929999999999994</v>
      </c>
      <c r="C36">
        <v>1.0509201164843107</v>
      </c>
      <c r="D36">
        <v>1.1929999999999994</v>
      </c>
      <c r="E36">
        <v>1.1827292520824888</v>
      </c>
      <c r="F36">
        <v>1.1929999999999994</v>
      </c>
      <c r="G36">
        <v>1.2678289506347058</v>
      </c>
      <c r="L36" s="429" t="s">
        <v>658</v>
      </c>
      <c r="M36" s="782">
        <f>M35-2*M30*M27</f>
        <v>20.038159595240533</v>
      </c>
      <c r="N36" t="s">
        <v>2</v>
      </c>
    </row>
    <row r="37" spans="2:22" ht="13.8" thickBot="1">
      <c r="B37">
        <v>1.2079999999999993</v>
      </c>
      <c r="C37">
        <v>1.0482407522980917</v>
      </c>
      <c r="D37">
        <v>1.2079999999999993</v>
      </c>
      <c r="E37">
        <v>1.176993267435108</v>
      </c>
      <c r="F37">
        <v>1.2079999999999993</v>
      </c>
      <c r="G37">
        <v>1.2594140935368223</v>
      </c>
      <c r="L37" s="430" t="s">
        <v>659</v>
      </c>
      <c r="M37" s="783">
        <f>0.5*(3*M35+M36)</f>
        <v>56.639079797620262</v>
      </c>
      <c r="N37" t="s">
        <v>2</v>
      </c>
      <c r="P37" s="440" t="s">
        <v>700</v>
      </c>
      <c r="R37" s="789" t="s">
        <v>1118</v>
      </c>
      <c r="S37" s="789" t="s">
        <v>1119</v>
      </c>
    </row>
    <row r="38" spans="2:22" ht="13.8" thickBot="1">
      <c r="B38">
        <v>1.2229999999999992</v>
      </c>
      <c r="C38">
        <v>1.0457156566366215</v>
      </c>
      <c r="D38">
        <v>1.2229999999999992</v>
      </c>
      <c r="E38">
        <v>1.1715543336855485</v>
      </c>
      <c r="F38">
        <v>1.2229999999999992</v>
      </c>
      <c r="G38">
        <v>1.2514401299019506</v>
      </c>
      <c r="L38" s="441" t="s">
        <v>1046</v>
      </c>
      <c r="M38" s="770">
        <f>M37/M35</f>
        <v>1.8223642148526469</v>
      </c>
      <c r="N38" s="756">
        <f>(M37*2)/M35</f>
        <v>3.6447284297052938</v>
      </c>
      <c r="P38" s="8"/>
      <c r="R38">
        <v>189</v>
      </c>
      <c r="S38" s="40">
        <f>T40-R38</f>
        <v>48</v>
      </c>
      <c r="T38" s="8"/>
    </row>
    <row r="39" spans="2:22" ht="13.8" thickBot="1">
      <c r="B39">
        <v>1.2379999999999991</v>
      </c>
      <c r="C39">
        <v>1.0433362023854227</v>
      </c>
      <c r="D39">
        <v>1.2379999999999991</v>
      </c>
      <c r="E39">
        <v>1.1663948752582725</v>
      </c>
      <c r="F39">
        <v>1.2379999999999991</v>
      </c>
      <c r="G39">
        <v>1.243879435054255</v>
      </c>
      <c r="L39" t="s">
        <v>794</v>
      </c>
      <c r="M39">
        <v>0</v>
      </c>
      <c r="P39" s="8" t="s">
        <v>694</v>
      </c>
      <c r="R39">
        <v>2</v>
      </c>
      <c r="S39" s="8" t="s">
        <v>2</v>
      </c>
      <c r="T39" s="8" t="s">
        <v>696</v>
      </c>
    </row>
    <row r="40" spans="2:22">
      <c r="L40" t="s">
        <v>660</v>
      </c>
      <c r="M40" s="40">
        <f>0.5*PI()*(M35^2-M36^2)+PI()*M37*M36</f>
        <v>4452.1463575022317</v>
      </c>
      <c r="N40" t="s">
        <v>687</v>
      </c>
      <c r="P40" s="435" t="s">
        <v>697</v>
      </c>
      <c r="Q40" s="436"/>
      <c r="R40" s="433">
        <f>((ROUNDUP(M49,0)+1)*R39)+(ROUNDUP(M49,0)*M37)</f>
        <v>236.55631919048105</v>
      </c>
      <c r="S40" s="8" t="s">
        <v>2</v>
      </c>
      <c r="T40" s="438">
        <f>ROUNDUP(R40,0)</f>
        <v>237</v>
      </c>
      <c r="U40" s="8" t="s">
        <v>2</v>
      </c>
      <c r="V40" s="415"/>
    </row>
    <row r="41" spans="2:22" ht="13.8" thickBot="1">
      <c r="L41" t="s">
        <v>661</v>
      </c>
      <c r="M41" s="40">
        <f>0.5*PI()*(M35^2-M46^2)+PI()*M45*M46</f>
        <v>4595.7826120016216</v>
      </c>
      <c r="N41" t="s">
        <v>687</v>
      </c>
      <c r="P41" s="437" t="s">
        <v>698</v>
      </c>
      <c r="Q41" s="220"/>
      <c r="R41" s="434">
        <f>M35</f>
        <v>31.08</v>
      </c>
      <c r="S41" s="8" t="s">
        <v>2</v>
      </c>
      <c r="T41" s="439">
        <f>ROUNDUP(R41,0)</f>
        <v>32</v>
      </c>
      <c r="U41" s="8" t="s">
        <v>2</v>
      </c>
    </row>
    <row r="42" spans="2:22">
      <c r="L42" s="8" t="s">
        <v>793</v>
      </c>
      <c r="M42" s="40">
        <f>M40</f>
        <v>4452.1463575022317</v>
      </c>
      <c r="N42" t="s">
        <v>687</v>
      </c>
      <c r="P42" s="8" t="s">
        <v>693</v>
      </c>
      <c r="R42">
        <f>((PI()*R41^2)/4)*R40</f>
        <v>179467.76550457333</v>
      </c>
      <c r="S42" s="8" t="s">
        <v>687</v>
      </c>
      <c r="T42" s="40"/>
    </row>
    <row r="43" spans="2:22">
      <c r="R43">
        <f>R42/10^9</f>
        <v>1.7946776550457333E-4</v>
      </c>
      <c r="S43" s="789" t="s">
        <v>1041</v>
      </c>
    </row>
    <row r="44" spans="2:22">
      <c r="L44" t="s">
        <v>47</v>
      </c>
      <c r="M44" s="40">
        <f>(1/6)*(M37-2*M36)</f>
        <v>2.760460101189866</v>
      </c>
      <c r="R44">
        <f>CONVERT(R43,"m^3","l")</f>
        <v>0.17946776550457333</v>
      </c>
      <c r="S44" s="789" t="s">
        <v>46</v>
      </c>
    </row>
    <row r="45" spans="2:22">
      <c r="L45" t="s">
        <v>662</v>
      </c>
      <c r="M45" s="40">
        <f>M37-2*M44</f>
        <v>51.118159595240527</v>
      </c>
      <c r="N45" t="s">
        <v>2</v>
      </c>
    </row>
    <row r="46" spans="2:22">
      <c r="B46" s="789" t="str">
        <f>"Ab,burned at " &amp;F1</f>
        <v>Ab,burned at 5 MPa MEOP</v>
      </c>
      <c r="L46" t="s">
        <v>663</v>
      </c>
      <c r="M46" s="40">
        <f>M36+2*M44</f>
        <v>25.559079797620264</v>
      </c>
      <c r="N46" t="s">
        <v>2</v>
      </c>
    </row>
    <row r="47" spans="2:22" ht="13.8" thickBot="1">
      <c r="B47" t="str">
        <f>L39</f>
        <v>Ab,0</v>
      </c>
      <c r="C47">
        <v>0</v>
      </c>
      <c r="D47">
        <f>M39</f>
        <v>0</v>
      </c>
    </row>
    <row r="48" spans="2:22">
      <c r="B48" t="str">
        <f>L40</f>
        <v>Ab,init</v>
      </c>
      <c r="C48">
        <f>C50*0.01</f>
        <v>4.0000000000000001E-3</v>
      </c>
      <c r="D48">
        <f>M40</f>
        <v>4452.1463575022317</v>
      </c>
      <c r="L48" s="431" t="s">
        <v>664</v>
      </c>
      <c r="M48" s="433">
        <f>$M$33/M40</f>
        <v>3.3401673567785837</v>
      </c>
      <c r="N48" s="40">
        <f>ROUNDUP(M48,0)</f>
        <v>4</v>
      </c>
      <c r="O48" s="8" t="s">
        <v>699</v>
      </c>
      <c r="Q48" s="8" t="s">
        <v>1044</v>
      </c>
      <c r="S48">
        <f>Q50*(J6*1000)*N48</f>
        <v>0.18972068966534764</v>
      </c>
      <c r="T48" s="8" t="s">
        <v>104</v>
      </c>
    </row>
    <row r="49" spans="2:24" ht="13.8" thickBot="1">
      <c r="B49" t="str">
        <f>L41</f>
        <v>Ab,max</v>
      </c>
      <c r="C49">
        <f>C51/2</f>
        <v>0.20200000000000001</v>
      </c>
      <c r="D49">
        <f>M41</f>
        <v>4595.7826120016216</v>
      </c>
      <c r="L49" s="432"/>
      <c r="M49" s="434">
        <f>$M$33/M41</f>
        <v>3.2357740098705046</v>
      </c>
      <c r="N49" s="40">
        <f>ROUNDUP(M49,0)</f>
        <v>4</v>
      </c>
      <c r="O49" s="8" t="s">
        <v>700</v>
      </c>
      <c r="Q49">
        <f>((PI()/4)*(M35*M35-M36*M36))*M37</f>
        <v>25108.614301925307</v>
      </c>
      <c r="R49" s="8" t="s">
        <v>1040</v>
      </c>
      <c r="S49">
        <f>S48*1000</f>
        <v>189.72068966534763</v>
      </c>
      <c r="T49" s="8" t="s">
        <v>1042</v>
      </c>
    </row>
    <row r="50" spans="2:24">
      <c r="B50" t="str">
        <f>L42</f>
        <v>Ab,last,sym</v>
      </c>
      <c r="C50">
        <f>M27</f>
        <v>0.4</v>
      </c>
      <c r="D50">
        <f>M42</f>
        <v>4452.1463575022317</v>
      </c>
      <c r="L50" t="s">
        <v>701</v>
      </c>
      <c r="M50">
        <f>N48*M40</f>
        <v>17808.585430008927</v>
      </c>
      <c r="Q50">
        <f>Q49*(1*10^-9)</f>
        <v>2.5108614301925308E-5</v>
      </c>
      <c r="R50" s="8" t="s">
        <v>1041</v>
      </c>
    </row>
    <row r="51" spans="2:24">
      <c r="B51">
        <f>L43</f>
        <v>0</v>
      </c>
      <c r="C51">
        <f>C50+C50*0.01</f>
        <v>0.40400000000000003</v>
      </c>
      <c r="D51">
        <f>M43</f>
        <v>0</v>
      </c>
      <c r="M51">
        <f>N49*M41</f>
        <v>18383.130448006486</v>
      </c>
    </row>
    <row r="52" spans="2:24">
      <c r="L52" s="8" t="s">
        <v>702</v>
      </c>
      <c r="M52" s="9">
        <f>M51/M31</f>
        <v>264.87766625475746</v>
      </c>
      <c r="N52" s="8" t="s">
        <v>704</v>
      </c>
      <c r="Q52" s="8" t="s">
        <v>1045</v>
      </c>
      <c r="S52">
        <f>Q50*(J6*1000)*M48</f>
        <v>0.15842471363142854</v>
      </c>
      <c r="T52" s="8" t="s">
        <v>104</v>
      </c>
    </row>
    <row r="53" spans="2:24">
      <c r="L53" s="8" t="s">
        <v>703</v>
      </c>
      <c r="Q53">
        <f>((PI()/4)*(M35*M35-M36*M36))*M37</f>
        <v>25108.614301925307</v>
      </c>
      <c r="R53" s="8" t="s">
        <v>1040</v>
      </c>
      <c r="S53">
        <f>S52*1000</f>
        <v>158.42471363142855</v>
      </c>
      <c r="T53" s="8" t="s">
        <v>1042</v>
      </c>
    </row>
    <row r="54" spans="2:24">
      <c r="Q54">
        <f>Q53*(1*10^-9)</f>
        <v>2.5108614301925308E-5</v>
      </c>
      <c r="R54" s="8" t="s">
        <v>1041</v>
      </c>
    </row>
    <row r="56" spans="2:24" ht="13.8" thickBot="1">
      <c r="L56" s="779" t="s">
        <v>1081</v>
      </c>
      <c r="M56" s="410"/>
      <c r="N56" s="220"/>
      <c r="O56" s="220"/>
      <c r="P56" s="220"/>
      <c r="Q56" s="220"/>
      <c r="R56" s="220"/>
      <c r="S56" s="220"/>
      <c r="T56" s="220"/>
      <c r="U56" s="220"/>
      <c r="V56" s="220"/>
    </row>
    <row r="57" spans="2:24">
      <c r="K57" s="789"/>
      <c r="L57" s="789" t="s">
        <v>1084</v>
      </c>
    </row>
    <row r="58" spans="2:24">
      <c r="L58" s="415" t="s">
        <v>1050</v>
      </c>
      <c r="N58">
        <f>PI()*M60^2*(1/4)</f>
        <v>966.51600642514586</v>
      </c>
      <c r="O58" s="415" t="s">
        <v>1080</v>
      </c>
    </row>
    <row r="59" spans="2:24">
      <c r="L59" s="8" t="s">
        <v>1051</v>
      </c>
      <c r="M59">
        <v>42.2</v>
      </c>
      <c r="N59" s="8" t="s">
        <v>2</v>
      </c>
      <c r="O59" s="8" t="s">
        <v>1051</v>
      </c>
      <c r="P59">
        <f>M60</f>
        <v>35.080000000000005</v>
      </c>
      <c r="Q59" s="8" t="s">
        <v>2</v>
      </c>
      <c r="R59" s="788" t="s">
        <v>1085</v>
      </c>
      <c r="U59" t="s">
        <v>1073</v>
      </c>
    </row>
    <row r="60" spans="2:24" ht="13.8" thickBot="1">
      <c r="L60" s="8" t="s">
        <v>1079</v>
      </c>
      <c r="M60">
        <f>M59-M61*2</f>
        <v>35.080000000000005</v>
      </c>
      <c r="N60" s="8" t="s">
        <v>2</v>
      </c>
      <c r="O60" s="8" t="s">
        <v>1079</v>
      </c>
      <c r="P60">
        <f>+P59-P61*2</f>
        <v>31.080000000000005</v>
      </c>
      <c r="Q60" s="8" t="s">
        <v>2</v>
      </c>
    </row>
    <row r="61" spans="2:24" ht="13.8" thickBot="1">
      <c r="L61" s="8" t="s">
        <v>957</v>
      </c>
      <c r="M61">
        <v>3.56</v>
      </c>
      <c r="N61" s="8" t="s">
        <v>2</v>
      </c>
      <c r="O61" s="784" t="s">
        <v>957</v>
      </c>
      <c r="P61" s="758">
        <v>2</v>
      </c>
      <c r="Q61" s="785" t="s">
        <v>2</v>
      </c>
    </row>
    <row r="62" spans="2:24">
      <c r="L62" s="8" t="s">
        <v>1052</v>
      </c>
      <c r="M62">
        <v>1</v>
      </c>
      <c r="O62" s="8" t="s">
        <v>1052</v>
      </c>
    </row>
    <row r="63" spans="2:24">
      <c r="U63" s="731" t="s">
        <v>975</v>
      </c>
      <c r="V63" s="730"/>
    </row>
    <row r="64" spans="2:24">
      <c r="L64" s="415" t="s">
        <v>1053</v>
      </c>
      <c r="O64" s="415" t="s">
        <v>1076</v>
      </c>
      <c r="U64" s="731"/>
      <c r="V64" s="730"/>
      <c r="W64" s="737"/>
      <c r="X64" s="738"/>
    </row>
    <row r="65" spans="2:24">
      <c r="L65" s="722" t="s">
        <v>962</v>
      </c>
      <c r="M65">
        <v>240</v>
      </c>
      <c r="N65" s="8" t="s">
        <v>87</v>
      </c>
      <c r="O65" s="722" t="s">
        <v>962</v>
      </c>
      <c r="P65">
        <f>M65*S66</f>
        <v>144</v>
      </c>
      <c r="Q65" s="8" t="s">
        <v>87</v>
      </c>
      <c r="R65" s="8" t="s">
        <v>1075</v>
      </c>
      <c r="S65">
        <v>500</v>
      </c>
      <c r="T65" s="8" t="s">
        <v>799</v>
      </c>
      <c r="U65" s="737" t="s">
        <v>63</v>
      </c>
      <c r="V65" s="738">
        <v>9.5832999999999995</v>
      </c>
      <c r="W65" s="737" t="s">
        <v>53</v>
      </c>
      <c r="X65" s="738">
        <v>-28.478999999999999</v>
      </c>
    </row>
    <row r="66" spans="2:24">
      <c r="L66" s="722" t="s">
        <v>964</v>
      </c>
      <c r="M66">
        <v>415</v>
      </c>
      <c r="N66" s="8" t="s">
        <v>87</v>
      </c>
      <c r="O66" s="722" t="s">
        <v>964</v>
      </c>
      <c r="P66">
        <f>M66*S67</f>
        <v>332</v>
      </c>
      <c r="Q66" s="8" t="s">
        <v>87</v>
      </c>
      <c r="R66" s="8" t="s">
        <v>1077</v>
      </c>
      <c r="S66" s="780">
        <v>0.6</v>
      </c>
      <c r="T66" s="8" t="s">
        <v>64</v>
      </c>
      <c r="U66" s="737" t="s">
        <v>65</v>
      </c>
      <c r="V66" s="738">
        <v>-33.527999999999999</v>
      </c>
      <c r="W66" s="737" t="s">
        <v>67</v>
      </c>
      <c r="X66" s="738">
        <v>8.6475000000000009</v>
      </c>
    </row>
    <row r="67" spans="2:24">
      <c r="L67" s="2" t="s">
        <v>965</v>
      </c>
      <c r="M67">
        <v>200000</v>
      </c>
      <c r="N67" s="8" t="s">
        <v>87</v>
      </c>
      <c r="O67" s="2" t="s">
        <v>965</v>
      </c>
      <c r="P67">
        <v>200000</v>
      </c>
      <c r="Q67" s="8" t="s">
        <v>87</v>
      </c>
      <c r="R67" s="8" t="s">
        <v>1078</v>
      </c>
      <c r="S67" s="780">
        <v>0.8</v>
      </c>
      <c r="U67" s="737" t="s">
        <v>66</v>
      </c>
      <c r="V67" s="738">
        <v>44.929000000000002</v>
      </c>
    </row>
    <row r="68" spans="2:24">
      <c r="L68" s="725" t="s">
        <v>968</v>
      </c>
      <c r="M68">
        <v>0.28999999999999998</v>
      </c>
      <c r="O68" s="725" t="s">
        <v>968</v>
      </c>
      <c r="P68">
        <v>0.28999999999999998</v>
      </c>
    </row>
    <row r="69" spans="2:24">
      <c r="B69" s="789" t="s">
        <v>87</v>
      </c>
      <c r="C69" s="789" t="s">
        <v>13</v>
      </c>
      <c r="D69" s="789" t="s">
        <v>1128</v>
      </c>
      <c r="E69" s="789" t="s">
        <v>13</v>
      </c>
      <c r="P69" s="737"/>
      <c r="Q69" s="738"/>
    </row>
    <row r="70" spans="2:24">
      <c r="B70">
        <v>1</v>
      </c>
      <c r="C70">
        <v>72</v>
      </c>
      <c r="D70">
        <f>F3</f>
        <v>5</v>
      </c>
      <c r="E70">
        <f>VLOOKUP(D70,B69:C84,2,FALSE)</f>
        <v>214</v>
      </c>
      <c r="L70" s="415" t="s">
        <v>974</v>
      </c>
      <c r="O70" s="415" t="s">
        <v>1074</v>
      </c>
      <c r="P70" s="737"/>
      <c r="Q70" s="738"/>
    </row>
    <row r="71" spans="2:24">
      <c r="B71">
        <v>2</v>
      </c>
      <c r="C71">
        <v>115</v>
      </c>
      <c r="L71" s="415"/>
      <c r="P71" s="737"/>
      <c r="Q71" s="738"/>
    </row>
    <row r="72" spans="2:24" ht="15.6">
      <c r="B72">
        <v>3</v>
      </c>
      <c r="C72">
        <v>151</v>
      </c>
      <c r="L72" s="771" t="s">
        <v>1056</v>
      </c>
      <c r="M72" s="10">
        <f>2*((M61*M65)/(M59*M62))</f>
        <v>40.492890995260659</v>
      </c>
      <c r="N72" s="8" t="s">
        <v>87</v>
      </c>
      <c r="O72" s="771" t="s">
        <v>1056</v>
      </c>
      <c r="P72" s="10">
        <f>2*((M61*P65)/(M59*M62))</f>
        <v>24.295734597156397</v>
      </c>
      <c r="Q72" s="8" t="s">
        <v>87</v>
      </c>
    </row>
    <row r="73" spans="2:24" ht="15.6">
      <c r="B73">
        <v>4</v>
      </c>
      <c r="C73">
        <v>184</v>
      </c>
      <c r="L73" s="771" t="s">
        <v>1057</v>
      </c>
      <c r="M73" s="10">
        <f>2*M76*((M61*M65)/(M59))</f>
        <v>72.529921514815896</v>
      </c>
      <c r="N73" s="8" t="s">
        <v>87</v>
      </c>
      <c r="O73" s="771" t="s">
        <v>1057</v>
      </c>
      <c r="P73" s="10">
        <f>2*M76*((M61*P65)/(M59))</f>
        <v>43.517952908889541</v>
      </c>
      <c r="Q73" s="8" t="s">
        <v>87</v>
      </c>
    </row>
    <row r="74" spans="2:24" ht="15.6">
      <c r="B74">
        <v>5</v>
      </c>
      <c r="C74">
        <v>214</v>
      </c>
      <c r="L74" s="771" t="s">
        <v>1058</v>
      </c>
      <c r="M74" s="10">
        <f>ca*betaMechanical^4+cb*betaMechanical^3+cc*betaMechanical^2+cd*betaMechanical+ce</f>
        <v>1.5804730506428193</v>
      </c>
      <c r="O74" s="771" t="s">
        <v>1058</v>
      </c>
      <c r="P74" s="10">
        <f>ca*betaMechanical^4+cb*betaMechanical^3+cc*betaMechanical^2+cd*betaMechanical+ce</f>
        <v>1.5804730506428193</v>
      </c>
    </row>
    <row r="75" spans="2:24">
      <c r="B75">
        <v>6</v>
      </c>
      <c r="C75">
        <v>242</v>
      </c>
      <c r="L75" s="725" t="s">
        <v>970</v>
      </c>
      <c r="M75" s="10">
        <f>M65/M66</f>
        <v>0.57831325301204817</v>
      </c>
      <c r="O75" s="725" t="s">
        <v>970</v>
      </c>
      <c r="P75" s="10">
        <f>P65/P66</f>
        <v>0.43373493975903615</v>
      </c>
    </row>
    <row r="76" spans="2:24">
      <c r="B76">
        <v>7</v>
      </c>
      <c r="C76">
        <v>270</v>
      </c>
      <c r="L76" s="722" t="s">
        <v>972</v>
      </c>
      <c r="M76" s="10">
        <f>ca*M75^4+cb*M75^3+cc*M75^2+cd*M75+ce</f>
        <v>1.7911766666229116</v>
      </c>
      <c r="O76" s="722" t="s">
        <v>972</v>
      </c>
      <c r="P76" s="10">
        <f>ca*P75^4+cb*P75^3+cc*P75^2+cd*P75+ce</f>
        <v>2.3508638045644323</v>
      </c>
    </row>
    <row r="77" spans="2:24">
      <c r="B77">
        <v>8</v>
      </c>
      <c r="C77">
        <v>295</v>
      </c>
    </row>
    <row r="78" spans="2:24">
      <c r="B78">
        <v>9</v>
      </c>
      <c r="C78">
        <v>320</v>
      </c>
    </row>
    <row r="79" spans="2:24">
      <c r="B79">
        <v>10</v>
      </c>
      <c r="C79">
        <v>343</v>
      </c>
      <c r="L79" s="740" t="s">
        <v>982</v>
      </c>
      <c r="O79" s="740"/>
    </row>
    <row r="80" spans="2:24">
      <c r="B80">
        <v>11</v>
      </c>
      <c r="C80">
        <v>367</v>
      </c>
      <c r="L80" s="733"/>
    </row>
    <row r="81" spans="2:16">
      <c r="B81">
        <v>12</v>
      </c>
      <c r="C81">
        <v>388</v>
      </c>
      <c r="L81" s="725" t="s">
        <v>1054</v>
      </c>
      <c r="M81" s="10">
        <f>((M72*M59^2)/(2*M67*M61))*(1-(M68/2))</f>
        <v>4.3297199999999994E-2</v>
      </c>
      <c r="N81" t="s">
        <v>2</v>
      </c>
    </row>
    <row r="82" spans="2:16">
      <c r="B82">
        <v>13</v>
      </c>
      <c r="C82">
        <v>411</v>
      </c>
      <c r="L82" s="725" t="s">
        <v>1055</v>
      </c>
      <c r="M82" s="10">
        <f>PI()*M81</f>
        <v>0.13602216544100798</v>
      </c>
      <c r="N82" t="s">
        <v>2</v>
      </c>
    </row>
    <row r="83" spans="2:16">
      <c r="B83">
        <v>14</v>
      </c>
      <c r="C83">
        <v>432</v>
      </c>
    </row>
    <row r="84" spans="2:16">
      <c r="B84">
        <v>15</v>
      </c>
      <c r="C84">
        <v>453</v>
      </c>
      <c r="L84" s="415" t="s">
        <v>1082</v>
      </c>
    </row>
    <row r="85" spans="2:16">
      <c r="L85" s="8" t="s">
        <v>1083</v>
      </c>
      <c r="M85" s="8" t="s">
        <v>878</v>
      </c>
    </row>
    <row r="86" spans="2:16">
      <c r="L86" s="722" t="s">
        <v>962</v>
      </c>
      <c r="M86">
        <v>240</v>
      </c>
      <c r="N86" s="8" t="s">
        <v>87</v>
      </c>
    </row>
    <row r="87" spans="2:16">
      <c r="L87" s="722" t="s">
        <v>964</v>
      </c>
      <c r="M87">
        <v>415</v>
      </c>
      <c r="N87" s="8" t="s">
        <v>87</v>
      </c>
      <c r="P87" s="794"/>
    </row>
    <row r="88" spans="2:16">
      <c r="L88" s="2" t="s">
        <v>965</v>
      </c>
      <c r="M88">
        <v>200000</v>
      </c>
      <c r="N88" s="8" t="s">
        <v>87</v>
      </c>
    </row>
    <row r="89" spans="2:16">
      <c r="L89" s="725" t="s">
        <v>968</v>
      </c>
      <c r="M89">
        <v>0.28999999999999998</v>
      </c>
    </row>
    <row r="91" spans="2:16">
      <c r="L91" s="415" t="s">
        <v>1086</v>
      </c>
    </row>
    <row r="92" spans="2:16">
      <c r="B92" s="789"/>
      <c r="L92" s="8" t="s">
        <v>213</v>
      </c>
      <c r="M92">
        <v>0.23699999999999999</v>
      </c>
      <c r="N92" s="8" t="s">
        <v>802</v>
      </c>
    </row>
    <row r="93" spans="2:16">
      <c r="B93" s="789" t="s">
        <v>53</v>
      </c>
      <c r="C93" s="789" t="s">
        <v>45</v>
      </c>
      <c r="D93" s="789" t="s">
        <v>90</v>
      </c>
      <c r="E93" s="789" t="s">
        <v>1172</v>
      </c>
      <c r="F93" s="789" t="s">
        <v>1173</v>
      </c>
      <c r="L93" s="8" t="s">
        <v>1088</v>
      </c>
      <c r="M93">
        <f>M92*((PI()/4)*((M59/1000)^2-(M60/1000)^2))</f>
        <v>1.024201327544571E-4</v>
      </c>
      <c r="N93" s="8" t="s">
        <v>1041</v>
      </c>
    </row>
    <row r="94" spans="2:16">
      <c r="B94">
        <v>26.7</v>
      </c>
      <c r="C94">
        <f>B94-2*D94</f>
        <v>20.96</v>
      </c>
      <c r="D94">
        <v>2.87</v>
      </c>
      <c r="E94">
        <v>34.397003745318358</v>
      </c>
      <c r="F94">
        <v>92.416665765532713</v>
      </c>
      <c r="L94" s="8" t="s">
        <v>1089</v>
      </c>
      <c r="M94">
        <v>7850</v>
      </c>
      <c r="N94" s="8" t="s">
        <v>805</v>
      </c>
      <c r="P94" s="8"/>
    </row>
    <row r="95" spans="2:16">
      <c r="B95">
        <v>26.7</v>
      </c>
      <c r="C95">
        <f t="shared" ref="C95:C98" si="9">B95-2*D95</f>
        <v>18.88</v>
      </c>
      <c r="D95">
        <v>3.91</v>
      </c>
      <c r="E95">
        <v>46.861423220973791</v>
      </c>
      <c r="F95">
        <v>125.90563175722401</v>
      </c>
      <c r="L95" s="8" t="s">
        <v>1087</v>
      </c>
      <c r="M95">
        <f>M94*M93</f>
        <v>0.80399804212248827</v>
      </c>
      <c r="N95" s="8" t="s">
        <v>104</v>
      </c>
    </row>
    <row r="96" spans="2:16">
      <c r="B96">
        <v>26.7</v>
      </c>
      <c r="C96">
        <f t="shared" si="9"/>
        <v>15.58</v>
      </c>
      <c r="D96">
        <v>5.56</v>
      </c>
      <c r="E96">
        <v>66.637</v>
      </c>
      <c r="F96">
        <v>179.04</v>
      </c>
    </row>
    <row r="97" spans="2:24">
      <c r="B97">
        <v>15</v>
      </c>
      <c r="C97">
        <f t="shared" si="9"/>
        <v>5.3000000000000007</v>
      </c>
      <c r="D97">
        <v>4.8499999999999996</v>
      </c>
      <c r="E97">
        <v>103.46666666666667</v>
      </c>
      <c r="F97">
        <v>277.99061865987585</v>
      </c>
    </row>
    <row r="98" spans="2:24" ht="13.8" thickBot="1">
      <c r="B98">
        <v>26.7</v>
      </c>
      <c r="C98">
        <f t="shared" si="9"/>
        <v>17</v>
      </c>
      <c r="D98">
        <v>4.8499999999999996</v>
      </c>
      <c r="E98">
        <v>58.127340823970044</v>
      </c>
      <c r="F98">
        <v>156.17450486509881</v>
      </c>
      <c r="L98" s="779" t="s">
        <v>1132</v>
      </c>
      <c r="M98" s="410"/>
      <c r="N98" s="220"/>
      <c r="O98" s="220"/>
      <c r="P98" s="220"/>
      <c r="Q98" s="220"/>
      <c r="R98" s="220"/>
      <c r="S98" s="220"/>
      <c r="T98" s="220"/>
      <c r="U98" s="220"/>
      <c r="V98" s="220"/>
    </row>
    <row r="99" spans="2:24">
      <c r="B99">
        <v>42.2</v>
      </c>
      <c r="C99">
        <f>B99-2*D99</f>
        <v>32.5</v>
      </c>
      <c r="D99">
        <v>4.8499999999999996</v>
      </c>
      <c r="E99">
        <v>36.777251184834121</v>
      </c>
      <c r="F99">
        <v>98.811831277207062</v>
      </c>
    </row>
    <row r="100" spans="2:24">
      <c r="B100">
        <v>50</v>
      </c>
      <c r="C100">
        <f>B100-2*D100</f>
        <v>40.299999999999997</v>
      </c>
      <c r="D100">
        <v>4.8499999999999996</v>
      </c>
      <c r="E100">
        <v>31.04</v>
      </c>
      <c r="F100">
        <v>83.397185597962775</v>
      </c>
      <c r="L100" s="415" t="s">
        <v>1050</v>
      </c>
      <c r="O100" s="415" t="s">
        <v>1080</v>
      </c>
    </row>
    <row r="101" spans="2:24">
      <c r="B101">
        <v>60</v>
      </c>
      <c r="C101">
        <f>B101-2*D101</f>
        <v>50.3</v>
      </c>
      <c r="D101">
        <v>4.8499999999999996</v>
      </c>
      <c r="E101">
        <v>25.866666666666667</v>
      </c>
      <c r="F101">
        <v>69.497654664968962</v>
      </c>
      <c r="K101">
        <v>38</v>
      </c>
      <c r="L101" s="8" t="s">
        <v>1051</v>
      </c>
      <c r="M101">
        <v>38</v>
      </c>
      <c r="N101" s="8" t="s">
        <v>2</v>
      </c>
      <c r="O101" s="8" t="s">
        <v>1051</v>
      </c>
      <c r="P101">
        <f>M102</f>
        <v>35.08</v>
      </c>
      <c r="Q101" s="8" t="s">
        <v>2</v>
      </c>
      <c r="R101" s="788" t="s">
        <v>1085</v>
      </c>
      <c r="U101" t="s">
        <v>1073</v>
      </c>
    </row>
    <row r="102" spans="2:24" ht="13.8" thickBot="1">
      <c r="L102" s="8" t="s">
        <v>1079</v>
      </c>
      <c r="M102">
        <f>M101-M103*2</f>
        <v>35.08</v>
      </c>
      <c r="N102" s="8" t="s">
        <v>2</v>
      </c>
      <c r="O102" s="8" t="s">
        <v>1079</v>
      </c>
      <c r="P102">
        <f>+P101-P103*2</f>
        <v>31.08</v>
      </c>
      <c r="Q102" s="8" t="s">
        <v>2</v>
      </c>
    </row>
    <row r="103" spans="2:24" ht="13.8" thickBot="1">
      <c r="B103" s="789" t="s">
        <v>53</v>
      </c>
      <c r="C103" s="789" t="s">
        <v>90</v>
      </c>
      <c r="D103" s="789" t="s">
        <v>1174</v>
      </c>
      <c r="E103" s="789" t="s">
        <v>1175</v>
      </c>
      <c r="G103" s="789" t="s">
        <v>1176</v>
      </c>
      <c r="K103">
        <v>1.46</v>
      </c>
      <c r="L103" s="8" t="s">
        <v>957</v>
      </c>
      <c r="M103">
        <v>1.46</v>
      </c>
      <c r="N103" s="8" t="s">
        <v>2</v>
      </c>
      <c r="O103" s="784" t="s">
        <v>957</v>
      </c>
      <c r="P103" s="758">
        <v>2</v>
      </c>
      <c r="Q103" s="785" t="s">
        <v>2</v>
      </c>
    </row>
    <row r="104" spans="2:24">
      <c r="B104" s="789">
        <v>38</v>
      </c>
      <c r="C104">
        <v>1.46</v>
      </c>
      <c r="D104" s="40">
        <v>12.294736842105262</v>
      </c>
      <c r="E104" s="40">
        <v>33.033068630772014</v>
      </c>
      <c r="F104" t="s">
        <v>1177</v>
      </c>
      <c r="L104" s="8" t="s">
        <v>1052</v>
      </c>
      <c r="M104">
        <v>1.5</v>
      </c>
      <c r="O104" s="8" t="s">
        <v>1052</v>
      </c>
    </row>
    <row r="105" spans="2:24">
      <c r="D105" s="40">
        <v>7.3768421052631581</v>
      </c>
      <c r="E105" s="40">
        <v>19.819841178463207</v>
      </c>
      <c r="U105" s="731" t="s">
        <v>975</v>
      </c>
      <c r="V105" s="730"/>
    </row>
    <row r="106" spans="2:24">
      <c r="B106">
        <v>42.2</v>
      </c>
      <c r="C106">
        <v>3.56</v>
      </c>
      <c r="D106" s="40">
        <v>26.995260663507107</v>
      </c>
      <c r="E106" s="40">
        <v>72.529921514815896</v>
      </c>
      <c r="L106" s="415" t="s">
        <v>1053</v>
      </c>
      <c r="O106" s="415" t="s">
        <v>1076</v>
      </c>
      <c r="U106" s="731"/>
      <c r="V106" s="730"/>
      <c r="W106" s="737"/>
      <c r="X106" s="738"/>
    </row>
    <row r="107" spans="2:24">
      <c r="D107" s="40">
        <v>16.197156398104301</v>
      </c>
      <c r="E107" s="40">
        <v>43.517952908889541</v>
      </c>
      <c r="L107" s="722" t="s">
        <v>962</v>
      </c>
      <c r="M107">
        <v>240</v>
      </c>
      <c r="N107" s="8" t="s">
        <v>87</v>
      </c>
      <c r="O107" s="722" t="s">
        <v>962</v>
      </c>
      <c r="P107">
        <f>M107*S108</f>
        <v>144</v>
      </c>
      <c r="Q107" s="8" t="s">
        <v>87</v>
      </c>
      <c r="R107" s="8" t="s">
        <v>1075</v>
      </c>
      <c r="S107">
        <v>500</v>
      </c>
      <c r="T107" s="8" t="s">
        <v>799</v>
      </c>
      <c r="U107" s="737" t="s">
        <v>63</v>
      </c>
      <c r="V107" s="738">
        <v>9.5832999999999995</v>
      </c>
      <c r="W107" s="737" t="s">
        <v>53</v>
      </c>
      <c r="X107" s="738">
        <v>-28.478999999999999</v>
      </c>
    </row>
    <row r="108" spans="2:24">
      <c r="L108" s="722" t="s">
        <v>964</v>
      </c>
      <c r="M108">
        <v>415</v>
      </c>
      <c r="N108" s="8" t="s">
        <v>87</v>
      </c>
      <c r="O108" s="722" t="s">
        <v>964</v>
      </c>
      <c r="P108">
        <f>M108*S109</f>
        <v>332</v>
      </c>
      <c r="Q108" s="8" t="s">
        <v>87</v>
      </c>
      <c r="R108" s="8" t="s">
        <v>1077</v>
      </c>
      <c r="S108" s="780">
        <v>0.6</v>
      </c>
      <c r="T108" s="8" t="s">
        <v>64</v>
      </c>
      <c r="U108" s="737" t="s">
        <v>65</v>
      </c>
      <c r="V108" s="738">
        <v>-33.527999999999999</v>
      </c>
      <c r="W108" s="737" t="s">
        <v>67</v>
      </c>
      <c r="X108" s="738">
        <v>8.6475000000000009</v>
      </c>
    </row>
    <row r="109" spans="2:24">
      <c r="L109" s="2" t="s">
        <v>965</v>
      </c>
      <c r="M109">
        <v>200000</v>
      </c>
      <c r="N109" s="8" t="s">
        <v>87</v>
      </c>
      <c r="O109" s="2" t="s">
        <v>965</v>
      </c>
      <c r="P109">
        <v>200000</v>
      </c>
      <c r="Q109" s="8" t="s">
        <v>87</v>
      </c>
      <c r="R109" s="8" t="s">
        <v>1078</v>
      </c>
      <c r="S109" s="780">
        <v>0.8</v>
      </c>
      <c r="U109" s="737" t="s">
        <v>66</v>
      </c>
      <c r="V109" s="738">
        <v>44.929000000000002</v>
      </c>
    </row>
    <row r="110" spans="2:24">
      <c r="L110" s="725" t="s">
        <v>968</v>
      </c>
      <c r="M110">
        <v>0.28999999999999998</v>
      </c>
      <c r="O110" s="725" t="s">
        <v>968</v>
      </c>
      <c r="P110">
        <v>0.28999999999999998</v>
      </c>
    </row>
    <row r="111" spans="2:24">
      <c r="P111" s="737"/>
      <c r="Q111" s="738"/>
    </row>
    <row r="112" spans="2:24">
      <c r="L112" s="415" t="s">
        <v>974</v>
      </c>
      <c r="O112" s="415" t="s">
        <v>1074</v>
      </c>
      <c r="P112" s="737"/>
      <c r="Q112" s="738"/>
    </row>
    <row r="113" spans="12:17">
      <c r="L113" s="415"/>
      <c r="P113" s="737"/>
      <c r="Q113" s="738"/>
    </row>
    <row r="114" spans="12:17" ht="15.6">
      <c r="L114" s="771" t="s">
        <v>1056</v>
      </c>
      <c r="M114" s="10">
        <f>2*((M103*M107)/(M101*M104))</f>
        <v>12.294736842105262</v>
      </c>
      <c r="N114" s="8" t="s">
        <v>87</v>
      </c>
      <c r="O114" s="771" t="s">
        <v>1056</v>
      </c>
      <c r="P114" s="10">
        <f>2*((M103*P107)/(M101*M104))</f>
        <v>7.3768421052631581</v>
      </c>
      <c r="Q114" s="8" t="s">
        <v>87</v>
      </c>
    </row>
    <row r="115" spans="12:17" ht="15.6">
      <c r="L115" s="771" t="s">
        <v>1057</v>
      </c>
      <c r="M115" s="10">
        <f>2*M118*((M103*M107)/(M101))</f>
        <v>33.033068630772014</v>
      </c>
      <c r="N115" s="8" t="s">
        <v>87</v>
      </c>
      <c r="O115" s="771" t="s">
        <v>1057</v>
      </c>
      <c r="P115" s="10">
        <f>2*M118*((M103*P107)/(M101))</f>
        <v>19.819841178463207</v>
      </c>
      <c r="Q115" s="8" t="s">
        <v>87</v>
      </c>
    </row>
    <row r="116" spans="12:17" ht="15.6">
      <c r="L116" s="771" t="s">
        <v>1058</v>
      </c>
      <c r="M116" s="10">
        <f>ca*betaMechanical^4+cb*betaMechanical^3+cc*betaMechanical^2+cd*betaMechanical+ce</f>
        <v>1.5804730506428193</v>
      </c>
      <c r="O116" s="792" t="s">
        <v>1133</v>
      </c>
      <c r="P116" s="10">
        <f>ca*betaMechanical^4+cb*betaMechanical^3+cc*betaMechanical^2+cd*betaMechanical+ce</f>
        <v>1.5804730506428193</v>
      </c>
    </row>
    <row r="117" spans="12:17">
      <c r="L117" s="725" t="s">
        <v>970</v>
      </c>
      <c r="M117" s="10">
        <f>M107/M108</f>
        <v>0.57831325301204817</v>
      </c>
      <c r="O117" s="725" t="s">
        <v>970</v>
      </c>
      <c r="P117" s="10">
        <f>P107/P108</f>
        <v>0.43373493975903615</v>
      </c>
    </row>
    <row r="118" spans="12:17">
      <c r="L118" s="722" t="s">
        <v>972</v>
      </c>
      <c r="M118" s="10">
        <f>ca*M117^4+cb*M117^3+cc*M117^2+cd*M117+ce</f>
        <v>1.7911766666229116</v>
      </c>
      <c r="O118" s="722" t="s">
        <v>972</v>
      </c>
      <c r="P118" s="10">
        <f>ca*P117^4+cb*P117^3+cc*P117^2+cd*P117+ce</f>
        <v>2.3508638045644323</v>
      </c>
    </row>
    <row r="121" spans="12:17">
      <c r="L121" s="740" t="s">
        <v>982</v>
      </c>
      <c r="O121" s="740"/>
    </row>
    <row r="122" spans="12:17">
      <c r="L122" s="733"/>
    </row>
    <row r="123" spans="12:17">
      <c r="L123" s="725" t="s">
        <v>1054</v>
      </c>
      <c r="M123" s="10">
        <f>((M114*M101^2)/(2*M109*M103))*(1-(M110/2))</f>
        <v>2.5991999999999998E-2</v>
      </c>
      <c r="N123" t="s">
        <v>2</v>
      </c>
    </row>
    <row r="124" spans="12:17">
      <c r="L124" s="725" t="s">
        <v>1055</v>
      </c>
      <c r="M124" s="10">
        <f>PI()*M123</f>
        <v>8.1656276252105892E-2</v>
      </c>
      <c r="N124" t="s">
        <v>2</v>
      </c>
    </row>
    <row r="126" spans="12:17">
      <c r="L126" s="415" t="s">
        <v>1082</v>
      </c>
    </row>
    <row r="127" spans="12:17">
      <c r="L127" s="8" t="s">
        <v>1083</v>
      </c>
      <c r="M127" s="8" t="s">
        <v>878</v>
      </c>
    </row>
    <row r="128" spans="12:17">
      <c r="L128" s="722" t="s">
        <v>962</v>
      </c>
      <c r="M128">
        <v>240</v>
      </c>
      <c r="N128" s="8" t="s">
        <v>87</v>
      </c>
    </row>
    <row r="129" spans="2:17">
      <c r="L129" s="722" t="s">
        <v>964</v>
      </c>
      <c r="M129">
        <v>415</v>
      </c>
      <c r="N129" s="8" t="s">
        <v>87</v>
      </c>
    </row>
    <row r="130" spans="2:17">
      <c r="L130" s="2" t="s">
        <v>965</v>
      </c>
      <c r="M130">
        <v>200000</v>
      </c>
      <c r="N130" s="8" t="s">
        <v>87</v>
      </c>
    </row>
    <row r="131" spans="2:17">
      <c r="L131" s="725" t="s">
        <v>968</v>
      </c>
      <c r="M131">
        <v>0.28999999999999998</v>
      </c>
    </row>
    <row r="132" spans="2:17">
      <c r="J132" t="s">
        <v>1179</v>
      </c>
    </row>
    <row r="133" spans="2:17">
      <c r="L133" s="415" t="s">
        <v>1086</v>
      </c>
    </row>
    <row r="134" spans="2:17">
      <c r="L134" s="8" t="s">
        <v>213</v>
      </c>
      <c r="M134">
        <v>0.23699999999999999</v>
      </c>
      <c r="N134" s="8" t="s">
        <v>802</v>
      </c>
    </row>
    <row r="135" spans="2:17">
      <c r="L135" s="8" t="s">
        <v>1088</v>
      </c>
      <c r="M135">
        <f>M134*((PI()/4)*((M101/1000)^2-(M102/1000)^2))</f>
        <v>3.9720949140422398E-5</v>
      </c>
      <c r="N135" s="8" t="s">
        <v>1041</v>
      </c>
    </row>
    <row r="136" spans="2:17">
      <c r="L136" s="8" t="s">
        <v>1089</v>
      </c>
      <c r="M136">
        <v>7850</v>
      </c>
      <c r="N136" s="8" t="s">
        <v>805</v>
      </c>
      <c r="P136" s="8"/>
    </row>
    <row r="137" spans="2:17">
      <c r="L137" s="8" t="s">
        <v>1087</v>
      </c>
      <c r="M137">
        <f>M136*M135</f>
        <v>0.31180945075231581</v>
      </c>
      <c r="N137" s="8" t="s">
        <v>104</v>
      </c>
    </row>
    <row r="139" spans="2:17">
      <c r="E139" t="s">
        <v>1178</v>
      </c>
    </row>
    <row r="141" spans="2:17">
      <c r="Q141" s="415"/>
    </row>
    <row r="142" spans="2:17">
      <c r="B142" s="8" t="s">
        <v>688</v>
      </c>
    </row>
    <row r="143" spans="2:17">
      <c r="B143" s="8" t="s">
        <v>689</v>
      </c>
    </row>
    <row r="144" spans="2:17">
      <c r="M144" t="s">
        <v>1059</v>
      </c>
    </row>
    <row r="145" spans="2:23">
      <c r="M145" t="s">
        <v>843</v>
      </c>
      <c r="N145" t="s">
        <v>842</v>
      </c>
      <c r="O145" t="s">
        <v>1060</v>
      </c>
      <c r="P145" t="s">
        <v>67</v>
      </c>
      <c r="Q145" t="s">
        <v>1061</v>
      </c>
      <c r="R145" t="s">
        <v>1068</v>
      </c>
      <c r="S145" t="s">
        <v>1062</v>
      </c>
      <c r="T145" t="s">
        <v>1070</v>
      </c>
      <c r="U145" t="s">
        <v>1063</v>
      </c>
      <c r="V145" t="s">
        <v>1065</v>
      </c>
      <c r="W145" t="s">
        <v>1064</v>
      </c>
    </row>
    <row r="146" spans="2:23">
      <c r="M146">
        <v>415</v>
      </c>
      <c r="N146">
        <v>240</v>
      </c>
      <c r="O146" t="s">
        <v>1066</v>
      </c>
      <c r="P146" t="s">
        <v>1067</v>
      </c>
      <c r="Q146">
        <v>0.28999999999999998</v>
      </c>
      <c r="R146">
        <v>50</v>
      </c>
      <c r="S146" t="s">
        <v>1069</v>
      </c>
      <c r="T146">
        <v>486</v>
      </c>
      <c r="U146" t="s">
        <v>1071</v>
      </c>
      <c r="V146">
        <v>7850</v>
      </c>
      <c r="W146" t="s">
        <v>1072</v>
      </c>
    </row>
    <row r="150" spans="2:23">
      <c r="B150" s="8" t="s">
        <v>690</v>
      </c>
    </row>
    <row r="151" spans="2:23">
      <c r="M151" s="151" t="s">
        <v>142</v>
      </c>
      <c r="N151" t="s">
        <v>1030</v>
      </c>
    </row>
    <row r="152" spans="2:23">
      <c r="M152" t="s">
        <v>1024</v>
      </c>
      <c r="N152" t="s">
        <v>1025</v>
      </c>
      <c r="O152" t="s">
        <v>6</v>
      </c>
      <c r="P152" t="s">
        <v>45</v>
      </c>
    </row>
    <row r="153" spans="2:23">
      <c r="M153" s="39" t="s">
        <v>1026</v>
      </c>
      <c r="N153">
        <v>2.87</v>
      </c>
      <c r="O153">
        <f>26.7</f>
        <v>26.7</v>
      </c>
      <c r="P153">
        <f>O153-2*N153</f>
        <v>20.96</v>
      </c>
    </row>
    <row r="154" spans="2:23">
      <c r="M154" s="39" t="s">
        <v>1027</v>
      </c>
      <c r="N154">
        <v>3.91</v>
      </c>
      <c r="O154">
        <f>26.7</f>
        <v>26.7</v>
      </c>
      <c r="P154">
        <f>O154-2*N154</f>
        <v>18.88</v>
      </c>
    </row>
    <row r="155" spans="2:23">
      <c r="B155" s="8" t="s">
        <v>691</v>
      </c>
      <c r="M155" s="39">
        <v>160</v>
      </c>
      <c r="N155">
        <v>5.56</v>
      </c>
      <c r="O155">
        <f>26.7</f>
        <v>26.7</v>
      </c>
      <c r="P155">
        <f>O155-2*N155</f>
        <v>15.58</v>
      </c>
    </row>
    <row r="156" spans="2:23">
      <c r="M156" s="39" t="s">
        <v>1028</v>
      </c>
      <c r="N156">
        <v>7.82</v>
      </c>
      <c r="O156">
        <f>26.7</f>
        <v>26.7</v>
      </c>
      <c r="P156">
        <f>O156-2*N156</f>
        <v>11.059999999999999</v>
      </c>
    </row>
    <row r="158" spans="2:23" ht="13.8" thickBot="1">
      <c r="M158" t="s">
        <v>1024</v>
      </c>
      <c r="N158" t="s">
        <v>1025</v>
      </c>
      <c r="O158" t="s">
        <v>6</v>
      </c>
      <c r="P158" t="s">
        <v>45</v>
      </c>
      <c r="Q158" s="789" t="s">
        <v>1131</v>
      </c>
      <c r="R158" s="789"/>
    </row>
    <row r="159" spans="2:23" ht="13.8" thickBot="1">
      <c r="M159" s="757" t="s">
        <v>1026</v>
      </c>
      <c r="N159" s="758">
        <v>3.56</v>
      </c>
      <c r="O159" s="758">
        <v>42.2</v>
      </c>
      <c r="P159" s="759">
        <f>O159-2*N159</f>
        <v>35.080000000000005</v>
      </c>
      <c r="Q159">
        <f>(38-P159)/2</f>
        <v>1.4599999999999973</v>
      </c>
    </row>
    <row r="160" spans="2:23" ht="13.8" thickBot="1">
      <c r="M160" s="39" t="s">
        <v>1027</v>
      </c>
      <c r="N160">
        <v>4.8499999999999996</v>
      </c>
      <c r="O160" s="758">
        <v>42.2</v>
      </c>
      <c r="P160">
        <f>O160-2*N160</f>
        <v>32.5</v>
      </c>
      <c r="Q160">
        <f t="shared" ref="Q160:Q161" si="10">(38-P160)/2</f>
        <v>2.75</v>
      </c>
    </row>
    <row r="161" spans="2:17" ht="13.8" thickBot="1">
      <c r="B161" s="8" t="s">
        <v>692</v>
      </c>
      <c r="M161" s="39">
        <v>160</v>
      </c>
      <c r="N161">
        <v>6.35</v>
      </c>
      <c r="O161" s="758">
        <v>42.2</v>
      </c>
      <c r="P161">
        <f>O161-2*N161</f>
        <v>29.500000000000004</v>
      </c>
      <c r="Q161">
        <f t="shared" si="10"/>
        <v>4.2499999999999982</v>
      </c>
    </row>
    <row r="172" spans="2:17">
      <c r="B172" t="s">
        <v>941</v>
      </c>
    </row>
    <row r="173" spans="2:17">
      <c r="B173" s="765" t="s">
        <v>142</v>
      </c>
      <c r="C173" s="143" t="s">
        <v>937</v>
      </c>
    </row>
    <row r="174" spans="2:17">
      <c r="B174" s="765" t="s">
        <v>139</v>
      </c>
      <c r="C174" s="143" t="s">
        <v>938</v>
      </c>
    </row>
    <row r="175" spans="2:17">
      <c r="B175" s="765" t="s">
        <v>140</v>
      </c>
      <c r="C175" s="143" t="s">
        <v>939</v>
      </c>
    </row>
    <row r="176" spans="2:17">
      <c r="B176" s="765" t="s">
        <v>141</v>
      </c>
      <c r="C176" s="143" t="s">
        <v>940</v>
      </c>
    </row>
    <row r="177" spans="2:17">
      <c r="B177" s="765" t="s">
        <v>769</v>
      </c>
      <c r="C177" s="143" t="s">
        <v>942</v>
      </c>
    </row>
    <row r="192" spans="2:17">
      <c r="N192" t="s">
        <v>1031</v>
      </c>
      <c r="Q192" t="s">
        <v>1032</v>
      </c>
    </row>
    <row r="193" spans="13:18">
      <c r="M193" t="s">
        <v>1024</v>
      </c>
      <c r="N193" t="s">
        <v>1025</v>
      </c>
      <c r="O193" t="s">
        <v>6</v>
      </c>
      <c r="P193" t="s">
        <v>45</v>
      </c>
      <c r="Q193" t="s">
        <v>6</v>
      </c>
      <c r="R193" t="s">
        <v>1033</v>
      </c>
    </row>
    <row r="194" spans="13:18" ht="13.8" thickBot="1">
      <c r="M194" s="39" t="s">
        <v>1026</v>
      </c>
      <c r="N194">
        <v>3.56</v>
      </c>
      <c r="O194">
        <v>42.2</v>
      </c>
      <c r="P194">
        <f>O194-N194*2</f>
        <v>35.080000000000005</v>
      </c>
      <c r="Q194">
        <f>38</f>
        <v>38</v>
      </c>
      <c r="R194">
        <f>(Q194-P194)/2</f>
        <v>1.4599999999999973</v>
      </c>
    </row>
    <row r="195" spans="13:18" ht="13.8" thickBot="1">
      <c r="M195" s="757" t="s">
        <v>1027</v>
      </c>
      <c r="N195" s="758">
        <v>4.8499999999999996</v>
      </c>
      <c r="O195" s="758">
        <v>42.2</v>
      </c>
      <c r="P195" s="758">
        <f>O195-N195*2</f>
        <v>32.5</v>
      </c>
      <c r="Q195" s="758">
        <f>38</f>
        <v>38</v>
      </c>
      <c r="R195" s="759">
        <f>(Q195-P195)/2</f>
        <v>2.75</v>
      </c>
    </row>
    <row r="196" spans="13:18">
      <c r="M196" s="39">
        <v>160</v>
      </c>
      <c r="N196">
        <v>6.35</v>
      </c>
      <c r="O196">
        <v>42.2</v>
      </c>
      <c r="P196">
        <f>O196-N196*2</f>
        <v>29.500000000000004</v>
      </c>
      <c r="Q196">
        <f>38</f>
        <v>38</v>
      </c>
      <c r="R196">
        <f>(Q196-P196)/2</f>
        <v>4.2499999999999982</v>
      </c>
    </row>
  </sheetData>
  <conditionalFormatting sqref="M36">
    <cfRule type="cellIs" dxfId="0" priority="1" stopIfTrue="1" operator="greaterThan">
      <formula>$M$32</formula>
    </cfRule>
  </conditionalFormatting>
  <hyperlinks>
    <hyperlink ref="C173" r:id="rId1" display="https://www.tubosmonterrey.com.mx/tuberia/" xr:uid="{00000000-0004-0000-0200-000000000000}"/>
    <hyperlink ref="C174" r:id="rId2" display="https://tuboreymonterrey.com.mx/" xr:uid="{00000000-0004-0000-0200-000001000000}"/>
    <hyperlink ref="C175" r:id="rId3" display="https://www.tubosmonterrey.com/" xr:uid="{00000000-0004-0000-0200-000002000000}"/>
    <hyperlink ref="C176" r:id="rId4" display="https://aluminext.mx/" xr:uid="{00000000-0004-0000-0200-000003000000}"/>
    <hyperlink ref="C177" r:id="rId5" display="https://tubosdeacero.mx/index.html" xr:uid="{00000000-0004-0000-0200-000004000000}"/>
  </hyperlinks>
  <pageMargins left="0.7" right="0.7" top="0.75" bottom="0.75" header="0.3" footer="0.3"/>
  <pageSetup orientation="portrait" r:id="rId6"/>
  <drawing r:id="rId7"/>
  <legacyDrawing r:id="rId8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rgb="FFFFFF00"/>
    <pageSetUpPr autoPageBreaks="0"/>
  </sheetPr>
  <dimension ref="A1:AP105"/>
  <sheetViews>
    <sheetView showGridLines="0" topLeftCell="A16" zoomScaleNormal="100" workbookViewId="0">
      <selection activeCell="C14" sqref="C14"/>
    </sheetView>
  </sheetViews>
  <sheetFormatPr baseColWidth="10" defaultColWidth="8.88671875" defaultRowHeight="13.2"/>
  <cols>
    <col min="1" max="1" width="5.88671875" customWidth="1"/>
    <col min="2" max="2" width="15.5546875" customWidth="1"/>
    <col min="3" max="3" width="11.88671875" customWidth="1"/>
    <col min="4" max="4" width="8.33203125" customWidth="1"/>
    <col min="5" max="8" width="9.109375" customWidth="1"/>
    <col min="9" max="9" width="10" customWidth="1"/>
    <col min="10" max="10" width="9.109375" customWidth="1"/>
    <col min="11" max="11" width="9.6640625" customWidth="1"/>
    <col min="12" max="12" width="9.109375" customWidth="1"/>
    <col min="13" max="13" width="9.33203125" customWidth="1"/>
    <col min="14" max="23" width="9.109375" customWidth="1"/>
    <col min="24" max="24" width="18.5546875" customWidth="1"/>
    <col min="25" max="29" width="9.109375" customWidth="1"/>
    <col min="30" max="30" width="12.109375" customWidth="1"/>
    <col min="31" max="32" width="9.109375" customWidth="1"/>
    <col min="33" max="33" width="10.33203125" bestFit="1" customWidth="1"/>
    <col min="34" max="34" width="11.5546875" bestFit="1" customWidth="1"/>
    <col min="35" max="35" width="11.109375" bestFit="1" customWidth="1"/>
    <col min="36" max="36" width="11.5546875" bestFit="1" customWidth="1"/>
    <col min="37" max="37" width="10.44140625" bestFit="1" customWidth="1"/>
    <col min="38" max="38" width="11.109375" bestFit="1" customWidth="1"/>
    <col min="39" max="39" width="10.44140625" bestFit="1" customWidth="1"/>
    <col min="40" max="40" width="9.109375" customWidth="1"/>
    <col min="41" max="41" width="13.5546875" customWidth="1"/>
  </cols>
  <sheetData>
    <row r="1" spans="1:42">
      <c r="A1" s="69"/>
    </row>
    <row r="4" spans="1:42">
      <c r="B4" s="75" t="s">
        <v>198</v>
      </c>
    </row>
    <row r="6" spans="1:42">
      <c r="B6" s="5" t="s">
        <v>202</v>
      </c>
      <c r="C6" s="154" t="s">
        <v>1094</v>
      </c>
      <c r="D6" s="155"/>
      <c r="E6" s="155"/>
      <c r="F6" s="155"/>
      <c r="G6" s="155"/>
      <c r="H6" s="155"/>
      <c r="I6" s="155"/>
      <c r="J6" s="156"/>
    </row>
    <row r="7" spans="1:42">
      <c r="C7" s="157" t="s">
        <v>653</v>
      </c>
      <c r="D7" s="158"/>
      <c r="E7" s="158"/>
      <c r="F7" s="158"/>
      <c r="G7" s="158"/>
      <c r="H7" s="158"/>
      <c r="I7" s="158"/>
      <c r="J7" s="159"/>
    </row>
    <row r="8" spans="1:42">
      <c r="B8" s="2"/>
      <c r="C8" s="144" t="s">
        <v>328</v>
      </c>
      <c r="D8" s="142"/>
      <c r="E8" s="142"/>
      <c r="F8" s="142"/>
      <c r="G8" s="142"/>
      <c r="H8" s="142"/>
      <c r="I8" s="142"/>
      <c r="J8" s="142"/>
    </row>
    <row r="9" spans="1:42">
      <c r="B9" s="5" t="s">
        <v>35</v>
      </c>
    </row>
    <row r="10" spans="1:42">
      <c r="B10" s="2" t="s">
        <v>0</v>
      </c>
      <c r="C10" s="63">
        <v>31.08</v>
      </c>
      <c r="D10" t="s">
        <v>2</v>
      </c>
      <c r="E10" t="s">
        <v>3</v>
      </c>
    </row>
    <row r="11" spans="1:42">
      <c r="B11" s="2" t="s">
        <v>1</v>
      </c>
      <c r="C11" s="64">
        <v>237</v>
      </c>
      <c r="D11" t="s">
        <v>2</v>
      </c>
      <c r="E11" t="s">
        <v>4</v>
      </c>
    </row>
    <row r="12" spans="1:42" ht="15.6">
      <c r="B12" s="2" t="s">
        <v>22</v>
      </c>
      <c r="C12" s="4">
        <f>PI()/4*dc^2*lc</f>
        <v>179804.37204188382</v>
      </c>
      <c r="D12" t="s">
        <v>23</v>
      </c>
      <c r="E12" t="s">
        <v>24</v>
      </c>
    </row>
    <row r="13" spans="1:42">
      <c r="B13" s="5" t="s">
        <v>5</v>
      </c>
    </row>
    <row r="14" spans="1:42">
      <c r="B14" s="203" t="s">
        <v>111</v>
      </c>
      <c r="C14" s="239" t="s">
        <v>366</v>
      </c>
      <c r="D14" s="242" t="s">
        <v>457</v>
      </c>
      <c r="E14" s="205" t="s">
        <v>373</v>
      </c>
      <c r="F14" s="204"/>
      <c r="G14" s="204"/>
    </row>
    <row r="15" spans="1:42">
      <c r="B15" s="2"/>
    </row>
    <row r="16" spans="1:42">
      <c r="A16" s="21" t="str">
        <f>IF(do&gt;dc,"Invalid","")</f>
        <v/>
      </c>
      <c r="B16" s="2" t="s">
        <v>6</v>
      </c>
      <c r="C16" s="87">
        <v>31.08</v>
      </c>
      <c r="D16" t="s">
        <v>2</v>
      </c>
      <c r="E16" t="s">
        <v>9</v>
      </c>
      <c r="AD16" s="253"/>
      <c r="AE16" s="253"/>
      <c r="AF16" s="253"/>
      <c r="AG16" s="253"/>
      <c r="AH16" s="253"/>
      <c r="AI16" s="253"/>
      <c r="AJ16" s="253"/>
      <c r="AK16" s="253"/>
      <c r="AL16" s="253"/>
      <c r="AM16" s="253"/>
      <c r="AN16" s="253"/>
      <c r="AO16" s="253"/>
      <c r="AP16" s="253"/>
    </row>
    <row r="17" spans="1:42" ht="15.6">
      <c r="B17" s="2" t="s">
        <v>7</v>
      </c>
      <c r="C17" s="63">
        <v>20</v>
      </c>
      <c r="D17" t="s">
        <v>2</v>
      </c>
      <c r="E17" t="s">
        <v>17</v>
      </c>
      <c r="X17" s="274" t="s">
        <v>365</v>
      </c>
      <c r="Y17" s="8" t="s">
        <v>367</v>
      </c>
      <c r="AA17" s="2" t="s">
        <v>377</v>
      </c>
      <c r="AB17" s="10">
        <v>9</v>
      </c>
      <c r="AD17" s="254" t="s">
        <v>450</v>
      </c>
      <c r="AE17" s="253"/>
      <c r="AF17" s="253"/>
      <c r="AG17" s="253"/>
      <c r="AH17" s="253" t="s">
        <v>459</v>
      </c>
      <c r="AI17" s="253"/>
      <c r="AJ17" s="253"/>
      <c r="AK17" s="253"/>
      <c r="AL17" s="253"/>
      <c r="AM17" s="253"/>
      <c r="AN17" s="253"/>
      <c r="AO17" s="253"/>
      <c r="AP17" s="253"/>
    </row>
    <row r="18" spans="1:42">
      <c r="B18" s="2" t="s">
        <v>8</v>
      </c>
      <c r="C18" s="87">
        <v>56.6</v>
      </c>
      <c r="D18" t="s">
        <v>2</v>
      </c>
      <c r="E18" t="s">
        <v>10</v>
      </c>
      <c r="X18" s="275" t="s">
        <v>372</v>
      </c>
      <c r="Y18" s="8" t="s">
        <v>368</v>
      </c>
      <c r="AA18" s="203" t="s">
        <v>407</v>
      </c>
      <c r="AB18" s="10">
        <v>8.5</v>
      </c>
      <c r="AD18" s="253"/>
      <c r="AE18" s="253"/>
      <c r="AF18" s="253"/>
      <c r="AG18" s="253"/>
      <c r="AH18" s="253" t="s">
        <v>449</v>
      </c>
      <c r="AI18" s="253"/>
      <c r="AJ18" s="253"/>
      <c r="AK18" s="253"/>
      <c r="AL18" s="253"/>
      <c r="AM18" s="253"/>
      <c r="AN18" s="253"/>
      <c r="AO18" s="253"/>
      <c r="AP18" s="253"/>
    </row>
    <row r="19" spans="1:42">
      <c r="A19" s="21" t="str">
        <f>IF(lo&gt;lc/n,"Invalid","")</f>
        <v/>
      </c>
      <c r="B19" s="2" t="s">
        <v>11</v>
      </c>
      <c r="C19" s="63">
        <v>4</v>
      </c>
      <c r="E19" t="s">
        <v>12</v>
      </c>
      <c r="N19" s="39"/>
      <c r="O19" s="40"/>
      <c r="X19" s="275" t="s">
        <v>371</v>
      </c>
      <c r="Y19" s="273">
        <f>IF(C20="Inhibited",0,1)</f>
        <v>0</v>
      </c>
      <c r="AA19" s="203" t="s">
        <v>378</v>
      </c>
      <c r="AB19" s="10">
        <v>8</v>
      </c>
      <c r="AD19" s="255"/>
      <c r="AE19" s="256"/>
      <c r="AF19" s="257"/>
      <c r="AG19" s="257" t="s">
        <v>456</v>
      </c>
      <c r="AH19" s="257"/>
      <c r="AI19" s="257"/>
      <c r="AJ19" s="257"/>
      <c r="AK19" s="257"/>
      <c r="AL19" s="257"/>
      <c r="AM19" s="258"/>
      <c r="AN19" s="253"/>
      <c r="AO19" s="253"/>
      <c r="AP19" s="253"/>
    </row>
    <row r="20" spans="1:42">
      <c r="B20" s="203" t="s">
        <v>21</v>
      </c>
      <c r="C20" s="239" t="s">
        <v>368</v>
      </c>
      <c r="D20" s="242" t="s">
        <v>457</v>
      </c>
      <c r="G20" s="6"/>
      <c r="N20" s="40"/>
      <c r="X20" s="275" t="s">
        <v>366</v>
      </c>
      <c r="Y20" s="273">
        <f>IF(C21="Inhibited",0,1)</f>
        <v>1</v>
      </c>
      <c r="AA20" s="203" t="s">
        <v>408</v>
      </c>
      <c r="AB20" s="10">
        <v>7.5</v>
      </c>
      <c r="AD20" s="255"/>
      <c r="AE20" s="259" t="s">
        <v>447</v>
      </c>
      <c r="AF20" s="259" t="s">
        <v>443</v>
      </c>
      <c r="AG20" s="259" t="s">
        <v>80</v>
      </c>
      <c r="AH20" s="259" t="s">
        <v>441</v>
      </c>
      <c r="AI20" s="259" t="s">
        <v>442</v>
      </c>
      <c r="AJ20" s="259" t="s">
        <v>45</v>
      </c>
      <c r="AK20" s="259" t="s">
        <v>444</v>
      </c>
      <c r="AL20" s="259" t="s">
        <v>445</v>
      </c>
      <c r="AM20" s="259" t="s">
        <v>446</v>
      </c>
      <c r="AN20" s="260" t="s">
        <v>458</v>
      </c>
      <c r="AO20" s="260" t="s">
        <v>462</v>
      </c>
      <c r="AP20" s="253"/>
    </row>
    <row r="21" spans="1:42">
      <c r="A21" s="22"/>
      <c r="B21" s="203" t="s">
        <v>369</v>
      </c>
      <c r="C21" s="240" t="s">
        <v>367</v>
      </c>
      <c r="D21" s="242" t="s">
        <v>457</v>
      </c>
      <c r="X21" s="275" t="s">
        <v>469</v>
      </c>
      <c r="Y21" s="273">
        <f>IF(C22="Inhibited",0,1)</f>
        <v>1</v>
      </c>
      <c r="AA21" s="203" t="s">
        <v>379</v>
      </c>
      <c r="AB21" s="10">
        <v>7</v>
      </c>
      <c r="AD21" s="255" t="s">
        <v>365</v>
      </c>
      <c r="AE21" s="379"/>
      <c r="AF21" s="243">
        <v>3</v>
      </c>
      <c r="AG21" s="244">
        <v>43.5</v>
      </c>
      <c r="AH21" s="245">
        <v>0.24168000000000001</v>
      </c>
      <c r="AI21" s="244">
        <v>50.48413</v>
      </c>
      <c r="AJ21" s="246">
        <v>-9.9114799999999992</v>
      </c>
      <c r="AK21" s="246"/>
      <c r="AL21" s="247"/>
      <c r="AM21" s="247"/>
      <c r="AN21" s="261">
        <f t="shared" ref="AN21:AN30" si="0">AG21+AH21*$AE$32+AI21*$AE$32^2+AJ21*$AE$32^3+AK21*$AE$32^4+AL21*$AE$32^5+AM21*$AE$32^6</f>
        <v>67.876650000000154</v>
      </c>
      <c r="AO21" s="262" t="s">
        <v>453</v>
      </c>
      <c r="AP21" s="253"/>
    </row>
    <row r="22" spans="1:42">
      <c r="A22" s="1" t="str">
        <f>IF(osi&gt;1,"Error","")</f>
        <v/>
      </c>
      <c r="B22" s="203" t="s">
        <v>370</v>
      </c>
      <c r="C22" s="239" t="s">
        <v>367</v>
      </c>
      <c r="D22" s="242" t="s">
        <v>457</v>
      </c>
      <c r="X22" s="275" t="s">
        <v>470</v>
      </c>
      <c r="AA22" s="203" t="s">
        <v>409</v>
      </c>
      <c r="AB22" s="10">
        <v>6.5</v>
      </c>
      <c r="AD22" s="255"/>
      <c r="AE22" s="379"/>
      <c r="AF22" s="243">
        <v>2</v>
      </c>
      <c r="AG22" s="248">
        <v>163.80000000000001</v>
      </c>
      <c r="AH22" s="244">
        <v>22.224139999999998</v>
      </c>
      <c r="AI22" s="246">
        <v>-0.224</v>
      </c>
      <c r="AJ22" s="246"/>
      <c r="AK22" s="245"/>
      <c r="AL22" s="249"/>
      <c r="AM22" s="250"/>
      <c r="AN22" s="261">
        <f t="shared" si="0"/>
        <v>269.32069999999999</v>
      </c>
      <c r="AO22" s="255" t="s">
        <v>455</v>
      </c>
      <c r="AP22" s="253"/>
    </row>
    <row r="23" spans="1:42">
      <c r="A23" s="1" t="str">
        <f>IF(ci&gt;1,"Error","")</f>
        <v/>
      </c>
      <c r="B23" s="2" t="s">
        <v>30</v>
      </c>
      <c r="C23" s="8">
        <f>n*lo</f>
        <v>226.4</v>
      </c>
      <c r="D23" t="s">
        <v>2</v>
      </c>
      <c r="E23" t="s">
        <v>32</v>
      </c>
      <c r="X23" s="275" t="s">
        <v>519</v>
      </c>
      <c r="AA23" s="203" t="s">
        <v>380</v>
      </c>
      <c r="AB23" s="10">
        <v>6</v>
      </c>
      <c r="AD23" s="255"/>
      <c r="AE23" s="379"/>
      <c r="AF23" s="243">
        <v>4</v>
      </c>
      <c r="AG23" s="251">
        <v>5095</v>
      </c>
      <c r="AH23" s="251">
        <v>-2460.4259999999999</v>
      </c>
      <c r="AI23" s="248">
        <v>453.48050000000001</v>
      </c>
      <c r="AJ23" s="244">
        <v>-35.532389999999999</v>
      </c>
      <c r="AK23" s="246">
        <v>1.01745</v>
      </c>
      <c r="AL23" s="249"/>
      <c r="AM23" s="250"/>
      <c r="AN23" s="261">
        <f t="shared" si="0"/>
        <v>324.2400000000016</v>
      </c>
      <c r="AO23" s="261" t="s">
        <v>454</v>
      </c>
      <c r="AP23" s="253"/>
    </row>
    <row r="24" spans="1:42" ht="15.6">
      <c r="A24" s="1" t="str">
        <f>IF(ei&gt;1,"Error","")</f>
        <v/>
      </c>
      <c r="B24" s="2" t="s">
        <v>31</v>
      </c>
      <c r="C24" s="9">
        <f>PI()/4*(do^2-dio^2)*lgo</f>
        <v>100636.83105809627</v>
      </c>
      <c r="D24" t="s">
        <v>23</v>
      </c>
      <c r="E24" t="s">
        <v>33</v>
      </c>
      <c r="X24" s="275" t="s">
        <v>535</v>
      </c>
      <c r="Y24" s="40"/>
      <c r="AA24" s="203" t="s">
        <v>410</v>
      </c>
      <c r="AB24" s="10">
        <v>5.5</v>
      </c>
      <c r="AD24" s="255" t="s">
        <v>372</v>
      </c>
      <c r="AE24" s="379"/>
      <c r="AF24" s="243">
        <v>5</v>
      </c>
      <c r="AG24" s="244">
        <v>34.5</v>
      </c>
      <c r="AH24" s="244">
        <v>-10.975</v>
      </c>
      <c r="AI24" s="244">
        <v>69.667000000000002</v>
      </c>
      <c r="AJ24" s="244">
        <v>-19.664000000000001</v>
      </c>
      <c r="AK24" s="246">
        <v>2.1478000000000002</v>
      </c>
      <c r="AL24" s="266">
        <v>-8.1462999999999994E-2</v>
      </c>
      <c r="AM24" s="252"/>
      <c r="AN24" s="261">
        <f t="shared" si="0"/>
        <v>351.10312499999998</v>
      </c>
      <c r="AO24" s="255" t="s">
        <v>461</v>
      </c>
      <c r="AP24" s="253"/>
    </row>
    <row r="25" spans="1:42" ht="14.4">
      <c r="B25" s="2" t="s">
        <v>293</v>
      </c>
      <c r="C25" s="10">
        <f>vg/vc</f>
        <v>0.55970180210442166</v>
      </c>
      <c r="E25" t="s">
        <v>292</v>
      </c>
      <c r="X25" s="275"/>
      <c r="AA25" s="203" t="s">
        <v>381</v>
      </c>
      <c r="AB25" s="10">
        <v>5</v>
      </c>
      <c r="AD25" s="255" t="s">
        <v>371</v>
      </c>
      <c r="AE25" s="379"/>
      <c r="AF25" s="243">
        <v>2</v>
      </c>
      <c r="AG25" s="244">
        <v>38</v>
      </c>
      <c r="AH25" s="244">
        <v>92.391000000000005</v>
      </c>
      <c r="AI25" s="246">
        <v>-2.0438000000000001</v>
      </c>
      <c r="AJ25" s="250"/>
      <c r="AK25" s="250"/>
      <c r="AL25" s="250"/>
      <c r="AM25" s="250"/>
      <c r="AN25" s="261">
        <f t="shared" si="0"/>
        <v>448.86</v>
      </c>
      <c r="AO25" s="255" t="s">
        <v>461</v>
      </c>
      <c r="AP25" s="253"/>
    </row>
    <row r="26" spans="1:42" ht="15.6">
      <c r="B26" s="7" t="s">
        <v>291</v>
      </c>
      <c r="C26" s="10">
        <f>IF(fueltype=1,rhopdex,IF(fueltype=2,rhopsorb,IF(fueltype=3,rhopsorb,IF(fueltype=4,rhopsu,IF(fueltype=5,rhoper,IF(fueltype=6,rhopmn,IF(fueltype=7,rhopot,rhopfr)))))))</f>
        <v>1.889</v>
      </c>
      <c r="D26" t="s">
        <v>27</v>
      </c>
      <c r="E26" t="s">
        <v>132</v>
      </c>
      <c r="X26" s="276"/>
      <c r="AA26" s="203" t="s">
        <v>411</v>
      </c>
      <c r="AB26" s="10">
        <v>4.5</v>
      </c>
      <c r="AD26" s="255" t="s">
        <v>366</v>
      </c>
      <c r="AE26" s="379"/>
      <c r="AF26" s="243">
        <v>2</v>
      </c>
      <c r="AG26" s="244">
        <v>32.953899999999997</v>
      </c>
      <c r="AH26" s="244">
        <v>44.107900000000001</v>
      </c>
      <c r="AI26" s="246">
        <v>-1.1024799999999999</v>
      </c>
      <c r="AJ26" s="250"/>
      <c r="AK26" s="250"/>
      <c r="AL26" s="250"/>
      <c r="AM26" s="250"/>
      <c r="AN26" s="261">
        <f t="shared" si="0"/>
        <v>225.9314</v>
      </c>
      <c r="AO26" s="255" t="s">
        <v>461</v>
      </c>
      <c r="AP26" s="253"/>
    </row>
    <row r="27" spans="1:42">
      <c r="C27" s="81">
        <v>0.95</v>
      </c>
      <c r="E27" t="s">
        <v>133</v>
      </c>
      <c r="X27" s="276"/>
      <c r="AA27" s="203" t="s">
        <v>382</v>
      </c>
      <c r="AB27" s="10">
        <v>4</v>
      </c>
      <c r="AD27" s="255" t="s">
        <v>469</v>
      </c>
      <c r="AE27" s="379"/>
      <c r="AF27" s="243">
        <v>5</v>
      </c>
      <c r="AG27" s="244">
        <v>50.410353000000001</v>
      </c>
      <c r="AH27" s="244">
        <v>211.194019</v>
      </c>
      <c r="AI27" s="246">
        <v>-47.797595999999999</v>
      </c>
      <c r="AJ27" s="250">
        <v>8.7790180000000007</v>
      </c>
      <c r="AK27" s="250">
        <v>-0.83028199999999996</v>
      </c>
      <c r="AL27" s="250">
        <v>3.0519000000000001E-2</v>
      </c>
      <c r="AM27" s="250"/>
      <c r="AN27" s="261">
        <f t="shared" si="0"/>
        <v>585.2634230000001</v>
      </c>
      <c r="AO27" s="255" t="s">
        <v>461</v>
      </c>
      <c r="AP27" s="253"/>
    </row>
    <row r="28" spans="1:42" ht="15.6">
      <c r="B28" s="7" t="s">
        <v>25</v>
      </c>
      <c r="C28" s="10">
        <f>rhorat*rhopgraini</f>
        <v>1.7945499999999999</v>
      </c>
      <c r="D28" t="s">
        <v>27</v>
      </c>
      <c r="E28" t="s">
        <v>134</v>
      </c>
      <c r="X28" s="276"/>
      <c r="AA28" s="203" t="s">
        <v>412</v>
      </c>
      <c r="AB28" s="10">
        <v>3.5</v>
      </c>
      <c r="AD28" s="255" t="s">
        <v>470</v>
      </c>
      <c r="AE28" s="379"/>
      <c r="AF28" s="243">
        <v>2</v>
      </c>
      <c r="AG28" s="244">
        <v>38</v>
      </c>
      <c r="AH28" s="244">
        <v>92.391000000000005</v>
      </c>
      <c r="AI28" s="246">
        <v>-2.0438000000000001</v>
      </c>
      <c r="AJ28" s="255"/>
      <c r="AK28" s="255"/>
      <c r="AL28" s="255"/>
      <c r="AM28" s="255"/>
      <c r="AN28" s="261">
        <f t="shared" si="0"/>
        <v>448.86</v>
      </c>
      <c r="AO28" s="255" t="s">
        <v>461</v>
      </c>
      <c r="AP28" s="253"/>
    </row>
    <row r="29" spans="1:42">
      <c r="B29" s="2" t="s">
        <v>26</v>
      </c>
      <c r="C29" s="10">
        <f>rhopgrain*vg/1000/1000</f>
        <v>0.18059782517530665</v>
      </c>
      <c r="D29" t="s">
        <v>28</v>
      </c>
      <c r="E29" t="s">
        <v>34</v>
      </c>
      <c r="X29" s="276"/>
      <c r="AA29" s="203" t="s">
        <v>383</v>
      </c>
      <c r="AB29" s="10">
        <v>3</v>
      </c>
      <c r="AD29" s="378" t="s">
        <v>519</v>
      </c>
      <c r="AE29" s="379"/>
      <c r="AF29" s="243">
        <v>3</v>
      </c>
      <c r="AG29" s="244">
        <v>54.53</v>
      </c>
      <c r="AH29" s="246">
        <v>33.652000000000001</v>
      </c>
      <c r="AI29" s="246">
        <v>-3.4184999999999999</v>
      </c>
      <c r="AJ29" s="380">
        <v>0.1545</v>
      </c>
      <c r="AK29" s="255"/>
      <c r="AL29" s="255"/>
      <c r="AM29" s="255"/>
      <c r="AN29" s="261">
        <f t="shared" si="0"/>
        <v>156.63999999999999</v>
      </c>
      <c r="AO29" s="255" t="s">
        <v>461</v>
      </c>
      <c r="AP29" s="253"/>
    </row>
    <row r="30" spans="1:42" ht="15.6">
      <c r="B30" s="2" t="s">
        <v>49</v>
      </c>
      <c r="C30" s="4">
        <f>n*2*ei*PI()/4*(do^2-dio^2)</f>
        <v>3556.0717688373238</v>
      </c>
      <c r="D30" t="s">
        <v>15</v>
      </c>
      <c r="E30" t="s">
        <v>38</v>
      </c>
      <c r="X30" s="276"/>
      <c r="AA30" s="203" t="s">
        <v>413</v>
      </c>
      <c r="AB30" s="10">
        <v>2.5</v>
      </c>
      <c r="AD30" s="378" t="s">
        <v>535</v>
      </c>
      <c r="AE30" s="379"/>
      <c r="AF30" s="243">
        <v>2</v>
      </c>
      <c r="AG30" s="244">
        <v>39.747999999999998</v>
      </c>
      <c r="AH30" s="246">
        <v>51.618000000000002</v>
      </c>
      <c r="AI30" s="246">
        <v>-0.9264</v>
      </c>
      <c r="AJ30" s="380"/>
      <c r="AK30" s="255"/>
      <c r="AL30" s="255"/>
      <c r="AM30" s="255"/>
      <c r="AN30" s="261">
        <f t="shared" si="0"/>
        <v>274.678</v>
      </c>
      <c r="AO30" s="255" t="s">
        <v>461</v>
      </c>
      <c r="AP30" s="253"/>
    </row>
    <row r="31" spans="1:42" ht="15.6">
      <c r="B31" s="2" t="s">
        <v>50</v>
      </c>
      <c r="C31" s="4">
        <f>n*ci*PI()*dio*lo</f>
        <v>14225.131535454584</v>
      </c>
      <c r="D31" t="s">
        <v>15</v>
      </c>
      <c r="E31" t="s">
        <v>39</v>
      </c>
      <c r="X31" s="277">
        <f>IF(C14="KNDX",1,IF(C14="KNSB fine",2,IF(C14="KNSB coarse",3,IF(C14="KNSU",4,IF(C14="KNER coarse",5,IF(C14="KNMN coarse",6,IF(C14="KNPSB",7,8)))))))</f>
        <v>4</v>
      </c>
      <c r="AA31" s="203" t="s">
        <v>384</v>
      </c>
      <c r="AB31" s="10">
        <v>2</v>
      </c>
      <c r="AD31" s="263" t="s">
        <v>460</v>
      </c>
      <c r="AE31" s="253"/>
      <c r="AF31" s="253"/>
      <c r="AG31" s="253"/>
      <c r="AH31" s="253"/>
      <c r="AI31" s="253"/>
      <c r="AJ31" s="253"/>
      <c r="AK31" s="253"/>
      <c r="AL31" s="253"/>
      <c r="AM31" s="253"/>
      <c r="AN31" s="250" t="s">
        <v>463</v>
      </c>
      <c r="AO31" s="250" t="s">
        <v>13</v>
      </c>
      <c r="AP31" s="253"/>
    </row>
    <row r="32" spans="1:42" ht="15.6">
      <c r="B32" s="2" t="s">
        <v>51</v>
      </c>
      <c r="C32" s="4">
        <f>n*osi*PI()*do*lo</f>
        <v>0</v>
      </c>
      <c r="D32" t="s">
        <v>15</v>
      </c>
      <c r="E32" t="s">
        <v>40</v>
      </c>
      <c r="K32" s="8"/>
      <c r="AA32" s="203" t="s">
        <v>414</v>
      </c>
      <c r="AB32" s="10">
        <v>1.5</v>
      </c>
      <c r="AD32" s="264" t="str">
        <f>C34</f>
        <v>5 MPa</v>
      </c>
      <c r="AE32" s="265">
        <f>VLOOKUP(AD32,AA17:AB57,2,FALSE)</f>
        <v>5</v>
      </c>
      <c r="AF32" s="253" t="s">
        <v>127</v>
      </c>
      <c r="AG32" s="280"/>
      <c r="AH32" s="253"/>
      <c r="AI32" s="253"/>
      <c r="AJ32" s="253"/>
      <c r="AK32" s="253"/>
      <c r="AL32" s="253"/>
      <c r="AM32" s="253"/>
      <c r="AN32" s="250">
        <v>1</v>
      </c>
      <c r="AO32" s="267">
        <f>IF(pmselect&lt;3,AN21,IF(pmselect&lt;6,AN22,AN23))</f>
        <v>269.32069999999999</v>
      </c>
      <c r="AP32" s="253"/>
    </row>
    <row r="33" spans="2:42" ht="15.6">
      <c r="B33" s="2" t="s">
        <v>14</v>
      </c>
      <c r="C33" s="4">
        <f>SUM(C30:C32)</f>
        <v>17781.203304291907</v>
      </c>
      <c r="D33" t="s">
        <v>15</v>
      </c>
      <c r="E33" t="s">
        <v>41</v>
      </c>
      <c r="K33" s="108">
        <f>C96</f>
        <v>0</v>
      </c>
      <c r="AA33" s="203" t="s">
        <v>415</v>
      </c>
      <c r="AB33" s="10">
        <v>1</v>
      </c>
      <c r="AD33" s="253"/>
      <c r="AE33" s="253"/>
      <c r="AF33" s="253"/>
      <c r="AG33" s="281"/>
      <c r="AH33" s="253"/>
      <c r="AI33" s="253"/>
      <c r="AJ33" s="253"/>
      <c r="AK33" s="253"/>
      <c r="AL33" s="253"/>
      <c r="AM33" s="253"/>
      <c r="AN33" s="250">
        <v>2</v>
      </c>
      <c r="AO33" s="267">
        <f t="shared" ref="AO33:AO39" si="1">AN24</f>
        <v>351.10312499999998</v>
      </c>
      <c r="AP33" s="253"/>
    </row>
    <row r="34" spans="2:42">
      <c r="B34" s="5" t="s">
        <v>451</v>
      </c>
      <c r="C34" s="238" t="s">
        <v>381</v>
      </c>
      <c r="D34" s="242" t="s">
        <v>457</v>
      </c>
      <c r="E34" s="8" t="s">
        <v>397</v>
      </c>
      <c r="AA34" s="203" t="s">
        <v>416</v>
      </c>
      <c r="AB34" s="10">
        <f>1300*6895/1000000</f>
        <v>8.9634999999999998</v>
      </c>
      <c r="AD34" s="253"/>
      <c r="AE34" s="253"/>
      <c r="AF34" s="253"/>
      <c r="AG34" s="282"/>
      <c r="AH34" s="253"/>
      <c r="AI34" s="253"/>
      <c r="AJ34" s="253"/>
      <c r="AK34" s="253"/>
      <c r="AL34" s="253"/>
      <c r="AM34" s="253"/>
      <c r="AN34" s="250">
        <v>3</v>
      </c>
      <c r="AO34" s="267">
        <f t="shared" si="1"/>
        <v>448.86</v>
      </c>
      <c r="AP34" s="253"/>
    </row>
    <row r="35" spans="2:42">
      <c r="B35" s="5" t="s">
        <v>452</v>
      </c>
      <c r="C35" s="241">
        <f>VLOOKUP(fueltype,knselecttab,2,FALSE)</f>
        <v>225.9314</v>
      </c>
      <c r="E35" s="8" t="s">
        <v>448</v>
      </c>
      <c r="I35" s="145" t="s">
        <v>56</v>
      </c>
      <c r="J35" s="146">
        <f>MAX(knrange)</f>
        <v>225.9314</v>
      </c>
      <c r="AA35" s="203" t="s">
        <v>428</v>
      </c>
      <c r="AB35" s="10">
        <f>1250*6895/1000000</f>
        <v>8.6187500000000004</v>
      </c>
      <c r="AD35" s="253"/>
      <c r="AE35" s="253"/>
      <c r="AF35" s="253"/>
      <c r="AG35" s="280"/>
      <c r="AH35" s="253"/>
      <c r="AI35" s="253"/>
      <c r="AJ35" s="253"/>
      <c r="AK35" s="253"/>
      <c r="AL35" s="253"/>
      <c r="AM35" s="253"/>
      <c r="AN35" s="250">
        <v>4</v>
      </c>
      <c r="AO35" s="267">
        <f t="shared" si="1"/>
        <v>225.9314</v>
      </c>
      <c r="AP35" s="253"/>
    </row>
    <row r="36" spans="2:42" ht="15.6">
      <c r="B36" s="11" t="s">
        <v>396</v>
      </c>
      <c r="C36" s="4">
        <f>abmax/kn</f>
        <v>81.256230789298584</v>
      </c>
      <c r="D36" t="s">
        <v>15</v>
      </c>
      <c r="E36" t="s">
        <v>37</v>
      </c>
      <c r="I36" s="147" t="s">
        <v>57</v>
      </c>
      <c r="J36" s="148">
        <f>MIN(knrange)</f>
        <v>218.79452718726375</v>
      </c>
      <c r="AA36" s="203" t="s">
        <v>385</v>
      </c>
      <c r="AB36" s="10">
        <f>1200*6895/1000000</f>
        <v>8.2739999999999991</v>
      </c>
      <c r="AD36" s="253"/>
      <c r="AE36" s="253"/>
      <c r="AF36" s="253"/>
      <c r="AG36" s="280"/>
      <c r="AH36" s="253"/>
      <c r="AI36" s="253"/>
      <c r="AJ36" s="253"/>
      <c r="AK36" s="253"/>
      <c r="AL36" s="253"/>
      <c r="AM36" s="253"/>
      <c r="AN36" s="250">
        <v>5</v>
      </c>
      <c r="AO36" s="267">
        <f t="shared" si="1"/>
        <v>585.2634230000001</v>
      </c>
    </row>
    <row r="37" spans="2:42">
      <c r="B37" s="320" t="s">
        <v>493</v>
      </c>
      <c r="C37" s="321">
        <f>SQRT(4*at/PI())</f>
        <v>10.171462348013772</v>
      </c>
      <c r="D37" s="8" t="s">
        <v>36</v>
      </c>
      <c r="E37" s="151" t="s">
        <v>494</v>
      </c>
      <c r="F37" s="151"/>
      <c r="I37" s="149" t="s">
        <v>58</v>
      </c>
      <c r="J37" s="150">
        <f>AVERAGE(knrange)</f>
        <v>223.46322434586668</v>
      </c>
      <c r="AA37" s="203" t="s">
        <v>417</v>
      </c>
      <c r="AB37" s="10">
        <f>1150*6895/1000000</f>
        <v>7.9292499999999997</v>
      </c>
      <c r="AG37" s="234"/>
      <c r="AH37" s="234"/>
      <c r="AI37" s="234"/>
      <c r="AJ37" s="234"/>
      <c r="AK37" s="235"/>
      <c r="AL37" s="235"/>
      <c r="AM37" s="234"/>
      <c r="AN37" s="250">
        <v>6</v>
      </c>
      <c r="AO37" s="267">
        <f t="shared" si="1"/>
        <v>448.86</v>
      </c>
    </row>
    <row r="38" spans="2:42">
      <c r="AA38" s="203" t="s">
        <v>386</v>
      </c>
      <c r="AB38" s="10">
        <f>1100*6895/1000000</f>
        <v>7.5845000000000002</v>
      </c>
      <c r="AN38" s="250">
        <v>7</v>
      </c>
      <c r="AO38" s="267">
        <f t="shared" si="1"/>
        <v>156.63999999999999</v>
      </c>
    </row>
    <row r="39" spans="2:42">
      <c r="B39" s="2" t="s">
        <v>16</v>
      </c>
      <c r="C39" s="64">
        <v>0</v>
      </c>
      <c r="D39" t="s">
        <v>2</v>
      </c>
      <c r="E39" t="s">
        <v>274</v>
      </c>
      <c r="AA39" s="203" t="s">
        <v>418</v>
      </c>
      <c r="AB39" s="10">
        <f>1050*6895/1000000</f>
        <v>7.2397499999999999</v>
      </c>
      <c r="AN39" s="250">
        <v>8</v>
      </c>
      <c r="AO39" s="267">
        <f t="shared" si="1"/>
        <v>274.678</v>
      </c>
    </row>
    <row r="40" spans="2:42">
      <c r="B40" s="2" t="s">
        <v>43</v>
      </c>
      <c r="C40" s="40">
        <f>SQRT(4*at/PI())+erate</f>
        <v>10.171462348013772</v>
      </c>
      <c r="D40" t="s">
        <v>36</v>
      </c>
      <c r="E40" t="s">
        <v>42</v>
      </c>
      <c r="AA40" s="203" t="s">
        <v>387</v>
      </c>
      <c r="AB40" s="10">
        <f>1000*6895/1000000</f>
        <v>6.8949999999999996</v>
      </c>
    </row>
    <row r="41" spans="2:42">
      <c r="AA41" s="203" t="s">
        <v>419</v>
      </c>
      <c r="AB41" s="10">
        <f>950*6895/1000000</f>
        <v>6.5502500000000001</v>
      </c>
    </row>
    <row r="42" spans="2:42">
      <c r="B42" s="54" t="s">
        <v>145</v>
      </c>
      <c r="C42" s="52">
        <v>0.1107999999999999</v>
      </c>
      <c r="D42" s="53" t="s">
        <v>2</v>
      </c>
      <c r="E42" s="88" t="s">
        <v>253</v>
      </c>
      <c r="G42" s="23" t="str">
        <f>IF(twebfinal&gt;0.1,"Error code 01--convergence failure","")</f>
        <v/>
      </c>
      <c r="AA42" s="203" t="s">
        <v>388</v>
      </c>
      <c r="AB42" s="10">
        <f>900*6895/1000000</f>
        <v>6.2054999999999998</v>
      </c>
    </row>
    <row r="43" spans="2:42">
      <c r="B43" s="14" t="s">
        <v>44</v>
      </c>
      <c r="C43" s="13" t="s">
        <v>47</v>
      </c>
      <c r="D43" s="13" t="s">
        <v>45</v>
      </c>
      <c r="E43" s="13" t="s">
        <v>53</v>
      </c>
      <c r="F43" s="13" t="s">
        <v>46</v>
      </c>
      <c r="G43" s="13" t="s">
        <v>48</v>
      </c>
      <c r="H43" s="13" t="s">
        <v>18</v>
      </c>
      <c r="I43" s="13" t="s">
        <v>19</v>
      </c>
      <c r="J43" s="13" t="s">
        <v>20</v>
      </c>
      <c r="K43" s="13" t="s">
        <v>52</v>
      </c>
      <c r="L43" s="13" t="s">
        <v>54</v>
      </c>
      <c r="M43" s="14" t="s">
        <v>13</v>
      </c>
      <c r="N43" s="39"/>
      <c r="O43" s="208"/>
      <c r="AA43" s="203" t="s">
        <v>420</v>
      </c>
      <c r="AB43" s="10">
        <f>850*6895/1000000</f>
        <v>5.8607500000000003</v>
      </c>
    </row>
    <row r="44" spans="2:42" ht="16.2" thickBot="1">
      <c r="B44" s="15"/>
      <c r="C44" s="16" t="s">
        <v>2</v>
      </c>
      <c r="D44" s="16" t="s">
        <v>2</v>
      </c>
      <c r="E44" s="16" t="s">
        <v>2</v>
      </c>
      <c r="F44" s="16" t="s">
        <v>2</v>
      </c>
      <c r="G44" s="16" t="s">
        <v>2</v>
      </c>
      <c r="H44" s="16" t="s">
        <v>15</v>
      </c>
      <c r="I44" s="16" t="s">
        <v>15</v>
      </c>
      <c r="J44" s="16" t="s">
        <v>15</v>
      </c>
      <c r="K44" s="16" t="s">
        <v>15</v>
      </c>
      <c r="L44" s="16" t="s">
        <v>15</v>
      </c>
      <c r="M44" s="15"/>
      <c r="N44" s="39"/>
      <c r="O44" s="208"/>
      <c r="AA44" s="203" t="s">
        <v>389</v>
      </c>
      <c r="AB44" s="10">
        <f>800*6895/1000000</f>
        <v>5.516</v>
      </c>
    </row>
    <row r="45" spans="2:42">
      <c r="B45" s="12">
        <v>0</v>
      </c>
      <c r="C45" s="77">
        <v>0</v>
      </c>
      <c r="D45" s="77">
        <f>dio+ci*(2*C45)</f>
        <v>20</v>
      </c>
      <c r="E45" s="77">
        <f t="shared" ref="E45:E50" si="2">do-osi*(2*C45)</f>
        <v>31.08</v>
      </c>
      <c r="F45" s="17">
        <f t="shared" ref="F45:F50" si="3">lgo-ei*(2*n*C45)</f>
        <v>226.4</v>
      </c>
      <c r="G45" s="77">
        <f t="shared" ref="G45:G50" si="4">(E45-D45)/2</f>
        <v>5.5399999999999991</v>
      </c>
      <c r="H45" s="18">
        <f t="shared" ref="H45:H50" si="5">ei*2*n*PI()/4*(E45^2-D45^2)</f>
        <v>3556.0717688373238</v>
      </c>
      <c r="I45" s="18">
        <f t="shared" ref="I45:I50" si="6">ci*PI()*D45*F45</f>
        <v>14225.131535454584</v>
      </c>
      <c r="J45" s="18">
        <f t="shared" ref="J45:J50" si="7">osi*PI()*E45*F45</f>
        <v>0</v>
      </c>
      <c r="K45" s="18">
        <f t="shared" ref="K45:K50" si="8">SUM(H45:J45)</f>
        <v>17781.203304291907</v>
      </c>
      <c r="L45" s="17">
        <f>PI()/4*(dto+erate*(two-G45)/two)^2</f>
        <v>81.256230789298584</v>
      </c>
      <c r="M45" s="17">
        <f t="shared" ref="M45:M50" si="9">K45/L45</f>
        <v>218.82879788504397</v>
      </c>
      <c r="N45" s="4"/>
      <c r="O45" s="209"/>
      <c r="AA45" s="203" t="s">
        <v>421</v>
      </c>
      <c r="AB45" s="10">
        <f>750*6895/1000000</f>
        <v>5.1712499999999997</v>
      </c>
    </row>
    <row r="46" spans="2:42">
      <c r="B46" s="13">
        <f>1+B45</f>
        <v>1</v>
      </c>
      <c r="C46" s="19">
        <f>xinc+C45</f>
        <v>0.1107999999999999</v>
      </c>
      <c r="D46" s="77">
        <f>dio+ci*(2*C46)</f>
        <v>20.221599999999999</v>
      </c>
      <c r="E46" s="77">
        <f t="shared" si="2"/>
        <v>31.08</v>
      </c>
      <c r="F46" s="17">
        <f t="shared" si="3"/>
        <v>225.5136</v>
      </c>
      <c r="G46" s="77">
        <f t="shared" si="4"/>
        <v>5.4291999999999998</v>
      </c>
      <c r="H46" s="18">
        <f t="shared" si="5"/>
        <v>3500.0690686582061</v>
      </c>
      <c r="I46" s="18">
        <f t="shared" si="6"/>
        <v>14326.434747072022</v>
      </c>
      <c r="J46" s="18">
        <f t="shared" si="7"/>
        <v>0</v>
      </c>
      <c r="K46" s="18">
        <f t="shared" si="8"/>
        <v>17826.50381573023</v>
      </c>
      <c r="L46" s="17">
        <f t="shared" ref="L46:L95" si="10">PI()/4*(dto+erate*(two-G46)/two)^2</f>
        <v>81.256230789298584</v>
      </c>
      <c r="M46" s="17">
        <f t="shared" si="9"/>
        <v>219.38629988825392</v>
      </c>
      <c r="N46" s="4"/>
      <c r="O46" s="209"/>
      <c r="AA46" s="203" t="s">
        <v>390</v>
      </c>
      <c r="AB46" s="10">
        <f>700*6895/1000000</f>
        <v>4.8265000000000002</v>
      </c>
    </row>
    <row r="47" spans="2:42">
      <c r="B47" s="13">
        <f>1+B46</f>
        <v>2</v>
      </c>
      <c r="C47" s="19">
        <f>xinc+C46</f>
        <v>0.2215999999999998</v>
      </c>
      <c r="D47" s="77">
        <f t="shared" ref="D47:D95" si="11">dio+ci*(2*C47)</f>
        <v>20.443200000000001</v>
      </c>
      <c r="E47" s="77">
        <f t="shared" si="2"/>
        <v>31.08</v>
      </c>
      <c r="F47" s="17">
        <f t="shared" si="3"/>
        <v>224.62720000000002</v>
      </c>
      <c r="G47" s="77">
        <f t="shared" si="4"/>
        <v>5.3183999999999987</v>
      </c>
      <c r="H47" s="18">
        <f t="shared" si="5"/>
        <v>3443.449277246531</v>
      </c>
      <c r="I47" s="18">
        <f t="shared" si="6"/>
        <v>14426.503776224354</v>
      </c>
      <c r="J47" s="18">
        <f t="shared" si="7"/>
        <v>0</v>
      </c>
      <c r="K47" s="18">
        <f t="shared" si="8"/>
        <v>17869.953053470883</v>
      </c>
      <c r="L47" s="17">
        <f t="shared" si="10"/>
        <v>81.256230789298584</v>
      </c>
      <c r="M47" s="17">
        <f t="shared" si="9"/>
        <v>219.92101873157952</v>
      </c>
      <c r="N47" s="4"/>
      <c r="O47" s="209"/>
      <c r="AA47" s="203" t="s">
        <v>422</v>
      </c>
      <c r="AB47" s="10">
        <f>650*6895/1000000</f>
        <v>4.4817499999999999</v>
      </c>
    </row>
    <row r="48" spans="2:42">
      <c r="B48" s="13">
        <f>1+B47</f>
        <v>3</v>
      </c>
      <c r="C48" s="19">
        <f>xinc+C47</f>
        <v>0.3323999999999997</v>
      </c>
      <c r="D48" s="77">
        <f t="shared" si="11"/>
        <v>20.6648</v>
      </c>
      <c r="E48" s="77">
        <f t="shared" si="2"/>
        <v>31.08</v>
      </c>
      <c r="F48" s="17">
        <f t="shared" si="3"/>
        <v>223.74080000000001</v>
      </c>
      <c r="G48" s="77">
        <f t="shared" si="4"/>
        <v>5.2075999999999993</v>
      </c>
      <c r="H48" s="18">
        <f t="shared" si="5"/>
        <v>3386.2123946023012</v>
      </c>
      <c r="I48" s="18">
        <f t="shared" si="6"/>
        <v>14525.338622911569</v>
      </c>
      <c r="J48" s="18">
        <f t="shared" si="7"/>
        <v>0</v>
      </c>
      <c r="K48" s="18">
        <f t="shared" si="8"/>
        <v>17911.55101751387</v>
      </c>
      <c r="L48" s="17">
        <f t="shared" si="10"/>
        <v>81.256230789298584</v>
      </c>
      <c r="M48" s="17">
        <f t="shared" si="9"/>
        <v>220.43295441502087</v>
      </c>
      <c r="N48" s="4"/>
      <c r="O48" s="209"/>
      <c r="AA48" s="203" t="s">
        <v>391</v>
      </c>
      <c r="AB48" s="10">
        <f>600*6895/1000000</f>
        <v>4.1369999999999996</v>
      </c>
    </row>
    <row r="49" spans="2:28">
      <c r="B49" s="13">
        <f>1+B48</f>
        <v>4</v>
      </c>
      <c r="C49" s="19">
        <f>xinc+C48</f>
        <v>0.44319999999999959</v>
      </c>
      <c r="D49" s="77">
        <f t="shared" si="11"/>
        <v>20.886399999999998</v>
      </c>
      <c r="E49" s="77">
        <f t="shared" si="2"/>
        <v>31.08</v>
      </c>
      <c r="F49" s="17">
        <f t="shared" si="3"/>
        <v>222.8544</v>
      </c>
      <c r="G49" s="77">
        <f t="shared" si="4"/>
        <v>5.0968</v>
      </c>
      <c r="H49" s="18">
        <f t="shared" si="5"/>
        <v>3328.3584207255144</v>
      </c>
      <c r="I49" s="18">
        <f t="shared" si="6"/>
        <v>14622.939287133668</v>
      </c>
      <c r="J49" s="18">
        <f t="shared" si="7"/>
        <v>0</v>
      </c>
      <c r="K49" s="18">
        <f t="shared" si="8"/>
        <v>17951.297707859183</v>
      </c>
      <c r="L49" s="17">
        <f t="shared" si="10"/>
        <v>81.256230789298584</v>
      </c>
      <c r="M49" s="17">
        <f t="shared" si="9"/>
        <v>220.92210693857783</v>
      </c>
      <c r="N49" s="4"/>
      <c r="O49" s="209"/>
      <c r="AA49" s="203" t="s">
        <v>423</v>
      </c>
      <c r="AB49" s="10">
        <f>550*6895/1000000</f>
        <v>3.7922500000000001</v>
      </c>
    </row>
    <row r="50" spans="2:28">
      <c r="B50" s="13">
        <f>1+B49</f>
        <v>5</v>
      </c>
      <c r="C50" s="19">
        <f>xinc+C49</f>
        <v>0.55399999999999949</v>
      </c>
      <c r="D50" s="77">
        <f t="shared" si="11"/>
        <v>21.108000000000001</v>
      </c>
      <c r="E50" s="77">
        <f t="shared" si="2"/>
        <v>31.08</v>
      </c>
      <c r="F50" s="17">
        <f t="shared" si="3"/>
        <v>221.96800000000002</v>
      </c>
      <c r="G50" s="77">
        <f t="shared" si="4"/>
        <v>4.9859999999999989</v>
      </c>
      <c r="H50" s="18">
        <f t="shared" si="5"/>
        <v>3269.8873556161711</v>
      </c>
      <c r="I50" s="18">
        <f t="shared" si="6"/>
        <v>14719.305768890663</v>
      </c>
      <c r="J50" s="18">
        <f t="shared" si="7"/>
        <v>0</v>
      </c>
      <c r="K50" s="18">
        <f t="shared" si="8"/>
        <v>17989.193124506834</v>
      </c>
      <c r="L50" s="17">
        <f t="shared" si="10"/>
        <v>81.256230789298584</v>
      </c>
      <c r="M50" s="17">
        <f t="shared" si="9"/>
        <v>221.38847630225058</v>
      </c>
      <c r="N50" s="4"/>
      <c r="O50" s="209"/>
      <c r="AA50" s="203" t="s">
        <v>392</v>
      </c>
      <c r="AB50" s="10">
        <f>500*6895/1000000</f>
        <v>3.4474999999999998</v>
      </c>
    </row>
    <row r="51" spans="2:28">
      <c r="B51" s="13">
        <f t="shared" ref="B51:B95" si="12">1+B50</f>
        <v>6</v>
      </c>
      <c r="C51" s="19">
        <f t="shared" ref="C51:C95" si="13">xinc+C50</f>
        <v>0.66479999999999939</v>
      </c>
      <c r="D51" s="77">
        <f t="shared" si="11"/>
        <v>21.329599999999999</v>
      </c>
      <c r="E51" s="77">
        <f t="shared" ref="E51:E95" si="14">do-osi*(2*C51)</f>
        <v>31.08</v>
      </c>
      <c r="F51" s="17">
        <f t="shared" ref="F51:F95" si="15">lgo-ei*(2*n*C51)</f>
        <v>221.08160000000001</v>
      </c>
      <c r="G51" s="77">
        <f t="shared" ref="G51:G95" si="16">(E51-D51)/2</f>
        <v>4.8751999999999995</v>
      </c>
      <c r="H51" s="18">
        <f t="shared" ref="H51:H95" si="17">ei*2*n*PI()/4*(E51^2-D51^2)</f>
        <v>3210.7991992742723</v>
      </c>
      <c r="I51" s="18">
        <f t="shared" ref="I51:I95" si="18">ci*PI()*D51*F51</f>
        <v>14814.438068182541</v>
      </c>
      <c r="J51" s="18">
        <f t="shared" ref="J51:J95" si="19">osi*PI()*E51*F51</f>
        <v>0</v>
      </c>
      <c r="K51" s="18">
        <f t="shared" ref="K51:K95" si="20">SUM(H51:J51)</f>
        <v>18025.237267456814</v>
      </c>
      <c r="L51" s="17">
        <f t="shared" si="10"/>
        <v>81.256230789298584</v>
      </c>
      <c r="M51" s="17">
        <f t="shared" ref="M51:M95" si="21">K51/L51</f>
        <v>221.83206250603899</v>
      </c>
      <c r="N51" s="4"/>
      <c r="O51" s="209"/>
      <c r="AA51" s="203" t="s">
        <v>424</v>
      </c>
      <c r="AB51" s="10">
        <f>450*6895/1000000</f>
        <v>3.1027499999999999</v>
      </c>
    </row>
    <row r="52" spans="2:28">
      <c r="B52" s="13">
        <f t="shared" si="12"/>
        <v>7</v>
      </c>
      <c r="C52" s="19">
        <f t="shared" si="13"/>
        <v>0.77559999999999929</v>
      </c>
      <c r="D52" s="77">
        <f t="shared" si="11"/>
        <v>21.551199999999998</v>
      </c>
      <c r="E52" s="77">
        <f t="shared" si="14"/>
        <v>31.08</v>
      </c>
      <c r="F52" s="17">
        <f t="shared" si="15"/>
        <v>220.1952</v>
      </c>
      <c r="G52" s="77">
        <f t="shared" si="16"/>
        <v>4.7644000000000002</v>
      </c>
      <c r="H52" s="18">
        <f t="shared" si="17"/>
        <v>3151.0939516998169</v>
      </c>
      <c r="I52" s="18">
        <f t="shared" si="18"/>
        <v>14908.336185009302</v>
      </c>
      <c r="J52" s="18">
        <f t="shared" si="19"/>
        <v>0</v>
      </c>
      <c r="K52" s="18">
        <f t="shared" si="20"/>
        <v>18059.430136709118</v>
      </c>
      <c r="L52" s="17">
        <f t="shared" si="10"/>
        <v>81.256230789298584</v>
      </c>
      <c r="M52" s="17">
        <f t="shared" si="21"/>
        <v>222.25286554994301</v>
      </c>
      <c r="N52" s="4"/>
      <c r="O52" s="209"/>
      <c r="AA52" s="203" t="s">
        <v>393</v>
      </c>
      <c r="AB52" s="10">
        <f>400*6895/1000000</f>
        <v>2.758</v>
      </c>
    </row>
    <row r="53" spans="2:28">
      <c r="B53" s="13">
        <f t="shared" si="12"/>
        <v>8</v>
      </c>
      <c r="C53" s="19">
        <f t="shared" si="13"/>
        <v>0.88639999999999919</v>
      </c>
      <c r="D53" s="77">
        <f t="shared" si="11"/>
        <v>21.772799999999997</v>
      </c>
      <c r="E53" s="77">
        <f t="shared" si="14"/>
        <v>31.08</v>
      </c>
      <c r="F53" s="17">
        <f t="shared" si="15"/>
        <v>219.30880000000002</v>
      </c>
      <c r="G53" s="77">
        <f t="shared" si="16"/>
        <v>4.6536000000000008</v>
      </c>
      <c r="H53" s="18">
        <f t="shared" si="17"/>
        <v>3090.7716128928055</v>
      </c>
      <c r="I53" s="18">
        <f t="shared" si="18"/>
        <v>15001.000119370958</v>
      </c>
      <c r="J53" s="18">
        <f t="shared" si="19"/>
        <v>0</v>
      </c>
      <c r="K53" s="18">
        <f t="shared" si="20"/>
        <v>18091.771732263762</v>
      </c>
      <c r="L53" s="17">
        <f t="shared" si="10"/>
        <v>81.256230789298584</v>
      </c>
      <c r="M53" s="17">
        <f t="shared" si="21"/>
        <v>222.65088543396283</v>
      </c>
      <c r="N53" s="4"/>
      <c r="O53" s="209"/>
      <c r="AA53" s="203" t="s">
        <v>425</v>
      </c>
      <c r="AB53" s="10">
        <f>350*6895/1000000</f>
        <v>2.4132500000000001</v>
      </c>
    </row>
    <row r="54" spans="2:28">
      <c r="B54" s="13">
        <f t="shared" si="12"/>
        <v>9</v>
      </c>
      <c r="C54" s="19">
        <f t="shared" si="13"/>
        <v>0.99719999999999909</v>
      </c>
      <c r="D54" s="77">
        <f t="shared" si="11"/>
        <v>21.994399999999999</v>
      </c>
      <c r="E54" s="77">
        <f t="shared" si="14"/>
        <v>31.08</v>
      </c>
      <c r="F54" s="17">
        <f t="shared" si="15"/>
        <v>218.42240000000001</v>
      </c>
      <c r="G54" s="77">
        <f t="shared" si="16"/>
        <v>4.5427999999999997</v>
      </c>
      <c r="H54" s="18">
        <f t="shared" si="17"/>
        <v>3029.8321828532371</v>
      </c>
      <c r="I54" s="18">
        <f t="shared" si="18"/>
        <v>15092.429871267497</v>
      </c>
      <c r="J54" s="18">
        <f t="shared" si="19"/>
        <v>0</v>
      </c>
      <c r="K54" s="18">
        <f t="shared" si="20"/>
        <v>18122.262054120736</v>
      </c>
      <c r="L54" s="17">
        <f t="shared" si="10"/>
        <v>81.256230789298584</v>
      </c>
      <c r="M54" s="17">
        <f t="shared" si="21"/>
        <v>223.02612215809833</v>
      </c>
      <c r="N54" s="4"/>
      <c r="O54" s="209"/>
      <c r="AA54" s="203" t="s">
        <v>394</v>
      </c>
      <c r="AB54" s="10">
        <f>300*6895/1000000</f>
        <v>2.0684999999999998</v>
      </c>
    </row>
    <row r="55" spans="2:28">
      <c r="B55" s="13">
        <f t="shared" si="12"/>
        <v>10</v>
      </c>
      <c r="C55" s="19">
        <f t="shared" si="13"/>
        <v>1.107999999999999</v>
      </c>
      <c r="D55" s="77">
        <f t="shared" si="11"/>
        <v>22.215999999999998</v>
      </c>
      <c r="E55" s="77">
        <f t="shared" si="14"/>
        <v>31.08</v>
      </c>
      <c r="F55" s="17">
        <f t="shared" si="15"/>
        <v>217.536</v>
      </c>
      <c r="G55" s="77">
        <f t="shared" si="16"/>
        <v>4.4320000000000004</v>
      </c>
      <c r="H55" s="18">
        <f t="shared" si="17"/>
        <v>2968.2756615811127</v>
      </c>
      <c r="I55" s="18">
        <f t="shared" si="18"/>
        <v>15182.625440698925</v>
      </c>
      <c r="J55" s="18">
        <f t="shared" si="19"/>
        <v>0</v>
      </c>
      <c r="K55" s="18">
        <f t="shared" si="20"/>
        <v>18150.901102280037</v>
      </c>
      <c r="L55" s="17">
        <f t="shared" si="10"/>
        <v>81.256230789298584</v>
      </c>
      <c r="M55" s="17">
        <f t="shared" si="21"/>
        <v>223.37857572234947</v>
      </c>
      <c r="N55" s="4"/>
      <c r="O55" s="210"/>
      <c r="AA55" s="203" t="s">
        <v>426</v>
      </c>
      <c r="AB55" s="10">
        <f>250*6895/1000000</f>
        <v>1.7237499999999999</v>
      </c>
    </row>
    <row r="56" spans="2:28">
      <c r="B56" s="13">
        <f t="shared" si="12"/>
        <v>11</v>
      </c>
      <c r="C56" s="19">
        <f t="shared" si="13"/>
        <v>1.218799999999999</v>
      </c>
      <c r="D56" s="77">
        <f t="shared" si="11"/>
        <v>22.437599999999996</v>
      </c>
      <c r="E56" s="77">
        <f t="shared" si="14"/>
        <v>31.08</v>
      </c>
      <c r="F56" s="17">
        <f t="shared" si="15"/>
        <v>216.64960000000002</v>
      </c>
      <c r="G56" s="77">
        <f t="shared" si="16"/>
        <v>4.321200000000001</v>
      </c>
      <c r="H56" s="18">
        <f t="shared" si="17"/>
        <v>2906.1020490764326</v>
      </c>
      <c r="I56" s="18">
        <f t="shared" si="18"/>
        <v>15271.586827665242</v>
      </c>
      <c r="J56" s="18">
        <f t="shared" si="19"/>
        <v>0</v>
      </c>
      <c r="K56" s="18">
        <f t="shared" si="20"/>
        <v>18177.688876741675</v>
      </c>
      <c r="L56" s="17">
        <f t="shared" si="10"/>
        <v>81.256230789298584</v>
      </c>
      <c r="M56" s="17">
        <f t="shared" si="21"/>
        <v>223.70824612671635</v>
      </c>
      <c r="N56" s="4"/>
      <c r="O56" s="210"/>
      <c r="AA56" s="203" t="s">
        <v>395</v>
      </c>
      <c r="AB56" s="10">
        <f>200*6895/1000000</f>
        <v>1.379</v>
      </c>
    </row>
    <row r="57" spans="2:28">
      <c r="B57" s="13">
        <f t="shared" si="12"/>
        <v>12</v>
      </c>
      <c r="C57" s="19">
        <f t="shared" si="13"/>
        <v>1.3295999999999988</v>
      </c>
      <c r="D57" s="77">
        <f t="shared" si="11"/>
        <v>22.659199999999998</v>
      </c>
      <c r="E57" s="77">
        <f t="shared" si="14"/>
        <v>31.08</v>
      </c>
      <c r="F57" s="17">
        <f t="shared" si="15"/>
        <v>215.76320000000001</v>
      </c>
      <c r="G57" s="77">
        <f t="shared" si="16"/>
        <v>4.2103999999999999</v>
      </c>
      <c r="H57" s="18">
        <f t="shared" si="17"/>
        <v>2843.3113453391952</v>
      </c>
      <c r="I57" s="18">
        <f t="shared" si="18"/>
        <v>15359.314032166443</v>
      </c>
      <c r="J57" s="18">
        <f t="shared" si="19"/>
        <v>0</v>
      </c>
      <c r="K57" s="18">
        <f t="shared" si="20"/>
        <v>18202.625377505639</v>
      </c>
      <c r="L57" s="17">
        <f t="shared" si="10"/>
        <v>81.256230789298584</v>
      </c>
      <c r="M57" s="17">
        <f t="shared" si="21"/>
        <v>224.01513337119889</v>
      </c>
      <c r="N57" s="4"/>
      <c r="O57" s="210"/>
      <c r="AA57" s="203" t="s">
        <v>427</v>
      </c>
      <c r="AB57" s="10">
        <f>150*6895/1000000</f>
        <v>1.0342499999999999</v>
      </c>
    </row>
    <row r="58" spans="2:28">
      <c r="B58" s="13">
        <f t="shared" si="12"/>
        <v>13</v>
      </c>
      <c r="C58" s="19">
        <f t="shared" si="13"/>
        <v>1.4403999999999986</v>
      </c>
      <c r="D58" s="77">
        <f t="shared" si="11"/>
        <v>22.880799999999997</v>
      </c>
      <c r="E58" s="77">
        <f t="shared" si="14"/>
        <v>31.08</v>
      </c>
      <c r="F58" s="17">
        <f t="shared" si="15"/>
        <v>214.8768</v>
      </c>
      <c r="G58" s="77">
        <f t="shared" si="16"/>
        <v>4.0996000000000006</v>
      </c>
      <c r="H58" s="18">
        <f t="shared" si="17"/>
        <v>2779.9035503694022</v>
      </c>
      <c r="I58" s="18">
        <f t="shared" si="18"/>
        <v>15445.807054202534</v>
      </c>
      <c r="J58" s="18">
        <f t="shared" si="19"/>
        <v>0</v>
      </c>
      <c r="K58" s="18">
        <f t="shared" si="20"/>
        <v>18225.710604571937</v>
      </c>
      <c r="L58" s="17">
        <f t="shared" si="10"/>
        <v>81.256230789298584</v>
      </c>
      <c r="M58" s="17">
        <f t="shared" si="21"/>
        <v>224.29923745579714</v>
      </c>
      <c r="N58" s="4"/>
      <c r="O58" s="4"/>
    </row>
    <row r="59" spans="2:28">
      <c r="B59" s="13">
        <f t="shared" si="12"/>
        <v>14</v>
      </c>
      <c r="C59" s="19">
        <f t="shared" si="13"/>
        <v>1.5511999999999984</v>
      </c>
      <c r="D59" s="77">
        <f t="shared" si="11"/>
        <v>23.102399999999996</v>
      </c>
      <c r="E59" s="77">
        <f t="shared" si="14"/>
        <v>31.08</v>
      </c>
      <c r="F59" s="17">
        <f t="shared" si="15"/>
        <v>213.99040000000002</v>
      </c>
      <c r="G59" s="77">
        <f t="shared" si="16"/>
        <v>3.9888000000000012</v>
      </c>
      <c r="H59" s="18">
        <f t="shared" si="17"/>
        <v>2715.8786641670536</v>
      </c>
      <c r="I59" s="18">
        <f t="shared" si="18"/>
        <v>15531.06589377351</v>
      </c>
      <c r="J59" s="18">
        <f t="shared" si="19"/>
        <v>0</v>
      </c>
      <c r="K59" s="18">
        <f t="shared" si="20"/>
        <v>18246.944557940562</v>
      </c>
      <c r="L59" s="17">
        <f t="shared" si="10"/>
        <v>81.256230789298584</v>
      </c>
      <c r="M59" s="17">
        <f t="shared" si="21"/>
        <v>224.56055838051103</v>
      </c>
      <c r="N59" s="4"/>
      <c r="O59" s="4"/>
    </row>
    <row r="60" spans="2:28">
      <c r="B60" s="13">
        <f t="shared" si="12"/>
        <v>15</v>
      </c>
      <c r="C60" s="19">
        <f t="shared" si="13"/>
        <v>1.6619999999999981</v>
      </c>
      <c r="D60" s="77">
        <f t="shared" si="11"/>
        <v>23.323999999999998</v>
      </c>
      <c r="E60" s="77">
        <f t="shared" si="14"/>
        <v>31.08</v>
      </c>
      <c r="F60" s="17">
        <f t="shared" si="15"/>
        <v>213.10400000000001</v>
      </c>
      <c r="G60" s="77">
        <f t="shared" si="16"/>
        <v>3.8780000000000001</v>
      </c>
      <c r="H60" s="18">
        <f t="shared" si="17"/>
        <v>2651.2366867321466</v>
      </c>
      <c r="I60" s="18">
        <f t="shared" si="18"/>
        <v>15615.090550879378</v>
      </c>
      <c r="J60" s="18">
        <f t="shared" si="19"/>
        <v>0</v>
      </c>
      <c r="K60" s="18">
        <f t="shared" si="20"/>
        <v>18266.327237611524</v>
      </c>
      <c r="L60" s="17">
        <f t="shared" si="10"/>
        <v>81.256230789298584</v>
      </c>
      <c r="M60" s="17">
        <f t="shared" si="21"/>
        <v>224.79909614534068</v>
      </c>
      <c r="N60" s="4"/>
      <c r="O60" s="4"/>
    </row>
    <row r="61" spans="2:28">
      <c r="B61" s="13">
        <f t="shared" si="12"/>
        <v>16</v>
      </c>
      <c r="C61" s="19">
        <f t="shared" si="13"/>
        <v>1.7727999999999979</v>
      </c>
      <c r="D61" s="77">
        <f t="shared" si="11"/>
        <v>23.545599999999997</v>
      </c>
      <c r="E61" s="77">
        <f t="shared" si="14"/>
        <v>31.08</v>
      </c>
      <c r="F61" s="17">
        <f t="shared" si="15"/>
        <v>212.21760000000003</v>
      </c>
      <c r="G61" s="77">
        <f t="shared" si="16"/>
        <v>3.7672000000000008</v>
      </c>
      <c r="H61" s="18">
        <f t="shared" si="17"/>
        <v>2585.9776180646859</v>
      </c>
      <c r="I61" s="18">
        <f t="shared" si="18"/>
        <v>15697.88102552013</v>
      </c>
      <c r="J61" s="18">
        <f t="shared" si="19"/>
        <v>0</v>
      </c>
      <c r="K61" s="18">
        <f t="shared" si="20"/>
        <v>18283.858643584816</v>
      </c>
      <c r="L61" s="17">
        <f t="shared" si="10"/>
        <v>81.256230789298584</v>
      </c>
      <c r="M61" s="17">
        <f t="shared" si="21"/>
        <v>225.014850750286</v>
      </c>
      <c r="N61" s="4"/>
      <c r="O61" s="4"/>
    </row>
    <row r="62" spans="2:28">
      <c r="B62" s="13">
        <f t="shared" si="12"/>
        <v>17</v>
      </c>
      <c r="C62" s="19">
        <f t="shared" si="13"/>
        <v>1.8835999999999977</v>
      </c>
      <c r="D62" s="77">
        <f t="shared" si="11"/>
        <v>23.767199999999995</v>
      </c>
      <c r="E62" s="77">
        <f t="shared" si="14"/>
        <v>31.08</v>
      </c>
      <c r="F62" s="17">
        <f t="shared" si="15"/>
        <v>211.33120000000002</v>
      </c>
      <c r="G62" s="77">
        <f t="shared" si="16"/>
        <v>3.6564000000000014</v>
      </c>
      <c r="H62" s="18">
        <f t="shared" si="17"/>
        <v>2520.1014581646673</v>
      </c>
      <c r="I62" s="18">
        <f t="shared" si="18"/>
        <v>15779.437317695769</v>
      </c>
      <c r="J62" s="18">
        <f t="shared" si="19"/>
        <v>0</v>
      </c>
      <c r="K62" s="18">
        <f t="shared" si="20"/>
        <v>18299.538775860437</v>
      </c>
      <c r="L62" s="17">
        <f t="shared" si="10"/>
        <v>81.256230789298584</v>
      </c>
      <c r="M62" s="17">
        <f t="shared" si="21"/>
        <v>225.20782219534701</v>
      </c>
      <c r="N62" s="4"/>
      <c r="O62" s="4"/>
    </row>
    <row r="63" spans="2:28">
      <c r="B63" s="13">
        <f t="shared" si="12"/>
        <v>18</v>
      </c>
      <c r="C63" s="19">
        <f t="shared" si="13"/>
        <v>1.9943999999999975</v>
      </c>
      <c r="D63" s="77">
        <f t="shared" si="11"/>
        <v>23.988799999999994</v>
      </c>
      <c r="E63" s="77">
        <f t="shared" si="14"/>
        <v>31.08</v>
      </c>
      <c r="F63" s="17">
        <f t="shared" si="15"/>
        <v>210.44480000000001</v>
      </c>
      <c r="G63" s="77">
        <f t="shared" si="16"/>
        <v>3.5456000000000021</v>
      </c>
      <c r="H63" s="18">
        <f t="shared" si="17"/>
        <v>2453.6082070320936</v>
      </c>
      <c r="I63" s="18">
        <f t="shared" si="18"/>
        <v>15859.759427406296</v>
      </c>
      <c r="J63" s="18">
        <f t="shared" si="19"/>
        <v>0</v>
      </c>
      <c r="K63" s="18">
        <f t="shared" si="20"/>
        <v>18313.367634438389</v>
      </c>
      <c r="L63" s="17">
        <f t="shared" si="10"/>
        <v>81.256230789298584</v>
      </c>
      <c r="M63" s="17">
        <f t="shared" si="21"/>
        <v>225.3780104805237</v>
      </c>
      <c r="N63" s="4"/>
      <c r="O63" s="4"/>
    </row>
    <row r="64" spans="2:28">
      <c r="B64" s="13">
        <f t="shared" si="12"/>
        <v>19</v>
      </c>
      <c r="C64" s="19">
        <f t="shared" si="13"/>
        <v>2.1051999999999973</v>
      </c>
      <c r="D64" s="77">
        <f t="shared" si="11"/>
        <v>24.210399999999993</v>
      </c>
      <c r="E64" s="77">
        <f t="shared" si="14"/>
        <v>31.08</v>
      </c>
      <c r="F64" s="17">
        <f t="shared" si="15"/>
        <v>209.55840000000003</v>
      </c>
      <c r="G64" s="77">
        <f t="shared" si="16"/>
        <v>3.4348000000000027</v>
      </c>
      <c r="H64" s="18">
        <f t="shared" si="17"/>
        <v>2386.4978646669629</v>
      </c>
      <c r="I64" s="18">
        <f t="shared" si="18"/>
        <v>15938.847354651709</v>
      </c>
      <c r="J64" s="18">
        <f t="shared" si="19"/>
        <v>0</v>
      </c>
      <c r="K64" s="18">
        <f t="shared" si="20"/>
        <v>18325.345219318671</v>
      </c>
      <c r="L64" s="17">
        <f t="shared" si="10"/>
        <v>81.256230789298584</v>
      </c>
      <c r="M64" s="17">
        <f t="shared" si="21"/>
        <v>225.52541560581608</v>
      </c>
      <c r="N64" s="4"/>
      <c r="O64" s="4"/>
    </row>
    <row r="65" spans="2:15">
      <c r="B65" s="13">
        <f t="shared" si="12"/>
        <v>20</v>
      </c>
      <c r="C65" s="19">
        <f t="shared" si="13"/>
        <v>2.2159999999999971</v>
      </c>
      <c r="D65" s="77">
        <f t="shared" si="11"/>
        <v>24.431999999999995</v>
      </c>
      <c r="E65" s="77">
        <f t="shared" si="14"/>
        <v>31.08</v>
      </c>
      <c r="F65" s="17">
        <f t="shared" si="15"/>
        <v>208.67200000000003</v>
      </c>
      <c r="G65" s="77">
        <f t="shared" si="16"/>
        <v>3.3240000000000016</v>
      </c>
      <c r="H65" s="18">
        <f t="shared" si="17"/>
        <v>2318.7704310692752</v>
      </c>
      <c r="I65" s="18">
        <f t="shared" si="18"/>
        <v>16016.701099432015</v>
      </c>
      <c r="J65" s="18">
        <f t="shared" si="19"/>
        <v>0</v>
      </c>
      <c r="K65" s="18">
        <f t="shared" si="20"/>
        <v>18335.471530501291</v>
      </c>
      <c r="L65" s="17">
        <f t="shared" si="10"/>
        <v>81.256230789298584</v>
      </c>
      <c r="M65" s="17">
        <f t="shared" si="21"/>
        <v>225.6500375712242</v>
      </c>
      <c r="N65" s="4"/>
      <c r="O65" s="4"/>
    </row>
    <row r="66" spans="2:15">
      <c r="B66" s="13">
        <f t="shared" si="12"/>
        <v>21</v>
      </c>
      <c r="C66" s="19">
        <f t="shared" si="13"/>
        <v>2.3267999999999969</v>
      </c>
      <c r="D66" s="77">
        <f t="shared" si="11"/>
        <v>24.653599999999994</v>
      </c>
      <c r="E66" s="77">
        <f t="shared" si="14"/>
        <v>31.08</v>
      </c>
      <c r="F66" s="17">
        <f t="shared" si="15"/>
        <v>207.78560000000004</v>
      </c>
      <c r="G66" s="77">
        <f t="shared" si="16"/>
        <v>3.2132000000000023</v>
      </c>
      <c r="H66" s="18">
        <f t="shared" si="17"/>
        <v>2250.4259062390324</v>
      </c>
      <c r="I66" s="18">
        <f t="shared" si="18"/>
        <v>16093.320661747206</v>
      </c>
      <c r="J66" s="18">
        <f t="shared" si="19"/>
        <v>0</v>
      </c>
      <c r="K66" s="18">
        <f t="shared" si="20"/>
        <v>18343.74656798624</v>
      </c>
      <c r="L66" s="17">
        <f t="shared" si="10"/>
        <v>81.256230789298584</v>
      </c>
      <c r="M66" s="17">
        <f t="shared" si="21"/>
        <v>225.75187637674802</v>
      </c>
      <c r="N66" s="4"/>
      <c r="O66" s="4"/>
    </row>
    <row r="67" spans="2:15">
      <c r="B67" s="13">
        <f t="shared" si="12"/>
        <v>22</v>
      </c>
      <c r="C67" s="19">
        <f t="shared" si="13"/>
        <v>2.4375999999999967</v>
      </c>
      <c r="D67" s="77">
        <f t="shared" si="11"/>
        <v>24.875199999999992</v>
      </c>
      <c r="E67" s="77">
        <f t="shared" si="14"/>
        <v>31.08</v>
      </c>
      <c r="F67" s="17">
        <f t="shared" si="15"/>
        <v>206.89920000000004</v>
      </c>
      <c r="G67" s="77">
        <f t="shared" si="16"/>
        <v>3.1024000000000029</v>
      </c>
      <c r="H67" s="18">
        <f t="shared" si="17"/>
        <v>2181.4642901762336</v>
      </c>
      <c r="I67" s="18">
        <f t="shared" si="18"/>
        <v>16168.706041597281</v>
      </c>
      <c r="J67" s="18">
        <f t="shared" si="19"/>
        <v>0</v>
      </c>
      <c r="K67" s="18">
        <f t="shared" si="20"/>
        <v>18350.170331773515</v>
      </c>
      <c r="L67" s="17">
        <f t="shared" si="10"/>
        <v>81.256230789298584</v>
      </c>
      <c r="M67" s="17">
        <f t="shared" si="21"/>
        <v>225.83093202238746</v>
      </c>
      <c r="N67" s="4"/>
      <c r="O67" s="4"/>
    </row>
    <row r="68" spans="2:15">
      <c r="B68" s="13">
        <f t="shared" si="12"/>
        <v>23</v>
      </c>
      <c r="C68" s="19">
        <f t="shared" si="13"/>
        <v>2.5483999999999964</v>
      </c>
      <c r="D68" s="77">
        <f t="shared" si="11"/>
        <v>25.096799999999995</v>
      </c>
      <c r="E68" s="77">
        <f t="shared" si="14"/>
        <v>31.08</v>
      </c>
      <c r="F68" s="17">
        <f t="shared" si="15"/>
        <v>206.01280000000003</v>
      </c>
      <c r="G68" s="77">
        <f t="shared" si="16"/>
        <v>2.9916000000000018</v>
      </c>
      <c r="H68" s="18">
        <f t="shared" si="17"/>
        <v>2111.8855828808769</v>
      </c>
      <c r="I68" s="18">
        <f t="shared" si="18"/>
        <v>16242.857238982248</v>
      </c>
      <c r="J68" s="18">
        <f t="shared" si="19"/>
        <v>0</v>
      </c>
      <c r="K68" s="18">
        <f t="shared" si="20"/>
        <v>18354.742821863125</v>
      </c>
      <c r="L68" s="17">
        <f t="shared" si="10"/>
        <v>81.256230789298584</v>
      </c>
      <c r="M68" s="17">
        <f t="shared" si="21"/>
        <v>225.88720450814262</v>
      </c>
      <c r="N68" s="4"/>
      <c r="O68" s="4"/>
    </row>
    <row r="69" spans="2:15">
      <c r="B69" s="13">
        <f t="shared" si="12"/>
        <v>24</v>
      </c>
      <c r="C69" s="19">
        <f t="shared" si="13"/>
        <v>2.6591999999999962</v>
      </c>
      <c r="D69" s="77">
        <f t="shared" si="11"/>
        <v>25.318399999999993</v>
      </c>
      <c r="E69" s="77">
        <f t="shared" si="14"/>
        <v>31.08</v>
      </c>
      <c r="F69" s="17">
        <f t="shared" si="15"/>
        <v>205.12640000000005</v>
      </c>
      <c r="G69" s="77">
        <f t="shared" si="16"/>
        <v>2.8808000000000025</v>
      </c>
      <c r="H69" s="18">
        <f t="shared" si="17"/>
        <v>2041.689784352965</v>
      </c>
      <c r="I69" s="18">
        <f t="shared" si="18"/>
        <v>16315.7742539021</v>
      </c>
      <c r="J69" s="18">
        <f t="shared" si="19"/>
        <v>0</v>
      </c>
      <c r="K69" s="18">
        <f t="shared" si="20"/>
        <v>18357.464038255064</v>
      </c>
      <c r="L69" s="17">
        <f t="shared" si="10"/>
        <v>81.256230789298584</v>
      </c>
      <c r="M69" s="17">
        <f t="shared" si="21"/>
        <v>225.92069383401346</v>
      </c>
      <c r="N69" s="4"/>
      <c r="O69" s="4"/>
    </row>
    <row r="70" spans="2:15">
      <c r="B70" s="13">
        <f t="shared" si="12"/>
        <v>25</v>
      </c>
      <c r="C70" s="19">
        <f t="shared" si="13"/>
        <v>2.769999999999996</v>
      </c>
      <c r="D70" s="77">
        <f t="shared" si="11"/>
        <v>25.539999999999992</v>
      </c>
      <c r="E70" s="77">
        <f t="shared" si="14"/>
        <v>31.08</v>
      </c>
      <c r="F70" s="17">
        <f t="shared" si="15"/>
        <v>204.24000000000004</v>
      </c>
      <c r="G70" s="77">
        <f t="shared" si="16"/>
        <v>2.7700000000000031</v>
      </c>
      <c r="H70" s="18">
        <f t="shared" si="17"/>
        <v>1970.8768945924974</v>
      </c>
      <c r="I70" s="18">
        <f t="shared" si="18"/>
        <v>16387.457086356837</v>
      </c>
      <c r="J70" s="18">
        <f t="shared" si="19"/>
        <v>0</v>
      </c>
      <c r="K70" s="18">
        <f t="shared" si="20"/>
        <v>18358.333980949334</v>
      </c>
      <c r="L70" s="17">
        <f t="shared" si="10"/>
        <v>81.256230789298584</v>
      </c>
      <c r="M70" s="17">
        <f t="shared" si="21"/>
        <v>225.9314</v>
      </c>
      <c r="N70" s="4"/>
      <c r="O70" s="4"/>
    </row>
    <row r="71" spans="2:15">
      <c r="B71" s="13">
        <f t="shared" si="12"/>
        <v>26</v>
      </c>
      <c r="C71" s="19">
        <f t="shared" si="13"/>
        <v>2.8807999999999958</v>
      </c>
      <c r="D71" s="77">
        <f t="shared" si="11"/>
        <v>25.761599999999991</v>
      </c>
      <c r="E71" s="77">
        <f t="shared" si="14"/>
        <v>31.08</v>
      </c>
      <c r="F71" s="17">
        <f t="shared" si="15"/>
        <v>203.35360000000003</v>
      </c>
      <c r="G71" s="77">
        <f t="shared" si="16"/>
        <v>2.6592000000000038</v>
      </c>
      <c r="H71" s="18">
        <f t="shared" si="17"/>
        <v>1899.446913599473</v>
      </c>
      <c r="I71" s="18">
        <f t="shared" si="18"/>
        <v>16457.905736346467</v>
      </c>
      <c r="J71" s="18">
        <f t="shared" si="19"/>
        <v>0</v>
      </c>
      <c r="K71" s="18">
        <f t="shared" si="20"/>
        <v>18357.35264994594</v>
      </c>
      <c r="L71" s="17">
        <f t="shared" si="10"/>
        <v>81.256230789298584</v>
      </c>
      <c r="M71" s="17">
        <f t="shared" si="21"/>
        <v>225.91932300610227</v>
      </c>
      <c r="N71" s="4"/>
      <c r="O71" s="4"/>
    </row>
    <row r="72" spans="2:15">
      <c r="B72" s="13">
        <f t="shared" si="12"/>
        <v>27</v>
      </c>
      <c r="C72" s="19">
        <f t="shared" si="13"/>
        <v>2.9915999999999956</v>
      </c>
      <c r="D72" s="77">
        <f t="shared" si="11"/>
        <v>25.983199999999989</v>
      </c>
      <c r="E72" s="77">
        <f t="shared" si="14"/>
        <v>31.08</v>
      </c>
      <c r="F72" s="17">
        <f t="shared" si="15"/>
        <v>202.46720000000005</v>
      </c>
      <c r="G72" s="77">
        <f t="shared" si="16"/>
        <v>2.5484000000000044</v>
      </c>
      <c r="H72" s="18">
        <f t="shared" si="17"/>
        <v>1827.3998413738925</v>
      </c>
      <c r="I72" s="18">
        <f t="shared" si="18"/>
        <v>16527.120203870978</v>
      </c>
      <c r="J72" s="18">
        <f t="shared" si="19"/>
        <v>0</v>
      </c>
      <c r="K72" s="18">
        <f t="shared" si="20"/>
        <v>18354.52004524487</v>
      </c>
      <c r="L72" s="17">
        <f t="shared" si="10"/>
        <v>81.256230789298584</v>
      </c>
      <c r="M72" s="17">
        <f t="shared" si="21"/>
        <v>225.88446285232015</v>
      </c>
      <c r="N72" s="4"/>
      <c r="O72" s="4"/>
    </row>
    <row r="73" spans="2:15">
      <c r="B73" s="13">
        <f t="shared" si="12"/>
        <v>28</v>
      </c>
      <c r="C73" s="19">
        <f t="shared" si="13"/>
        <v>3.1023999999999954</v>
      </c>
      <c r="D73" s="77">
        <f t="shared" si="11"/>
        <v>26.204799999999992</v>
      </c>
      <c r="E73" s="77">
        <f t="shared" si="14"/>
        <v>31.08</v>
      </c>
      <c r="F73" s="17">
        <f t="shared" si="15"/>
        <v>201.58080000000004</v>
      </c>
      <c r="G73" s="77">
        <f t="shared" si="16"/>
        <v>2.4376000000000033</v>
      </c>
      <c r="H73" s="18">
        <f t="shared" si="17"/>
        <v>1754.7356779157544</v>
      </c>
      <c r="I73" s="18">
        <f t="shared" si="18"/>
        <v>16595.100488930384</v>
      </c>
      <c r="J73" s="18">
        <f t="shared" si="19"/>
        <v>0</v>
      </c>
      <c r="K73" s="18">
        <f t="shared" si="20"/>
        <v>18349.836166846137</v>
      </c>
      <c r="L73" s="17">
        <f t="shared" si="10"/>
        <v>81.256230789298584</v>
      </c>
      <c r="M73" s="17">
        <f t="shared" si="21"/>
        <v>225.82681953865381</v>
      </c>
      <c r="N73" s="4"/>
      <c r="O73" s="4"/>
    </row>
    <row r="74" spans="2:15">
      <c r="B74" s="13">
        <f t="shared" si="12"/>
        <v>29</v>
      </c>
      <c r="C74" s="19">
        <f t="shared" si="13"/>
        <v>3.2131999999999952</v>
      </c>
      <c r="D74" s="77">
        <f t="shared" si="11"/>
        <v>26.42639999999999</v>
      </c>
      <c r="E74" s="77">
        <f t="shared" si="14"/>
        <v>31.08</v>
      </c>
      <c r="F74" s="17">
        <f t="shared" si="15"/>
        <v>200.69440000000003</v>
      </c>
      <c r="G74" s="77">
        <f t="shared" si="16"/>
        <v>2.326800000000004</v>
      </c>
      <c r="H74" s="18">
        <f t="shared" si="17"/>
        <v>1681.4544232250619</v>
      </c>
      <c r="I74" s="18">
        <f t="shared" si="18"/>
        <v>16661.846591524671</v>
      </c>
      <c r="J74" s="18">
        <f t="shared" si="19"/>
        <v>0</v>
      </c>
      <c r="K74" s="18">
        <f t="shared" si="20"/>
        <v>18343.301014749733</v>
      </c>
      <c r="L74" s="17">
        <f t="shared" si="10"/>
        <v>81.256230789298584</v>
      </c>
      <c r="M74" s="17">
        <f t="shared" si="21"/>
        <v>225.74639306510312</v>
      </c>
      <c r="N74" s="4"/>
      <c r="O74" s="4"/>
    </row>
    <row r="75" spans="2:15">
      <c r="B75" s="13">
        <f t="shared" si="12"/>
        <v>30</v>
      </c>
      <c r="C75" s="19">
        <f t="shared" si="13"/>
        <v>3.323999999999995</v>
      </c>
      <c r="D75" s="77">
        <f t="shared" si="11"/>
        <v>26.647999999999989</v>
      </c>
      <c r="E75" s="77">
        <f t="shared" si="14"/>
        <v>31.08</v>
      </c>
      <c r="F75" s="17">
        <f t="shared" si="15"/>
        <v>199.80800000000005</v>
      </c>
      <c r="G75" s="77">
        <f t="shared" si="16"/>
        <v>2.2160000000000046</v>
      </c>
      <c r="H75" s="18">
        <f t="shared" si="17"/>
        <v>1607.5560773018126</v>
      </c>
      <c r="I75" s="18">
        <f t="shared" si="18"/>
        <v>16727.358511653849</v>
      </c>
      <c r="J75" s="18">
        <f t="shared" si="19"/>
        <v>0</v>
      </c>
      <c r="K75" s="18">
        <f t="shared" si="20"/>
        <v>18334.91458895566</v>
      </c>
      <c r="L75" s="17">
        <f t="shared" si="10"/>
        <v>81.256230789298584</v>
      </c>
      <c r="M75" s="17">
        <f t="shared" si="21"/>
        <v>225.64318343166812</v>
      </c>
      <c r="N75" s="4"/>
      <c r="O75" s="4"/>
    </row>
    <row r="76" spans="2:15">
      <c r="B76" s="13">
        <f t="shared" si="12"/>
        <v>31</v>
      </c>
      <c r="C76" s="19">
        <f t="shared" si="13"/>
        <v>3.4347999999999947</v>
      </c>
      <c r="D76" s="77">
        <f t="shared" si="11"/>
        <v>26.869599999999991</v>
      </c>
      <c r="E76" s="77">
        <f t="shared" si="14"/>
        <v>31.08</v>
      </c>
      <c r="F76" s="17">
        <f t="shared" si="15"/>
        <v>198.92160000000004</v>
      </c>
      <c r="G76" s="77">
        <f t="shared" si="16"/>
        <v>2.1052000000000035</v>
      </c>
      <c r="H76" s="18">
        <f t="shared" si="17"/>
        <v>1533.0406401460057</v>
      </c>
      <c r="I76" s="18">
        <f t="shared" si="18"/>
        <v>16791.636249317915</v>
      </c>
      <c r="J76" s="18">
        <f t="shared" si="19"/>
        <v>0</v>
      </c>
      <c r="K76" s="18">
        <f t="shared" si="20"/>
        <v>18324.676889463921</v>
      </c>
      <c r="L76" s="17">
        <f t="shared" si="10"/>
        <v>81.256230789298584</v>
      </c>
      <c r="M76" s="17">
        <f t="shared" si="21"/>
        <v>225.51719063834886</v>
      </c>
      <c r="N76" s="4"/>
      <c r="O76" s="4"/>
    </row>
    <row r="77" spans="2:15">
      <c r="B77" s="13">
        <f t="shared" si="12"/>
        <v>32</v>
      </c>
      <c r="C77" s="19">
        <f t="shared" si="13"/>
        <v>3.5455999999999945</v>
      </c>
      <c r="D77" s="77">
        <f t="shared" si="11"/>
        <v>27.09119999999999</v>
      </c>
      <c r="E77" s="77">
        <f t="shared" si="14"/>
        <v>31.08</v>
      </c>
      <c r="F77" s="17">
        <f t="shared" si="15"/>
        <v>198.03520000000006</v>
      </c>
      <c r="G77" s="77">
        <f t="shared" si="16"/>
        <v>1.9944000000000042</v>
      </c>
      <c r="H77" s="18">
        <f t="shared" si="17"/>
        <v>1457.9081117576441</v>
      </c>
      <c r="I77" s="18">
        <f t="shared" si="18"/>
        <v>16854.679804516869</v>
      </c>
      <c r="J77" s="18">
        <f t="shared" si="19"/>
        <v>0</v>
      </c>
      <c r="K77" s="18">
        <f t="shared" si="20"/>
        <v>18312.587916274511</v>
      </c>
      <c r="L77" s="17">
        <f t="shared" si="10"/>
        <v>81.256230789298584</v>
      </c>
      <c r="M77" s="17">
        <f t="shared" si="21"/>
        <v>225.36841468514527</v>
      </c>
      <c r="N77" s="4"/>
      <c r="O77" s="4"/>
    </row>
    <row r="78" spans="2:15">
      <c r="B78" s="13">
        <f t="shared" si="12"/>
        <v>33</v>
      </c>
      <c r="C78" s="19">
        <f t="shared" si="13"/>
        <v>3.6563999999999943</v>
      </c>
      <c r="D78" s="77">
        <f t="shared" si="11"/>
        <v>27.312799999999989</v>
      </c>
      <c r="E78" s="77">
        <f t="shared" si="14"/>
        <v>31.08</v>
      </c>
      <c r="F78" s="17">
        <f t="shared" si="15"/>
        <v>197.14880000000005</v>
      </c>
      <c r="G78" s="77">
        <f t="shared" si="16"/>
        <v>1.8836000000000048</v>
      </c>
      <c r="H78" s="18">
        <f t="shared" si="17"/>
        <v>1382.1584921367264</v>
      </c>
      <c r="I78" s="18">
        <f t="shared" si="18"/>
        <v>16916.489177250707</v>
      </c>
      <c r="J78" s="18">
        <f t="shared" si="19"/>
        <v>0</v>
      </c>
      <c r="K78" s="18">
        <f t="shared" si="20"/>
        <v>18298.647669387432</v>
      </c>
      <c r="L78" s="17">
        <f t="shared" si="10"/>
        <v>81.256230789298584</v>
      </c>
      <c r="M78" s="17">
        <f t="shared" si="21"/>
        <v>225.19685557205733</v>
      </c>
      <c r="N78" s="4"/>
      <c r="O78" s="4"/>
    </row>
    <row r="79" spans="2:15">
      <c r="B79" s="13">
        <f t="shared" si="12"/>
        <v>34</v>
      </c>
      <c r="C79" s="19">
        <f t="shared" si="13"/>
        <v>3.7671999999999941</v>
      </c>
      <c r="D79" s="77">
        <f t="shared" si="11"/>
        <v>27.534399999999987</v>
      </c>
      <c r="E79" s="77">
        <f t="shared" si="14"/>
        <v>31.08</v>
      </c>
      <c r="F79" s="17">
        <f t="shared" si="15"/>
        <v>196.26240000000004</v>
      </c>
      <c r="G79" s="77">
        <f t="shared" si="16"/>
        <v>1.7728000000000055</v>
      </c>
      <c r="H79" s="18">
        <f t="shared" si="17"/>
        <v>1305.791781283252</v>
      </c>
      <c r="I79" s="18">
        <f t="shared" si="18"/>
        <v>16977.06436751943</v>
      </c>
      <c r="J79" s="18">
        <f t="shared" si="19"/>
        <v>0</v>
      </c>
      <c r="K79" s="18">
        <f t="shared" si="20"/>
        <v>18282.856148802683</v>
      </c>
      <c r="L79" s="17">
        <f t="shared" si="10"/>
        <v>81.256230789298584</v>
      </c>
      <c r="M79" s="17">
        <f t="shared" si="21"/>
        <v>225.00251329908511</v>
      </c>
      <c r="N79" s="4"/>
      <c r="O79" s="4"/>
    </row>
    <row r="80" spans="2:15">
      <c r="B80" s="13">
        <f t="shared" si="12"/>
        <v>35</v>
      </c>
      <c r="C80" s="19">
        <f t="shared" si="13"/>
        <v>3.8779999999999939</v>
      </c>
      <c r="D80" s="77">
        <f t="shared" si="11"/>
        <v>27.755999999999986</v>
      </c>
      <c r="E80" s="77">
        <f t="shared" si="14"/>
        <v>31.08</v>
      </c>
      <c r="F80" s="17">
        <f t="shared" si="15"/>
        <v>195.37600000000006</v>
      </c>
      <c r="G80" s="77">
        <f t="shared" si="16"/>
        <v>1.6620000000000061</v>
      </c>
      <c r="H80" s="18">
        <f t="shared" si="17"/>
        <v>1228.8079791972216</v>
      </c>
      <c r="I80" s="18">
        <f t="shared" si="18"/>
        <v>17036.405375323047</v>
      </c>
      <c r="J80" s="18">
        <f t="shared" si="19"/>
        <v>0</v>
      </c>
      <c r="K80" s="18">
        <f t="shared" si="20"/>
        <v>18265.213354520271</v>
      </c>
      <c r="L80" s="17">
        <f t="shared" si="10"/>
        <v>81.256230789298584</v>
      </c>
      <c r="M80" s="17">
        <f t="shared" si="21"/>
        <v>224.78538786622863</v>
      </c>
      <c r="N80" s="4"/>
      <c r="O80" s="4"/>
    </row>
    <row r="81" spans="2:15">
      <c r="B81" s="13">
        <f t="shared" si="12"/>
        <v>36</v>
      </c>
      <c r="C81" s="19">
        <f t="shared" si="13"/>
        <v>3.9887999999999937</v>
      </c>
      <c r="D81" s="77">
        <f t="shared" si="11"/>
        <v>27.977599999999988</v>
      </c>
      <c r="E81" s="77">
        <f t="shared" si="14"/>
        <v>31.08</v>
      </c>
      <c r="F81" s="17">
        <f t="shared" si="15"/>
        <v>194.48960000000005</v>
      </c>
      <c r="G81" s="77">
        <f t="shared" si="16"/>
        <v>1.551200000000005</v>
      </c>
      <c r="H81" s="18">
        <f t="shared" si="17"/>
        <v>1151.2070858786335</v>
      </c>
      <c r="I81" s="18">
        <f t="shared" si="18"/>
        <v>17094.512200661549</v>
      </c>
      <c r="J81" s="18">
        <f t="shared" si="19"/>
        <v>0</v>
      </c>
      <c r="K81" s="18">
        <f t="shared" si="20"/>
        <v>18245.719286540181</v>
      </c>
      <c r="L81" s="17">
        <f t="shared" si="10"/>
        <v>81.256230789298584</v>
      </c>
      <c r="M81" s="17">
        <f t="shared" si="21"/>
        <v>224.54547927348773</v>
      </c>
      <c r="N81" s="4"/>
      <c r="O81" s="4"/>
    </row>
    <row r="82" spans="2:15">
      <c r="B82" s="13">
        <f t="shared" si="12"/>
        <v>37</v>
      </c>
      <c r="C82" s="19">
        <f t="shared" si="13"/>
        <v>4.0995999999999935</v>
      </c>
      <c r="D82" s="77">
        <f t="shared" si="11"/>
        <v>28.199199999999987</v>
      </c>
      <c r="E82" s="77">
        <f t="shared" si="14"/>
        <v>31.08</v>
      </c>
      <c r="F82" s="17">
        <f t="shared" si="15"/>
        <v>193.60320000000007</v>
      </c>
      <c r="G82" s="77">
        <f t="shared" si="16"/>
        <v>1.4404000000000057</v>
      </c>
      <c r="H82" s="18">
        <f t="shared" si="17"/>
        <v>1072.9891013274903</v>
      </c>
      <c r="I82" s="18">
        <f t="shared" si="18"/>
        <v>17151.384843534939</v>
      </c>
      <c r="J82" s="18">
        <f t="shared" si="19"/>
        <v>0</v>
      </c>
      <c r="K82" s="18">
        <f t="shared" si="20"/>
        <v>18224.373944862429</v>
      </c>
      <c r="L82" s="17">
        <f t="shared" si="10"/>
        <v>81.256230789298584</v>
      </c>
      <c r="M82" s="17">
        <f t="shared" si="21"/>
        <v>224.28278752086263</v>
      </c>
      <c r="N82" s="4"/>
      <c r="O82" s="4"/>
    </row>
    <row r="83" spans="2:15">
      <c r="B83" s="13">
        <f t="shared" si="12"/>
        <v>38</v>
      </c>
      <c r="C83" s="19">
        <f t="shared" si="13"/>
        <v>4.2103999999999937</v>
      </c>
      <c r="D83" s="77">
        <f t="shared" si="11"/>
        <v>28.420799999999986</v>
      </c>
      <c r="E83" s="77">
        <f t="shared" si="14"/>
        <v>31.08</v>
      </c>
      <c r="F83" s="17">
        <f t="shared" si="15"/>
        <v>192.71680000000006</v>
      </c>
      <c r="G83" s="77">
        <f t="shared" si="16"/>
        <v>1.3296000000000063</v>
      </c>
      <c r="H83" s="18">
        <f t="shared" si="17"/>
        <v>994.15402554379091</v>
      </c>
      <c r="I83" s="18">
        <f t="shared" si="18"/>
        <v>17207.023303943217</v>
      </c>
      <c r="J83" s="18">
        <f t="shared" si="19"/>
        <v>0</v>
      </c>
      <c r="K83" s="18">
        <f t="shared" si="20"/>
        <v>18201.177329487007</v>
      </c>
      <c r="L83" s="17">
        <f t="shared" si="10"/>
        <v>81.256230789298584</v>
      </c>
      <c r="M83" s="17">
        <f t="shared" si="21"/>
        <v>223.99731260835318</v>
      </c>
      <c r="N83" s="4"/>
      <c r="O83" s="4"/>
    </row>
    <row r="84" spans="2:15">
      <c r="B84" s="13">
        <f t="shared" si="12"/>
        <v>39</v>
      </c>
      <c r="C84" s="19">
        <f t="shared" si="13"/>
        <v>4.3211999999999939</v>
      </c>
      <c r="D84" s="77">
        <f t="shared" si="11"/>
        <v>28.642399999999988</v>
      </c>
      <c r="E84" s="77">
        <f t="shared" si="14"/>
        <v>31.08</v>
      </c>
      <c r="F84" s="17">
        <f t="shared" si="15"/>
        <v>191.83040000000005</v>
      </c>
      <c r="G84" s="77">
        <f t="shared" si="16"/>
        <v>1.2188000000000052</v>
      </c>
      <c r="H84" s="18">
        <f t="shared" si="17"/>
        <v>914.701858527534</v>
      </c>
      <c r="I84" s="18">
        <f t="shared" si="18"/>
        <v>17261.427581886379</v>
      </c>
      <c r="J84" s="18">
        <f t="shared" si="19"/>
        <v>0</v>
      </c>
      <c r="K84" s="18">
        <f t="shared" si="20"/>
        <v>18176.129440413912</v>
      </c>
      <c r="L84" s="17">
        <f t="shared" si="10"/>
        <v>81.256230789298584</v>
      </c>
      <c r="M84" s="17">
        <f t="shared" si="21"/>
        <v>223.68905453595937</v>
      </c>
      <c r="N84" s="4"/>
      <c r="O84" s="4"/>
    </row>
    <row r="85" spans="2:15">
      <c r="B85" s="13">
        <f t="shared" si="12"/>
        <v>40</v>
      </c>
      <c r="C85" s="19">
        <f t="shared" si="13"/>
        <v>4.4319999999999942</v>
      </c>
      <c r="D85" s="77">
        <f t="shared" si="11"/>
        <v>28.86399999999999</v>
      </c>
      <c r="E85" s="77">
        <f t="shared" si="14"/>
        <v>31.08</v>
      </c>
      <c r="F85" s="17">
        <f t="shared" si="15"/>
        <v>190.94400000000005</v>
      </c>
      <c r="G85" s="77">
        <f t="shared" si="16"/>
        <v>1.1080000000000041</v>
      </c>
      <c r="H85" s="18">
        <f t="shared" si="17"/>
        <v>834.63260027872104</v>
      </c>
      <c r="I85" s="18">
        <f t="shared" si="18"/>
        <v>17314.597677364436</v>
      </c>
      <c r="J85" s="18">
        <f t="shared" si="19"/>
        <v>0</v>
      </c>
      <c r="K85" s="18">
        <f t="shared" si="20"/>
        <v>18149.230277643157</v>
      </c>
      <c r="L85" s="17">
        <f t="shared" si="10"/>
        <v>81.256230789298584</v>
      </c>
      <c r="M85" s="17">
        <f t="shared" si="21"/>
        <v>223.35801330368136</v>
      </c>
      <c r="N85" s="4"/>
      <c r="O85" s="4"/>
    </row>
    <row r="86" spans="2:15">
      <c r="B86" s="13">
        <f t="shared" si="12"/>
        <v>41</v>
      </c>
      <c r="C86" s="19">
        <f t="shared" si="13"/>
        <v>4.5427999999999944</v>
      </c>
      <c r="D86" s="77">
        <f t="shared" si="11"/>
        <v>29.085599999999989</v>
      </c>
      <c r="E86" s="77">
        <f t="shared" si="14"/>
        <v>31.08</v>
      </c>
      <c r="F86" s="17">
        <f t="shared" si="15"/>
        <v>190.05760000000004</v>
      </c>
      <c r="G86" s="77">
        <f t="shared" si="16"/>
        <v>0.99720000000000475</v>
      </c>
      <c r="H86" s="18">
        <f t="shared" si="17"/>
        <v>753.94625079735272</v>
      </c>
      <c r="I86" s="18">
        <f t="shared" si="18"/>
        <v>17366.53359037737</v>
      </c>
      <c r="J86" s="18">
        <f t="shared" si="19"/>
        <v>0</v>
      </c>
      <c r="K86" s="18">
        <f t="shared" si="20"/>
        <v>18120.479841174722</v>
      </c>
      <c r="L86" s="17">
        <f t="shared" si="10"/>
        <v>81.256230789298584</v>
      </c>
      <c r="M86" s="17">
        <f t="shared" si="21"/>
        <v>223.00418891151892</v>
      </c>
      <c r="N86" s="4"/>
      <c r="O86" s="4"/>
    </row>
    <row r="87" spans="2:15">
      <c r="B87" s="13">
        <f t="shared" si="12"/>
        <v>42</v>
      </c>
      <c r="C87" s="19">
        <f t="shared" si="13"/>
        <v>4.6535999999999946</v>
      </c>
      <c r="D87" s="77">
        <f t="shared" si="11"/>
        <v>29.307199999999987</v>
      </c>
      <c r="E87" s="77">
        <f t="shared" si="14"/>
        <v>31.08</v>
      </c>
      <c r="F87" s="17">
        <f t="shared" si="15"/>
        <v>189.17120000000006</v>
      </c>
      <c r="G87" s="77">
        <f t="shared" si="16"/>
        <v>0.88640000000000541</v>
      </c>
      <c r="H87" s="18">
        <f t="shared" si="17"/>
        <v>672.64281008342834</v>
      </c>
      <c r="I87" s="18">
        <f t="shared" si="18"/>
        <v>17417.2353209252</v>
      </c>
      <c r="J87" s="18">
        <f t="shared" si="19"/>
        <v>0</v>
      </c>
      <c r="K87" s="18">
        <f t="shared" si="20"/>
        <v>18089.878131008627</v>
      </c>
      <c r="L87" s="17">
        <f t="shared" si="10"/>
        <v>81.256230789298584</v>
      </c>
      <c r="M87" s="17">
        <f t="shared" si="21"/>
        <v>222.62758135947229</v>
      </c>
      <c r="N87" s="4"/>
      <c r="O87" s="4"/>
    </row>
    <row r="88" spans="2:15">
      <c r="B88" s="13">
        <f t="shared" si="12"/>
        <v>43</v>
      </c>
      <c r="C88" s="19">
        <f t="shared" si="13"/>
        <v>4.7643999999999949</v>
      </c>
      <c r="D88" s="77">
        <f t="shared" si="11"/>
        <v>29.52879999999999</v>
      </c>
      <c r="E88" s="77">
        <f t="shared" si="14"/>
        <v>31.08</v>
      </c>
      <c r="F88" s="17">
        <f t="shared" si="15"/>
        <v>188.28480000000005</v>
      </c>
      <c r="G88" s="77">
        <f t="shared" si="16"/>
        <v>0.77560000000000429</v>
      </c>
      <c r="H88" s="18">
        <f t="shared" si="17"/>
        <v>590.72227813694656</v>
      </c>
      <c r="I88" s="18">
        <f t="shared" si="18"/>
        <v>17466.702869007913</v>
      </c>
      <c r="J88" s="18">
        <f t="shared" si="19"/>
        <v>0</v>
      </c>
      <c r="K88" s="18">
        <f t="shared" si="20"/>
        <v>18057.425147144859</v>
      </c>
      <c r="L88" s="17">
        <f t="shared" si="10"/>
        <v>81.256230789298584</v>
      </c>
      <c r="M88" s="17">
        <f t="shared" si="21"/>
        <v>222.22819064754128</v>
      </c>
      <c r="N88" s="4"/>
      <c r="O88" s="4"/>
    </row>
    <row r="89" spans="2:15">
      <c r="B89" s="13">
        <f t="shared" si="12"/>
        <v>44</v>
      </c>
      <c r="C89" s="19">
        <f t="shared" si="13"/>
        <v>4.8751999999999951</v>
      </c>
      <c r="D89" s="77">
        <f t="shared" si="11"/>
        <v>29.750399999999992</v>
      </c>
      <c r="E89" s="77">
        <f t="shared" si="14"/>
        <v>31.08</v>
      </c>
      <c r="F89" s="17">
        <f t="shared" si="15"/>
        <v>187.39840000000004</v>
      </c>
      <c r="G89" s="77">
        <f t="shared" si="16"/>
        <v>0.66480000000000317</v>
      </c>
      <c r="H89" s="18">
        <f t="shared" si="17"/>
        <v>508.18465495790861</v>
      </c>
      <c r="I89" s="18">
        <f t="shared" si="18"/>
        <v>17514.936234625518</v>
      </c>
      <c r="J89" s="18">
        <f t="shared" si="19"/>
        <v>0</v>
      </c>
      <c r="K89" s="18">
        <f t="shared" si="20"/>
        <v>18023.120889583428</v>
      </c>
      <c r="L89" s="17">
        <f t="shared" si="10"/>
        <v>81.256230789298584</v>
      </c>
      <c r="M89" s="17">
        <f t="shared" si="21"/>
        <v>221.80601677572602</v>
      </c>
      <c r="N89" s="4"/>
      <c r="O89" s="4"/>
    </row>
    <row r="90" spans="2:15">
      <c r="B90" s="13">
        <f t="shared" si="12"/>
        <v>45</v>
      </c>
      <c r="C90" s="19">
        <f t="shared" si="13"/>
        <v>4.9859999999999953</v>
      </c>
      <c r="D90" s="77">
        <f t="shared" si="11"/>
        <v>29.971999999999991</v>
      </c>
      <c r="E90" s="77">
        <f t="shared" si="14"/>
        <v>31.08</v>
      </c>
      <c r="F90" s="17">
        <f t="shared" si="15"/>
        <v>186.51200000000006</v>
      </c>
      <c r="G90" s="77">
        <f t="shared" si="16"/>
        <v>0.55400000000000382</v>
      </c>
      <c r="H90" s="18">
        <f t="shared" si="17"/>
        <v>425.02994054631529</v>
      </c>
      <c r="I90" s="18">
        <f t="shared" si="18"/>
        <v>17561.935417778008</v>
      </c>
      <c r="J90" s="18">
        <f t="shared" si="19"/>
        <v>0</v>
      </c>
      <c r="K90" s="18">
        <f t="shared" si="20"/>
        <v>17986.965358324323</v>
      </c>
      <c r="L90" s="17">
        <f t="shared" si="10"/>
        <v>81.256230789298584</v>
      </c>
      <c r="M90" s="17">
        <f t="shared" si="21"/>
        <v>221.36105974402642</v>
      </c>
      <c r="N90" s="4"/>
      <c r="O90" s="4"/>
    </row>
    <row r="91" spans="2:15">
      <c r="B91" s="13">
        <f t="shared" si="12"/>
        <v>46</v>
      </c>
      <c r="C91" s="19">
        <f t="shared" si="13"/>
        <v>5.0967999999999956</v>
      </c>
      <c r="D91" s="77">
        <f t="shared" si="11"/>
        <v>30.193599999999989</v>
      </c>
      <c r="E91" s="77">
        <f t="shared" si="14"/>
        <v>31.08</v>
      </c>
      <c r="F91" s="17">
        <f t="shared" si="15"/>
        <v>185.62560000000005</v>
      </c>
      <c r="G91" s="77">
        <f t="shared" si="16"/>
        <v>0.44320000000000448</v>
      </c>
      <c r="H91" s="18">
        <f t="shared" si="17"/>
        <v>341.25813490216598</v>
      </c>
      <c r="I91" s="18">
        <f t="shared" si="18"/>
        <v>17607.700418465382</v>
      </c>
      <c r="J91" s="18">
        <f t="shared" si="19"/>
        <v>0</v>
      </c>
      <c r="K91" s="18">
        <f t="shared" si="20"/>
        <v>17948.958553367549</v>
      </c>
      <c r="L91" s="17">
        <f t="shared" si="10"/>
        <v>81.256230789298584</v>
      </c>
      <c r="M91" s="17">
        <f t="shared" si="21"/>
        <v>220.89331955244251</v>
      </c>
      <c r="N91" s="4"/>
      <c r="O91" s="4"/>
    </row>
    <row r="92" spans="2:15">
      <c r="B92" s="13">
        <f t="shared" si="12"/>
        <v>47</v>
      </c>
      <c r="C92" s="19">
        <f t="shared" si="13"/>
        <v>5.2075999999999958</v>
      </c>
      <c r="D92" s="77">
        <f t="shared" si="11"/>
        <v>30.415199999999992</v>
      </c>
      <c r="E92" s="77">
        <f t="shared" si="14"/>
        <v>31.08</v>
      </c>
      <c r="F92" s="17">
        <f t="shared" si="15"/>
        <v>184.73920000000004</v>
      </c>
      <c r="G92" s="77">
        <f t="shared" si="16"/>
        <v>0.33240000000000336</v>
      </c>
      <c r="H92" s="18">
        <f t="shared" si="17"/>
        <v>256.86923802545908</v>
      </c>
      <c r="I92" s="18">
        <f t="shared" si="18"/>
        <v>17652.231236687647</v>
      </c>
      <c r="J92" s="18">
        <f t="shared" si="19"/>
        <v>0</v>
      </c>
      <c r="K92" s="18">
        <f t="shared" si="20"/>
        <v>17909.100474713105</v>
      </c>
      <c r="L92" s="17">
        <f t="shared" si="10"/>
        <v>81.256230789298584</v>
      </c>
      <c r="M92" s="17">
        <f t="shared" si="21"/>
        <v>220.40279620097425</v>
      </c>
      <c r="N92" s="4"/>
      <c r="O92" s="4"/>
    </row>
    <row r="93" spans="2:15">
      <c r="B93" s="13">
        <f t="shared" si="12"/>
        <v>48</v>
      </c>
      <c r="C93" s="19">
        <f t="shared" si="13"/>
        <v>5.318399999999996</v>
      </c>
      <c r="D93" s="77">
        <f t="shared" si="11"/>
        <v>30.636799999999994</v>
      </c>
      <c r="E93" s="77">
        <f t="shared" si="14"/>
        <v>31.08</v>
      </c>
      <c r="F93" s="17">
        <f t="shared" si="15"/>
        <v>183.85280000000003</v>
      </c>
      <c r="G93" s="77">
        <f t="shared" si="16"/>
        <v>0.22160000000000224</v>
      </c>
      <c r="H93" s="18">
        <f t="shared" si="17"/>
        <v>171.86324991619546</v>
      </c>
      <c r="I93" s="18">
        <f t="shared" si="18"/>
        <v>17695.5278724448</v>
      </c>
      <c r="J93" s="18">
        <f t="shared" si="19"/>
        <v>0</v>
      </c>
      <c r="K93" s="18">
        <f t="shared" si="20"/>
        <v>17867.391122360994</v>
      </c>
      <c r="L93" s="17">
        <f t="shared" si="10"/>
        <v>81.256230789298584</v>
      </c>
      <c r="M93" s="17">
        <f t="shared" si="21"/>
        <v>219.88948968962171</v>
      </c>
      <c r="N93" s="4"/>
      <c r="O93" s="4"/>
    </row>
    <row r="94" spans="2:15">
      <c r="B94" s="13">
        <f t="shared" si="12"/>
        <v>49</v>
      </c>
      <c r="C94" s="19">
        <f t="shared" si="13"/>
        <v>5.4291999999999963</v>
      </c>
      <c r="D94" s="77">
        <f t="shared" si="11"/>
        <v>30.858399999999993</v>
      </c>
      <c r="E94" s="77">
        <f t="shared" si="14"/>
        <v>31.08</v>
      </c>
      <c r="F94" s="17">
        <f t="shared" si="15"/>
        <v>182.96640000000002</v>
      </c>
      <c r="G94" s="77">
        <f t="shared" si="16"/>
        <v>0.1108000000000029</v>
      </c>
      <c r="H94" s="18">
        <f t="shared" si="17"/>
        <v>86.240170574377203</v>
      </c>
      <c r="I94" s="18">
        <f t="shared" si="18"/>
        <v>17737.590325736837</v>
      </c>
      <c r="J94" s="18">
        <f t="shared" si="19"/>
        <v>0</v>
      </c>
      <c r="K94" s="18">
        <f t="shared" si="20"/>
        <v>17823.830496311213</v>
      </c>
      <c r="L94" s="17">
        <f t="shared" si="10"/>
        <v>81.256230789298584</v>
      </c>
      <c r="M94" s="17">
        <f t="shared" si="21"/>
        <v>219.35340001838486</v>
      </c>
      <c r="N94" s="4"/>
      <c r="O94" s="4"/>
    </row>
    <row r="95" spans="2:15" ht="13.8" thickBot="1">
      <c r="B95" s="13">
        <f t="shared" si="12"/>
        <v>50</v>
      </c>
      <c r="C95" s="19">
        <f t="shared" si="13"/>
        <v>5.5399999999999965</v>
      </c>
      <c r="D95" s="77">
        <f t="shared" si="11"/>
        <v>31.079999999999991</v>
      </c>
      <c r="E95" s="77">
        <f t="shared" si="14"/>
        <v>31.08</v>
      </c>
      <c r="F95" s="17">
        <f t="shared" si="15"/>
        <v>182.08000000000004</v>
      </c>
      <c r="G95" s="77">
        <f t="shared" si="16"/>
        <v>3.5527136788005009E-15</v>
      </c>
      <c r="H95" s="18">
        <f t="shared" si="17"/>
        <v>2.8572618735686711E-12</v>
      </c>
      <c r="I95" s="18">
        <f t="shared" si="18"/>
        <v>17778.418596563763</v>
      </c>
      <c r="J95" s="18">
        <f t="shared" si="19"/>
        <v>0</v>
      </c>
      <c r="K95" s="206">
        <f t="shared" si="20"/>
        <v>17778.418596563766</v>
      </c>
      <c r="L95" s="17">
        <f t="shared" si="10"/>
        <v>81.256230789298584</v>
      </c>
      <c r="M95" s="236">
        <f t="shared" si="21"/>
        <v>218.79452718726375</v>
      </c>
      <c r="N95" s="4"/>
      <c r="O95" s="4"/>
    </row>
    <row r="96" spans="2:15" ht="13.8" thickBot="1">
      <c r="C96" s="19">
        <f>two-xfinal*(ci+osi)</f>
        <v>0</v>
      </c>
      <c r="J96" s="203" t="s">
        <v>376</v>
      </c>
      <c r="K96" s="207">
        <f>MAX(K45:K95)</f>
        <v>18358.333980949334</v>
      </c>
      <c r="L96" s="203" t="s">
        <v>376</v>
      </c>
      <c r="M96" s="237">
        <f>MAX(knrange)</f>
        <v>225.9314</v>
      </c>
    </row>
    <row r="98" spans="2:3">
      <c r="B98" s="8" t="s">
        <v>374</v>
      </c>
      <c r="C98" s="8" t="s">
        <v>375</v>
      </c>
    </row>
    <row r="99" spans="2:3">
      <c r="C99" s="8" t="s">
        <v>481</v>
      </c>
    </row>
    <row r="100" spans="2:3">
      <c r="C100" s="8" t="s">
        <v>478</v>
      </c>
    </row>
    <row r="101" spans="2:3">
      <c r="C101" s="8" t="s">
        <v>479</v>
      </c>
    </row>
    <row r="102" spans="2:3">
      <c r="C102" s="8" t="s">
        <v>477</v>
      </c>
    </row>
    <row r="103" spans="2:3">
      <c r="C103" s="8" t="s">
        <v>480</v>
      </c>
    </row>
    <row r="104" spans="2:3">
      <c r="C104" s="8" t="s">
        <v>543</v>
      </c>
    </row>
    <row r="105" spans="2:3">
      <c r="C105" s="8" t="s">
        <v>532</v>
      </c>
    </row>
  </sheetData>
  <sheetProtection password="C7BC" sheet="1"/>
  <customSheetViews>
    <customSheetView guid="{136183A0-5E83-4B15-A2A6-F3C23DCC406A}" showGridLines="0" printArea="1" topLeftCell="A7">
      <selection activeCell="G53" sqref="G53"/>
      <pageMargins left="0.75" right="0.95" top="0.85" bottom="1" header="0.5" footer="0.5"/>
      <pageSetup orientation="landscape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dataValidations count="3">
    <dataValidation type="list" allowBlank="1" showInputMessage="1" showErrorMessage="1" prompt="Exposed to burning or inhibited?" sqref="C20:C22" xr:uid="{00000000-0002-0000-0300-000000000000}">
      <formula1>surfacecondition</formula1>
    </dataValidation>
    <dataValidation type="list" allowBlank="1" showInputMessage="1" showErrorMessage="1" sqref="C14" xr:uid="{00000000-0002-0000-0300-000001000000}">
      <formula1>propellants</formula1>
    </dataValidation>
    <dataValidation type="list" allowBlank="1" showInputMessage="1" showErrorMessage="1" prompt="Selecct max design pressure" sqref="C34" xr:uid="{00000000-0002-0000-0300-000002000000}">
      <formula1>pressures</formula1>
    </dataValidation>
  </dataValidations>
  <hyperlinks>
    <hyperlink ref="E14" location="note1" display="See Note [1] below" xr:uid="{00000000-0004-0000-0300-000000000000}"/>
  </hyperlinks>
  <pageMargins left="0.75" right="0.95" top="0.85" bottom="1" header="0.5" footer="0.5"/>
  <pageSetup orientation="landscape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Macro1">
                <anchor moveWithCells="1" sizeWithCells="1">
                  <from>
                    <xdr:col>8</xdr:col>
                    <xdr:colOff>251460</xdr:colOff>
                    <xdr:row>31</xdr:row>
                    <xdr:rowOff>60960</xdr:rowOff>
                  </from>
                  <to>
                    <xdr:col>9</xdr:col>
                    <xdr:colOff>594360</xdr:colOff>
                    <xdr:row>33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7">
    <tabColor rgb="FFFF0000"/>
  </sheetPr>
  <dimension ref="B1:T707"/>
  <sheetViews>
    <sheetView zoomScale="85" zoomScaleNormal="85" workbookViewId="0">
      <selection activeCell="G18" sqref="G18"/>
    </sheetView>
  </sheetViews>
  <sheetFormatPr baseColWidth="10" defaultColWidth="9.109375" defaultRowHeight="13.8"/>
  <cols>
    <col min="1" max="1" width="2.88671875" style="572" customWidth="1"/>
    <col min="2" max="2" width="21.44140625" style="572" customWidth="1"/>
    <col min="3" max="3" width="15.6640625" style="582" customWidth="1"/>
    <col min="4" max="4" width="10.6640625" style="582" bestFit="1" customWidth="1"/>
    <col min="5" max="7" width="9.6640625" style="572" bestFit="1" customWidth="1"/>
    <col min="8" max="8" width="9.88671875" style="710" bestFit="1" customWidth="1"/>
    <col min="9" max="12" width="9.6640625" style="572" bestFit="1" customWidth="1"/>
    <col min="13" max="13" width="9.109375" style="572"/>
    <col min="14" max="14" width="16.6640625" style="572" customWidth="1"/>
    <col min="15" max="15" width="9.109375" style="572"/>
    <col min="16" max="20" width="9.6640625" style="572" bestFit="1" customWidth="1"/>
    <col min="21" max="16384" width="9.109375" style="572"/>
  </cols>
  <sheetData>
    <row r="1" spans="2:6" s="572" customFormat="1">
      <c r="C1" s="582"/>
      <c r="D1" s="582"/>
    </row>
    <row r="2" spans="2:6" s="572" customFormat="1">
      <c r="B2" s="75" t="s">
        <v>832</v>
      </c>
      <c r="C2" s="582"/>
      <c r="D2" s="582"/>
    </row>
    <row r="3" spans="2:6" s="572" customFormat="1" ht="14.4" thickBot="1">
      <c r="C3" s="582"/>
      <c r="D3" s="582"/>
    </row>
    <row r="4" spans="2:6" s="572" customFormat="1" ht="14.4" thickBot="1">
      <c r="B4" s="573" t="s">
        <v>795</v>
      </c>
      <c r="C4" s="797" t="s">
        <v>796</v>
      </c>
      <c r="D4" s="798"/>
      <c r="E4" s="574" t="s">
        <v>797</v>
      </c>
      <c r="F4" s="574" t="s">
        <v>798</v>
      </c>
    </row>
    <row r="5" spans="2:6" s="572" customFormat="1">
      <c r="B5" s="576" t="s">
        <v>120</v>
      </c>
      <c r="C5" s="583">
        <f>to</f>
        <v>1634</v>
      </c>
      <c r="D5" s="584">
        <f>C5-273</f>
        <v>1361</v>
      </c>
      <c r="E5" s="579" t="s">
        <v>73</v>
      </c>
      <c r="F5" s="579" t="s">
        <v>799</v>
      </c>
    </row>
    <row r="6" spans="2:6" s="572" customFormat="1">
      <c r="B6" s="576" t="s">
        <v>800</v>
      </c>
      <c r="C6" s="583">
        <f>D6+273</f>
        <v>298</v>
      </c>
      <c r="D6" s="584">
        <v>25</v>
      </c>
      <c r="E6" s="579" t="s">
        <v>73</v>
      </c>
      <c r="F6" s="579"/>
    </row>
    <row r="7" spans="2:6" s="572" customFormat="1" ht="14.4" thickBot="1">
      <c r="B7" s="576" t="s">
        <v>801</v>
      </c>
      <c r="C7" s="692">
        <v>3.56</v>
      </c>
      <c r="D7" s="586">
        <f>C7/1000</f>
        <v>3.5600000000000002E-3</v>
      </c>
      <c r="E7" s="579" t="s">
        <v>2</v>
      </c>
      <c r="F7" s="579" t="s">
        <v>802</v>
      </c>
    </row>
    <row r="8" spans="2:6" s="572" customFormat="1" ht="18.75" customHeight="1" thickBot="1">
      <c r="B8" s="576" t="s">
        <v>803</v>
      </c>
      <c r="C8" s="755" t="s">
        <v>1084</v>
      </c>
      <c r="D8" s="596"/>
      <c r="E8" s="597"/>
      <c r="F8" s="598"/>
    </row>
    <row r="9" spans="2:6" s="572" customFormat="1">
      <c r="B9" s="576" t="s">
        <v>804</v>
      </c>
      <c r="C9" s="583">
        <v>7850</v>
      </c>
      <c r="D9" s="584"/>
      <c r="E9" s="579" t="s">
        <v>805</v>
      </c>
      <c r="F9" s="579"/>
    </row>
    <row r="10" spans="2:6" s="572" customFormat="1">
      <c r="B10" s="576" t="s">
        <v>806</v>
      </c>
      <c r="C10" s="585">
        <v>486</v>
      </c>
      <c r="D10" s="586"/>
      <c r="E10" s="579" t="s">
        <v>807</v>
      </c>
      <c r="F10" s="579"/>
    </row>
    <row r="11" spans="2:6" s="572" customFormat="1">
      <c r="B11" s="576" t="s">
        <v>808</v>
      </c>
      <c r="C11" s="583">
        <v>50</v>
      </c>
      <c r="D11" s="584"/>
      <c r="E11" s="579" t="s">
        <v>809</v>
      </c>
      <c r="F11" s="579"/>
    </row>
    <row r="12" spans="2:6" s="572" customFormat="1">
      <c r="B12" s="576" t="s">
        <v>810</v>
      </c>
      <c r="C12" s="585">
        <v>1000</v>
      </c>
      <c r="D12" s="586"/>
      <c r="E12" s="579" t="s">
        <v>811</v>
      </c>
      <c r="F12" s="579"/>
    </row>
    <row r="13" spans="2:6" s="572" customFormat="1" ht="14.4" thickBot="1">
      <c r="B13" s="576" t="s">
        <v>812</v>
      </c>
      <c r="C13" s="707">
        <f>C11/(C9*C10)</f>
        <v>1.3105816361301146E-5</v>
      </c>
      <c r="D13" s="584"/>
      <c r="E13" s="579" t="s">
        <v>813</v>
      </c>
      <c r="F13" s="579"/>
    </row>
    <row r="14" spans="2:6" s="572" customFormat="1" ht="14.4" thickBot="1">
      <c r="B14" s="576" t="s">
        <v>814</v>
      </c>
      <c r="C14" s="683">
        <f>(C13*C46)/(D39^2)</f>
        <v>0.24562782471998426</v>
      </c>
      <c r="D14" s="584"/>
      <c r="E14" s="579" t="s">
        <v>64</v>
      </c>
      <c r="F14" s="579"/>
    </row>
    <row r="15" spans="2:6" s="572" customFormat="1" ht="14.4" thickBot="1">
      <c r="B15" s="576" t="s">
        <v>815</v>
      </c>
      <c r="C15" s="683">
        <f>($C$12*$D$39)/$C$11</f>
        <v>1.78E-2</v>
      </c>
      <c r="D15" s="586"/>
      <c r="E15" s="579" t="s">
        <v>64</v>
      </c>
      <c r="F15" s="579"/>
    </row>
    <row r="16" spans="2:6" s="572" customFormat="1" ht="14.4" thickBot="1">
      <c r="B16" s="576" t="s">
        <v>816</v>
      </c>
      <c r="C16" s="705">
        <v>10</v>
      </c>
      <c r="D16" s="584"/>
      <c r="E16" s="579" t="s">
        <v>811</v>
      </c>
      <c r="F16" s="579"/>
    </row>
    <row r="17" spans="2:6" s="572" customFormat="1" ht="14.4" thickBot="1">
      <c r="B17" s="577" t="s">
        <v>817</v>
      </c>
      <c r="C17" s="706">
        <f>(C16*D39)/C11</f>
        <v>1.7799999999999999E-4</v>
      </c>
      <c r="D17" s="587"/>
      <c r="E17" s="580" t="s">
        <v>64</v>
      </c>
      <c r="F17" s="580"/>
    </row>
    <row r="18" spans="2:6" s="572" customFormat="1" ht="14.4" thickBot="1">
      <c r="C18" s="582"/>
      <c r="D18" s="582"/>
    </row>
    <row r="19" spans="2:6" s="572" customFormat="1" ht="14.4" thickBot="1">
      <c r="B19" s="573" t="s">
        <v>818</v>
      </c>
      <c r="C19" s="795" t="s">
        <v>796</v>
      </c>
      <c r="D19" s="796"/>
      <c r="E19" s="592" t="s">
        <v>797</v>
      </c>
      <c r="F19" s="592" t="s">
        <v>798</v>
      </c>
    </row>
    <row r="20" spans="2:6" s="572" customFormat="1" ht="21.75" customHeight="1" thickBot="1">
      <c r="B20" s="591" t="s">
        <v>803</v>
      </c>
      <c r="C20" s="755" t="s">
        <v>1127</v>
      </c>
      <c r="D20" s="596"/>
      <c r="E20" s="597"/>
      <c r="F20" s="598"/>
    </row>
    <row r="21" spans="2:6" s="572" customFormat="1">
      <c r="B21" s="576" t="s">
        <v>819</v>
      </c>
      <c r="C21" s="760">
        <v>2</v>
      </c>
      <c r="D21" s="594">
        <f>C21/1000</f>
        <v>2E-3</v>
      </c>
      <c r="E21" s="595" t="s">
        <v>2</v>
      </c>
      <c r="F21" s="595" t="s">
        <v>802</v>
      </c>
    </row>
    <row r="22" spans="2:6" s="572" customFormat="1">
      <c r="B22" s="576" t="s">
        <v>804</v>
      </c>
      <c r="C22" s="583">
        <f>(1220+1290)/2</f>
        <v>1255</v>
      </c>
      <c r="D22" s="584"/>
      <c r="E22" s="579" t="s">
        <v>805</v>
      </c>
      <c r="F22" s="579"/>
    </row>
    <row r="23" spans="2:6" s="572" customFormat="1">
      <c r="B23" s="576" t="s">
        <v>806</v>
      </c>
      <c r="C23" s="583">
        <v>1800</v>
      </c>
      <c r="D23" s="584"/>
      <c r="E23" s="579" t="s">
        <v>807</v>
      </c>
      <c r="F23" s="579"/>
    </row>
    <row r="24" spans="2:6" s="572" customFormat="1">
      <c r="B24" s="576" t="s">
        <v>808</v>
      </c>
      <c r="C24" s="697">
        <f>(0.13+0.22)/2</f>
        <v>0.17499999999999999</v>
      </c>
      <c r="D24" s="586"/>
      <c r="E24" s="579" t="s">
        <v>809</v>
      </c>
      <c r="F24" s="579"/>
    </row>
    <row r="25" spans="2:6" s="572" customFormat="1" ht="14.4" thickBot="1">
      <c r="B25" s="576" t="s">
        <v>820</v>
      </c>
      <c r="C25" s="707">
        <f>C24/(C22*C23)</f>
        <v>7.7467906153165109E-8</v>
      </c>
      <c r="D25" s="584"/>
      <c r="E25" s="579" t="s">
        <v>811</v>
      </c>
      <c r="F25" s="579"/>
    </row>
    <row r="26" spans="2:6" s="572" customFormat="1" ht="14.4" thickBot="1">
      <c r="B26" s="576" t="s">
        <v>821</v>
      </c>
      <c r="C26" s="683">
        <f>(C25*C46)/D40^2</f>
        <v>4.600185091819791E-3</v>
      </c>
      <c r="D26" s="584"/>
      <c r="E26" s="579" t="s">
        <v>813</v>
      </c>
      <c r="F26" s="579"/>
    </row>
    <row r="27" spans="2:6" s="572" customFormat="1" ht="14.4" thickBot="1">
      <c r="B27" s="576" t="s">
        <v>822</v>
      </c>
      <c r="C27" s="708">
        <f>(C12*D40)/C24</f>
        <v>2.8571428571428572</v>
      </c>
      <c r="D27" s="586"/>
      <c r="E27" s="579" t="s">
        <v>64</v>
      </c>
      <c r="F27" s="579"/>
    </row>
    <row r="28" spans="2:6" s="572" customFormat="1">
      <c r="B28" s="576" t="s">
        <v>929</v>
      </c>
      <c r="C28" s="593">
        <f>(C22*C23+C9*C10)</f>
        <v>6074100</v>
      </c>
      <c r="D28" s="584"/>
      <c r="E28" s="579" t="s">
        <v>64</v>
      </c>
      <c r="F28" s="579"/>
    </row>
    <row r="29" spans="2:6" s="572" customFormat="1">
      <c r="B29" s="576" t="s">
        <v>930</v>
      </c>
      <c r="C29" s="583">
        <f>C24/C28</f>
        <v>2.8810852636604597E-8</v>
      </c>
      <c r="D29" s="584"/>
      <c r="E29" s="579" t="s">
        <v>811</v>
      </c>
      <c r="F29" s="579"/>
    </row>
    <row r="30" spans="2:6" s="572" customFormat="1" ht="14.4" thickBot="1">
      <c r="B30" s="576" t="s">
        <v>931</v>
      </c>
      <c r="C30" s="709">
        <f>C11/C28</f>
        <v>8.2316721818870282E-6</v>
      </c>
      <c r="D30" s="586"/>
      <c r="E30" s="579" t="s">
        <v>811</v>
      </c>
      <c r="F30" s="579"/>
    </row>
    <row r="31" spans="2:6" s="572" customFormat="1" ht="14.4" thickBot="1">
      <c r="B31" s="576" t="s">
        <v>932</v>
      </c>
      <c r="C31" s="683">
        <f>(C29*C46)/D40^2</f>
        <v>1.7108408031512334E-3</v>
      </c>
      <c r="D31" s="584"/>
      <c r="E31" s="579" t="s">
        <v>64</v>
      </c>
      <c r="F31" s="579"/>
    </row>
    <row r="32" spans="2:6" s="572" customFormat="1" ht="14.4" thickBot="1">
      <c r="B32" s="577" t="s">
        <v>933</v>
      </c>
      <c r="C32" s="706">
        <f>(C30*C46)/D39^2</f>
        <v>0.15427712979523089</v>
      </c>
      <c r="D32" s="587"/>
      <c r="E32" s="580" t="s">
        <v>64</v>
      </c>
      <c r="F32" s="580"/>
    </row>
    <row r="33" spans="2:6" s="572" customFormat="1" ht="14.4" thickBot="1">
      <c r="C33" s="582"/>
      <c r="D33" s="582"/>
    </row>
    <row r="34" spans="2:6" s="572" customFormat="1" ht="14.4" thickBot="1">
      <c r="B34" s="573" t="s">
        <v>823</v>
      </c>
      <c r="C34" s="797" t="s">
        <v>796</v>
      </c>
      <c r="D34" s="798"/>
      <c r="E34" s="574" t="s">
        <v>797</v>
      </c>
      <c r="F34" s="574" t="s">
        <v>798</v>
      </c>
    </row>
    <row r="35" spans="2:6" s="572" customFormat="1">
      <c r="B35" s="575" t="s">
        <v>514</v>
      </c>
      <c r="C35" s="588">
        <f>C21+C7</f>
        <v>5.5600000000000005</v>
      </c>
      <c r="D35" s="589">
        <f>D21+D7</f>
        <v>5.5600000000000007E-3</v>
      </c>
      <c r="E35" s="578" t="s">
        <v>2</v>
      </c>
      <c r="F35" s="578" t="s">
        <v>802</v>
      </c>
    </row>
    <row r="36" spans="2:6" s="572" customFormat="1">
      <c r="B36" s="576" t="s">
        <v>824</v>
      </c>
      <c r="C36" s="583">
        <v>5</v>
      </c>
      <c r="D36" s="584"/>
      <c r="E36" s="579" t="s">
        <v>64</v>
      </c>
      <c r="F36" s="579"/>
    </row>
    <row r="37" spans="2:6" s="572" customFormat="1">
      <c r="B37" s="576" t="s">
        <v>825</v>
      </c>
      <c r="C37" s="583"/>
      <c r="D37" s="584"/>
      <c r="E37" s="579"/>
      <c r="F37" s="579"/>
    </row>
    <row r="38" spans="2:6" s="572" customFormat="1">
      <c r="B38" s="576" t="s">
        <v>826</v>
      </c>
      <c r="C38" s="583">
        <v>5</v>
      </c>
      <c r="D38" s="584"/>
      <c r="E38" s="579" t="s">
        <v>64</v>
      </c>
      <c r="F38" s="579"/>
    </row>
    <row r="39" spans="2:6" s="572" customFormat="1">
      <c r="B39" s="576" t="s">
        <v>827</v>
      </c>
      <c r="C39" s="692">
        <f>C7/(C36-1)</f>
        <v>0.89</v>
      </c>
      <c r="D39" s="590">
        <f>C39/1000</f>
        <v>8.9000000000000006E-4</v>
      </c>
      <c r="E39" s="579" t="s">
        <v>2</v>
      </c>
      <c r="F39" s="579" t="s">
        <v>802</v>
      </c>
    </row>
    <row r="40" spans="2:6" s="572" customFormat="1">
      <c r="B40" s="576" t="s">
        <v>828</v>
      </c>
      <c r="C40" s="692">
        <f>C21/(C38-1)</f>
        <v>0.5</v>
      </c>
      <c r="D40" s="590">
        <f>C40/1000</f>
        <v>5.0000000000000001E-4</v>
      </c>
      <c r="E40" s="579" t="s">
        <v>2</v>
      </c>
      <c r="F40" s="579" t="s">
        <v>802</v>
      </c>
    </row>
    <row r="41" spans="2:6" s="572" customFormat="1">
      <c r="B41" s="576" t="s">
        <v>829</v>
      </c>
      <c r="C41" s="701">
        <f>(D39^2)/(2*C13*(1+C15))</f>
        <v>2.9690908921202595E-2</v>
      </c>
      <c r="D41" s="702">
        <f>(D39^2)/(2*C13*(1+C17))</f>
        <v>3.0214029002837501E-2</v>
      </c>
      <c r="E41" s="579"/>
      <c r="F41" s="579"/>
    </row>
    <row r="42" spans="2:6" s="572" customFormat="1">
      <c r="B42" s="576" t="s">
        <v>830</v>
      </c>
      <c r="C42" s="701">
        <f>(D40^2)/(2*C25*(1+C27))</f>
        <v>0.41833333333333333</v>
      </c>
      <c r="D42" s="584" t="s">
        <v>64</v>
      </c>
      <c r="E42" s="579"/>
      <c r="F42" s="579"/>
    </row>
    <row r="43" spans="2:6" s="572" customFormat="1" ht="14.4" thickBot="1">
      <c r="B43" s="577" t="s">
        <v>831</v>
      </c>
      <c r="C43" s="699"/>
      <c r="D43" s="700"/>
      <c r="E43" s="698"/>
      <c r="F43" s="698"/>
    </row>
    <row r="44" spans="2:6" s="572" customFormat="1" ht="14.4" thickBot="1">
      <c r="B44" s="577" t="s">
        <v>934</v>
      </c>
      <c r="C44" s="703">
        <f>MIN(C41:C42,D41)</f>
        <v>2.9690908921202595E-2</v>
      </c>
      <c r="D44" s="587"/>
      <c r="E44" s="580"/>
      <c r="F44" s="580"/>
    </row>
    <row r="45" spans="2:6" s="572" customFormat="1" ht="14.4" thickBot="1">
      <c r="C45" s="582"/>
      <c r="D45" s="582"/>
    </row>
    <row r="46" spans="2:6" s="572" customFormat="1" ht="14.4" thickBot="1">
      <c r="B46" s="581" t="s">
        <v>654</v>
      </c>
      <c r="C46" s="704">
        <f>C44-(C47*C44)</f>
        <v>1.4845454460601298E-2</v>
      </c>
      <c r="D46" s="582"/>
    </row>
    <row r="47" spans="2:6" s="572" customFormat="1" ht="14.4" thickBot="1">
      <c r="B47" s="581" t="s">
        <v>935</v>
      </c>
      <c r="C47" s="711">
        <v>0.5</v>
      </c>
      <c r="D47" s="582"/>
    </row>
    <row r="48" spans="2:6" s="572" customFormat="1">
      <c r="C48" s="582"/>
      <c r="D48" s="582"/>
    </row>
    <row r="49" spans="2:4" s="572" customFormat="1">
      <c r="B49" s="75" t="s">
        <v>833</v>
      </c>
      <c r="C49" s="582"/>
      <c r="D49" s="582"/>
    </row>
    <row r="50" spans="2:4" s="572" customFormat="1">
      <c r="C50" s="582"/>
      <c r="D50" s="582"/>
    </row>
    <row r="51" spans="2:4" s="572" customFormat="1">
      <c r="C51" s="582"/>
      <c r="D51" s="582"/>
    </row>
    <row r="52" spans="2:4" s="572" customFormat="1">
      <c r="C52" s="582"/>
      <c r="D52" s="582"/>
    </row>
    <row r="53" spans="2:4" s="572" customFormat="1">
      <c r="C53" s="582"/>
      <c r="D53" s="582"/>
    </row>
    <row r="54" spans="2:4" s="572" customFormat="1">
      <c r="C54" s="582"/>
      <c r="D54" s="582"/>
    </row>
    <row r="55" spans="2:4" s="572" customFormat="1">
      <c r="C55" s="582"/>
      <c r="D55" s="582"/>
    </row>
    <row r="56" spans="2:4" s="572" customFormat="1">
      <c r="C56" s="582"/>
      <c r="D56" s="582"/>
    </row>
    <row r="57" spans="2:4" s="572" customFormat="1">
      <c r="C57" s="582"/>
      <c r="D57" s="582"/>
    </row>
    <row r="58" spans="2:4" s="572" customFormat="1">
      <c r="C58" s="582"/>
      <c r="D58" s="582"/>
    </row>
    <row r="59" spans="2:4" s="572" customFormat="1">
      <c r="C59" s="582"/>
      <c r="D59" s="582"/>
    </row>
    <row r="60" spans="2:4" s="572" customFormat="1">
      <c r="C60" s="582"/>
      <c r="D60" s="582"/>
    </row>
    <row r="61" spans="2:4" s="572" customFormat="1">
      <c r="C61" s="582"/>
      <c r="D61" s="582"/>
    </row>
    <row r="62" spans="2:4" s="572" customFormat="1">
      <c r="C62" s="582"/>
      <c r="D62" s="582"/>
    </row>
    <row r="63" spans="2:4" s="572" customFormat="1">
      <c r="C63" s="582"/>
      <c r="D63" s="582"/>
    </row>
    <row r="64" spans="2:4" s="572" customFormat="1">
      <c r="C64" s="582"/>
      <c r="D64" s="582"/>
    </row>
    <row r="65" spans="2:20">
      <c r="H65" s="572"/>
    </row>
    <row r="66" spans="2:20">
      <c r="H66" s="572"/>
    </row>
    <row r="67" spans="2:20">
      <c r="H67" s="572"/>
    </row>
    <row r="68" spans="2:20">
      <c r="H68" s="572"/>
    </row>
    <row r="69" spans="2:20">
      <c r="H69" s="572"/>
    </row>
    <row r="70" spans="2:20">
      <c r="B70" s="75" t="s">
        <v>1129</v>
      </c>
      <c r="H70" s="572"/>
      <c r="N70" s="75" t="s">
        <v>936</v>
      </c>
    </row>
    <row r="71" spans="2:20" ht="14.4" thickBot="1">
      <c r="H71" s="572"/>
    </row>
    <row r="72" spans="2:20" s="582" customFormat="1" ht="14.4" thickBot="1">
      <c r="B72" s="599">
        <f>C36+C38</f>
        <v>10</v>
      </c>
      <c r="C72" s="600" t="s">
        <v>835</v>
      </c>
      <c r="D72" s="694">
        <v>0</v>
      </c>
      <c r="E72" s="695">
        <f>D73*$C$40</f>
        <v>0.5</v>
      </c>
      <c r="F72" s="695">
        <f>E73*$C$40</f>
        <v>1</v>
      </c>
      <c r="G72" s="695">
        <f>F73*$C$40</f>
        <v>1.5</v>
      </c>
      <c r="H72" s="683">
        <f>G73*$C$40</f>
        <v>2</v>
      </c>
      <c r="I72" s="695">
        <f>D73*$C$39+$H$72</f>
        <v>2.89</v>
      </c>
      <c r="J72" s="695">
        <f>E73*$C$39+$H$72</f>
        <v>3.7800000000000002</v>
      </c>
      <c r="K72" s="695">
        <f>F73*$C$39+$H$72</f>
        <v>4.67</v>
      </c>
      <c r="L72" s="696">
        <f>G73*$C$39+$H$72</f>
        <v>5.5600000000000005</v>
      </c>
      <c r="N72" s="599">
        <f>C36</f>
        <v>5</v>
      </c>
      <c r="O72" s="600" t="s">
        <v>835</v>
      </c>
      <c r="P72" s="694">
        <v>0</v>
      </c>
      <c r="Q72" s="695">
        <f>P73*$C$39</f>
        <v>0.89</v>
      </c>
      <c r="R72" s="695">
        <f>Q73*$C$39</f>
        <v>1.78</v>
      </c>
      <c r="S72" s="695">
        <f>R73*$C$39</f>
        <v>2.67</v>
      </c>
      <c r="T72" s="696">
        <f>S73*$C$39</f>
        <v>3.56</v>
      </c>
    </row>
    <row r="73" spans="2:20" s="582" customFormat="1" ht="14.4" thickBot="1">
      <c r="B73" s="601" t="s">
        <v>834</v>
      </c>
      <c r="C73" s="602">
        <f>C46</f>
        <v>1.4845454460601298E-2</v>
      </c>
      <c r="D73" s="684">
        <v>1</v>
      </c>
      <c r="E73" s="685">
        <v>2</v>
      </c>
      <c r="F73" s="686">
        <v>3</v>
      </c>
      <c r="G73" s="687">
        <v>4</v>
      </c>
      <c r="H73" s="693">
        <v>5</v>
      </c>
      <c r="I73" s="691">
        <v>6</v>
      </c>
      <c r="J73" s="690">
        <v>7</v>
      </c>
      <c r="K73" s="689">
        <v>8</v>
      </c>
      <c r="L73" s="688">
        <v>9</v>
      </c>
      <c r="N73" s="601" t="s">
        <v>834</v>
      </c>
      <c r="O73" s="602">
        <f>C73</f>
        <v>1.4845454460601298E-2</v>
      </c>
      <c r="P73" s="713">
        <v>1</v>
      </c>
      <c r="Q73" s="714">
        <v>2</v>
      </c>
      <c r="R73" s="715">
        <v>3</v>
      </c>
      <c r="S73" s="716">
        <v>4</v>
      </c>
      <c r="T73" s="717">
        <v>5</v>
      </c>
    </row>
    <row r="74" spans="2:20" s="582" customFormat="1">
      <c r="B74" s="582">
        <v>0</v>
      </c>
      <c r="C74" s="582">
        <v>0</v>
      </c>
      <c r="D74" s="712">
        <f>$C$6</f>
        <v>298</v>
      </c>
      <c r="E74" s="712">
        <f t="shared" ref="E74:L74" si="0">$C$6</f>
        <v>298</v>
      </c>
      <c r="F74" s="712">
        <f t="shared" si="0"/>
        <v>298</v>
      </c>
      <c r="G74" s="712">
        <f t="shared" si="0"/>
        <v>298</v>
      </c>
      <c r="H74" s="718">
        <f t="shared" si="0"/>
        <v>298</v>
      </c>
      <c r="I74" s="712">
        <f t="shared" si="0"/>
        <v>298</v>
      </c>
      <c r="J74" s="712">
        <f t="shared" si="0"/>
        <v>298</v>
      </c>
      <c r="K74" s="712">
        <f t="shared" si="0"/>
        <v>298</v>
      </c>
      <c r="L74" s="712">
        <f t="shared" si="0"/>
        <v>298</v>
      </c>
      <c r="N74" s="582">
        <v>0</v>
      </c>
      <c r="O74" s="582">
        <v>0</v>
      </c>
      <c r="P74" s="712">
        <f>$C$6</f>
        <v>298</v>
      </c>
      <c r="Q74" s="712">
        <f>$C$6</f>
        <v>298</v>
      </c>
      <c r="R74" s="712">
        <f>$C$6</f>
        <v>298</v>
      </c>
      <c r="S74" s="712">
        <f>$C$6</f>
        <v>298</v>
      </c>
      <c r="T74" s="712">
        <f>$C$6</f>
        <v>298</v>
      </c>
    </row>
    <row r="75" spans="2:20" s="582" customFormat="1">
      <c r="B75" s="582">
        <v>1</v>
      </c>
      <c r="C75" s="712">
        <f>$C$73*B75</f>
        <v>1.4845454460601298E-2</v>
      </c>
      <c r="D75" s="712">
        <f t="shared" ref="D75:D106" si="1">(1-2*FoAb-2*FoAb*BiCombAb)*D74+2*FoAb*E74+2*FoAb*BiCombAb*Tcomb</f>
        <v>333.11912732954994</v>
      </c>
      <c r="E75" s="712">
        <f t="shared" ref="E75:E106" si="2">FoAb*D74+(1-2*FoAb)*E74+FoAb*F74</f>
        <v>298</v>
      </c>
      <c r="F75" s="712">
        <f t="shared" ref="F75:F106" si="3">FoAb*E74+(1-2*FoAb)*F74+FoAb*G74</f>
        <v>298</v>
      </c>
      <c r="G75" s="712">
        <f t="shared" ref="G75:G106" si="4">FoAb*F74+(1-2*FoAb)*G74+FoAb*H74</f>
        <v>298</v>
      </c>
      <c r="H75" s="719">
        <f t="shared" ref="H75:H106" si="5">_FoN1*G74+(1-_FoN1-_FoN2)*H74+_FoN2*I74</f>
        <v>298</v>
      </c>
      <c r="I75" s="712">
        <f t="shared" ref="I75:I106" si="6">FoCase*H74+(1-2*FoCase)*I74+FoCase*J74</f>
        <v>298</v>
      </c>
      <c r="J75" s="712">
        <f t="shared" ref="J75:J106" si="7">FoCase*I74+(1-2*FoCase)*J74+FoCase*K74</f>
        <v>298</v>
      </c>
      <c r="K75" s="712">
        <f t="shared" ref="K75:K106" si="8">FoCase*J74+(1-2*FoCase)*K74+FoCase*L74</f>
        <v>298</v>
      </c>
      <c r="L75" s="712">
        <f t="shared" ref="L75:L106" si="9">(1-2*FoCase-2*FoCase*BiAtmCase)*L74+2*FoCase*K74+2*FoCase*BiAtmCase*Tatm</f>
        <v>298</v>
      </c>
      <c r="N75" s="582">
        <v>1</v>
      </c>
      <c r="O75" s="712">
        <f>$O$73*N75</f>
        <v>1.4845454460601298E-2</v>
      </c>
      <c r="P75" s="712">
        <f t="shared" ref="P75:P106" si="10">(1-2*FoCase-2*FoCase*BiCombCase)*P74+2*FoCase*Q74+2*FoCase*BiCombCase*Tcomb</f>
        <v>309.68245234820205</v>
      </c>
      <c r="Q75" s="712">
        <f>FoCase*P74+(1-2*FoCase)*Q74+FoCase*R74</f>
        <v>298</v>
      </c>
      <c r="R75" s="712">
        <f>FoCase*Q74+(1-2*FoCase)*R74+FoCase*S74</f>
        <v>298</v>
      </c>
      <c r="S75" s="712">
        <f>FoCase*R74+(1-2*FoCase)*S74+FoCase*T74</f>
        <v>298</v>
      </c>
      <c r="T75" s="712">
        <f t="shared" ref="T75:T106" si="11">(1-2*FoCase-2*FoCase*BiAtmCase)*T74+2*FoCase*S74+2*FoCase*BiAtmCase*Tatm</f>
        <v>298</v>
      </c>
    </row>
    <row r="76" spans="2:20" s="582" customFormat="1">
      <c r="B76" s="582">
        <v>2</v>
      </c>
      <c r="C76" s="712">
        <f t="shared" ref="C76:C139" si="12">$C$73*B76</f>
        <v>2.9690908921202595E-2</v>
      </c>
      <c r="D76" s="712">
        <f t="shared" si="1"/>
        <v>366.99197719583242</v>
      </c>
      <c r="E76" s="712">
        <f t="shared" si="2"/>
        <v>298.16155448597908</v>
      </c>
      <c r="F76" s="712">
        <f t="shared" si="3"/>
        <v>298</v>
      </c>
      <c r="G76" s="712">
        <f t="shared" si="4"/>
        <v>298</v>
      </c>
      <c r="H76" s="719">
        <f t="shared" si="5"/>
        <v>298</v>
      </c>
      <c r="I76" s="712">
        <f t="shared" si="6"/>
        <v>298</v>
      </c>
      <c r="J76" s="712">
        <f t="shared" si="7"/>
        <v>298</v>
      </c>
      <c r="K76" s="712">
        <f t="shared" si="8"/>
        <v>298</v>
      </c>
      <c r="L76" s="712">
        <f t="shared" si="9"/>
        <v>298</v>
      </c>
      <c r="N76" s="582">
        <v>2</v>
      </c>
      <c r="O76" s="712">
        <f t="shared" ref="O76:O139" si="13">$O$73*N76</f>
        <v>2.9690908921202595E-2</v>
      </c>
      <c r="P76" s="712">
        <f t="shared" si="10"/>
        <v>315.52367852230304</v>
      </c>
      <c r="Q76" s="712">
        <f t="shared" ref="Q76:Q107" si="14">FoCase*P75+(1-2*FoCase)*Q75+FoCase*R75</f>
        <v>300.86953535768373</v>
      </c>
      <c r="R76" s="712">
        <f t="shared" ref="R76:R81" si="15">FoCase*Q75+(1-2*FoCase)*R75+FoCase*S75</f>
        <v>298</v>
      </c>
      <c r="S76" s="712">
        <f t="shared" ref="S76:S81" si="16">FoCase*R75+(1-2*FoCase)*S75+FoCase*T75</f>
        <v>298</v>
      </c>
      <c r="T76" s="712">
        <f t="shared" si="11"/>
        <v>298</v>
      </c>
    </row>
    <row r="77" spans="2:20" s="582" customFormat="1">
      <c r="B77" s="582">
        <v>3</v>
      </c>
      <c r="C77" s="712">
        <f t="shared" si="12"/>
        <v>4.453636338180389E-2</v>
      </c>
      <c r="D77" s="712">
        <f t="shared" si="1"/>
        <v>399.66426278540428</v>
      </c>
      <c r="E77" s="712">
        <f t="shared" si="2"/>
        <v>298.47744398985469</v>
      </c>
      <c r="F77" s="712">
        <f t="shared" si="3"/>
        <v>298.00074318053788</v>
      </c>
      <c r="G77" s="712">
        <f t="shared" si="4"/>
        <v>298</v>
      </c>
      <c r="H77" s="719">
        <f t="shared" si="5"/>
        <v>298</v>
      </c>
      <c r="I77" s="712">
        <f t="shared" si="6"/>
        <v>298</v>
      </c>
      <c r="J77" s="712">
        <f t="shared" si="7"/>
        <v>298</v>
      </c>
      <c r="K77" s="712">
        <f t="shared" si="8"/>
        <v>298</v>
      </c>
      <c r="L77" s="712">
        <f t="shared" si="9"/>
        <v>298</v>
      </c>
      <c r="N77" s="582">
        <v>3</v>
      </c>
      <c r="O77" s="712">
        <f t="shared" si="13"/>
        <v>4.453636338180389E-2</v>
      </c>
      <c r="P77" s="712">
        <f t="shared" si="10"/>
        <v>319.8539670650834</v>
      </c>
      <c r="Q77" s="712">
        <f t="shared" si="14"/>
        <v>303.76416293847944</v>
      </c>
      <c r="R77" s="712">
        <f t="shared" si="15"/>
        <v>298.70483772786497</v>
      </c>
      <c r="S77" s="712">
        <f t="shared" si="16"/>
        <v>298</v>
      </c>
      <c r="T77" s="712">
        <f t="shared" si="11"/>
        <v>298</v>
      </c>
    </row>
    <row r="78" spans="2:20" s="582" customFormat="1">
      <c r="B78" s="582">
        <v>4</v>
      </c>
      <c r="C78" s="712">
        <f t="shared" si="12"/>
        <v>5.9381817842405191E-2</v>
      </c>
      <c r="D78" s="712">
        <f t="shared" si="1"/>
        <v>431.18000863269452</v>
      </c>
      <c r="E78" s="712">
        <f t="shared" si="2"/>
        <v>298.94072917321034</v>
      </c>
      <c r="F78" s="712">
        <f t="shared" si="3"/>
        <v>298.00293267372615</v>
      </c>
      <c r="G78" s="712">
        <f t="shared" si="4"/>
        <v>298.00000341876802</v>
      </c>
      <c r="H78" s="719">
        <f t="shared" si="5"/>
        <v>298</v>
      </c>
      <c r="I78" s="712">
        <f t="shared" si="6"/>
        <v>298</v>
      </c>
      <c r="J78" s="712">
        <f t="shared" si="7"/>
        <v>298</v>
      </c>
      <c r="K78" s="712">
        <f t="shared" si="8"/>
        <v>298</v>
      </c>
      <c r="L78" s="712">
        <f t="shared" si="9"/>
        <v>298</v>
      </c>
      <c r="N78" s="582">
        <v>4</v>
      </c>
      <c r="O78" s="712">
        <f t="shared" si="13"/>
        <v>5.9381817842405191E-2</v>
      </c>
      <c r="P78" s="712">
        <f t="shared" si="10"/>
        <v>323.44111348856421</v>
      </c>
      <c r="Q78" s="712">
        <f t="shared" si="14"/>
        <v>306.47355548023359</v>
      </c>
      <c r="R78" s="712">
        <f t="shared" si="15"/>
        <v>299.7744210160231</v>
      </c>
      <c r="S78" s="712">
        <f t="shared" si="16"/>
        <v>298.17312775787605</v>
      </c>
      <c r="T78" s="712">
        <f t="shared" si="11"/>
        <v>298</v>
      </c>
    </row>
    <row r="79" spans="2:20" s="582" customFormat="1">
      <c r="B79" s="582">
        <v>5</v>
      </c>
      <c r="C79" s="712">
        <f t="shared" si="12"/>
        <v>7.4227272303006492E-2</v>
      </c>
      <c r="D79" s="712">
        <f t="shared" si="1"/>
        <v>461.58161312273916</v>
      </c>
      <c r="E79" s="712">
        <f t="shared" si="2"/>
        <v>299.54474029765669</v>
      </c>
      <c r="F79" s="712">
        <f t="shared" si="3"/>
        <v>298.00723323608719</v>
      </c>
      <c r="G79" s="712">
        <f t="shared" si="4"/>
        <v>298.00001687815603</v>
      </c>
      <c r="H79" s="719">
        <f t="shared" si="5"/>
        <v>298.00000000584896</v>
      </c>
      <c r="I79" s="712">
        <f t="shared" si="6"/>
        <v>298</v>
      </c>
      <c r="J79" s="712">
        <f t="shared" si="7"/>
        <v>298</v>
      </c>
      <c r="K79" s="712">
        <f t="shared" si="8"/>
        <v>298</v>
      </c>
      <c r="L79" s="712">
        <f t="shared" si="9"/>
        <v>298</v>
      </c>
      <c r="N79" s="582">
        <v>5</v>
      </c>
      <c r="O79" s="712">
        <f t="shared" si="13"/>
        <v>7.4227272303006492E-2</v>
      </c>
      <c r="P79" s="712">
        <f t="shared" si="10"/>
        <v>326.56569109299193</v>
      </c>
      <c r="Q79" s="712">
        <f t="shared" si="14"/>
        <v>308.99576601867932</v>
      </c>
      <c r="R79" s="712">
        <f t="shared" si="15"/>
        <v>301.0265926622364</v>
      </c>
      <c r="S79" s="712">
        <f t="shared" si="16"/>
        <v>298.52392494304775</v>
      </c>
      <c r="T79" s="712">
        <f t="shared" si="11"/>
        <v>298.08504998913151</v>
      </c>
    </row>
    <row r="80" spans="2:20" s="582" customFormat="1">
      <c r="B80" s="582">
        <v>6</v>
      </c>
      <c r="C80" s="712">
        <f t="shared" si="12"/>
        <v>8.9072726763607779E-2</v>
      </c>
      <c r="D80" s="712">
        <f t="shared" si="1"/>
        <v>490.90990867899581</v>
      </c>
      <c r="E80" s="712">
        <f t="shared" si="2"/>
        <v>300.28306708728854</v>
      </c>
      <c r="F80" s="712">
        <f t="shared" si="3"/>
        <v>298.01427285656825</v>
      </c>
      <c r="G80" s="712">
        <f t="shared" si="4"/>
        <v>298.00004999712246</v>
      </c>
      <c r="H80" s="719">
        <f t="shared" si="5"/>
        <v>298.00000003381246</v>
      </c>
      <c r="I80" s="712">
        <f t="shared" si="6"/>
        <v>298.00000000143666</v>
      </c>
      <c r="J80" s="712">
        <f t="shared" si="7"/>
        <v>298</v>
      </c>
      <c r="K80" s="712">
        <f t="shared" si="8"/>
        <v>298</v>
      </c>
      <c r="L80" s="712">
        <f t="shared" si="9"/>
        <v>298</v>
      </c>
      <c r="N80" s="582">
        <v>6</v>
      </c>
      <c r="O80" s="712">
        <f t="shared" si="13"/>
        <v>8.9072726763607779E-2</v>
      </c>
      <c r="P80" s="712">
        <f t="shared" si="10"/>
        <v>329.36703007129421</v>
      </c>
      <c r="Q80" s="712">
        <f t="shared" si="14"/>
        <v>311.35397777881633</v>
      </c>
      <c r="R80" s="712">
        <f t="shared" si="15"/>
        <v>302.3693185507347</v>
      </c>
      <c r="S80" s="712">
        <f t="shared" si="16"/>
        <v>299.03084987065449</v>
      </c>
      <c r="T80" s="712">
        <f t="shared" si="11"/>
        <v>298.3006423525714</v>
      </c>
    </row>
    <row r="81" spans="2:20" s="582" customFormat="1">
      <c r="B81" s="582">
        <v>7</v>
      </c>
      <c r="C81" s="712">
        <f t="shared" si="12"/>
        <v>0.10391818122420908</v>
      </c>
      <c r="D81" s="712">
        <f t="shared" si="1"/>
        <v>519.20421972199586</v>
      </c>
      <c r="E81" s="712">
        <f t="shared" si="2"/>
        <v>301.14954896868284</v>
      </c>
      <c r="F81" s="712">
        <f t="shared" si="3"/>
        <v>298.02464430217879</v>
      </c>
      <c r="G81" s="712">
        <f t="shared" si="4"/>
        <v>298.00011519506796</v>
      </c>
      <c r="H81" s="719">
        <f t="shared" si="5"/>
        <v>298.00000011429688</v>
      </c>
      <c r="I81" s="712">
        <f t="shared" si="6"/>
        <v>298.00000000903617</v>
      </c>
      <c r="J81" s="712">
        <f t="shared" si="7"/>
        <v>298.00000000035288</v>
      </c>
      <c r="K81" s="712">
        <f t="shared" si="8"/>
        <v>298</v>
      </c>
      <c r="L81" s="712">
        <f t="shared" si="9"/>
        <v>298</v>
      </c>
      <c r="N81" s="582">
        <v>7</v>
      </c>
      <c r="O81" s="712">
        <f t="shared" si="13"/>
        <v>0.10391818122420908</v>
      </c>
      <c r="P81" s="712">
        <f t="shared" si="10"/>
        <v>331.92618441018845</v>
      </c>
      <c r="Q81" s="712">
        <f t="shared" si="14"/>
        <v>313.57160232794098</v>
      </c>
      <c r="R81" s="712">
        <f t="shared" si="15"/>
        <v>303.75618005299486</v>
      </c>
      <c r="S81" s="712">
        <f t="shared" si="16"/>
        <v>299.67151138617749</v>
      </c>
      <c r="T81" s="712">
        <f t="shared" si="11"/>
        <v>298.65933463187201</v>
      </c>
    </row>
    <row r="82" spans="2:20" s="582" customFormat="1">
      <c r="B82" s="582">
        <v>8</v>
      </c>
      <c r="C82" s="712">
        <f t="shared" si="12"/>
        <v>0.11876363568481038</v>
      </c>
      <c r="D82" s="712">
        <f t="shared" si="1"/>
        <v>546.50241848141366</v>
      </c>
      <c r="E82" s="712">
        <f t="shared" si="2"/>
        <v>302.13826567442368</v>
      </c>
      <c r="F82" s="712">
        <f t="shared" si="3"/>
        <v>298.03890660360616</v>
      </c>
      <c r="G82" s="712">
        <f t="shared" si="4"/>
        <v>298.00022750410795</v>
      </c>
      <c r="H82" s="719">
        <f t="shared" si="5"/>
        <v>298.00000029494242</v>
      </c>
      <c r="I82" s="712">
        <f t="shared" si="6"/>
        <v>298.00000003275829</v>
      </c>
      <c r="J82" s="712">
        <f t="shared" si="7"/>
        <v>298.00000000239908</v>
      </c>
      <c r="K82" s="712">
        <f t="shared" si="8"/>
        <v>298.00000000008669</v>
      </c>
      <c r="L82" s="712">
        <f t="shared" si="9"/>
        <v>298</v>
      </c>
      <c r="N82" s="582">
        <v>8</v>
      </c>
      <c r="O82" s="712">
        <f t="shared" si="13"/>
        <v>0.11876363568481038</v>
      </c>
      <c r="P82" s="712">
        <f t="shared" si="10"/>
        <v>334.29518216772982</v>
      </c>
      <c r="Q82" s="712">
        <f t="shared" si="14"/>
        <v>315.66905757634476</v>
      </c>
      <c r="R82" s="712">
        <f t="shared" ref="R82:R145" si="17">FoCase*Q81+(1-2*FoCase)*R81+FoCase*S81</f>
        <v>305.16381259576576</v>
      </c>
      <c r="S82" s="712">
        <f t="shared" ref="S82:S145" si="18">FoCase*R81+(1-2*FoCase)*S81+FoCase*T81</f>
        <v>300.42620089111756</v>
      </c>
      <c r="T82" s="712">
        <f t="shared" si="11"/>
        <v>299.15651452612479</v>
      </c>
    </row>
    <row r="83" spans="2:20" s="582" customFormat="1">
      <c r="B83" s="582">
        <v>9</v>
      </c>
      <c r="C83" s="712">
        <f t="shared" si="12"/>
        <v>0.13360909014541167</v>
      </c>
      <c r="D83" s="712">
        <f t="shared" si="1"/>
        <v>572.84097874107431</v>
      </c>
      <c r="E83" s="712">
        <f t="shared" si="2"/>
        <v>303.24352819665796</v>
      </c>
      <c r="F83" s="712">
        <f t="shared" si="3"/>
        <v>298.0575864830729</v>
      </c>
      <c r="G83" s="712">
        <f t="shared" si="4"/>
        <v>298.00040438992067</v>
      </c>
      <c r="H83" s="719">
        <f t="shared" si="5"/>
        <v>298.00000064321216</v>
      </c>
      <c r="I83" s="712">
        <f t="shared" si="6"/>
        <v>298.00000008970096</v>
      </c>
      <c r="J83" s="712">
        <f t="shared" si="7"/>
        <v>298.00000000928816</v>
      </c>
      <c r="K83" s="712">
        <f t="shared" si="8"/>
        <v>298.00000000063335</v>
      </c>
      <c r="L83" s="712">
        <f t="shared" si="9"/>
        <v>298.00000000004258</v>
      </c>
      <c r="N83" s="582">
        <v>9</v>
      </c>
      <c r="O83" s="712">
        <f t="shared" si="13"/>
        <v>0.13360909014541167</v>
      </c>
      <c r="P83" s="712">
        <f t="shared" si="10"/>
        <v>336.51006778672638</v>
      </c>
      <c r="Q83" s="712">
        <f t="shared" si="14"/>
        <v>317.66377156995998</v>
      </c>
      <c r="R83" s="712">
        <f t="shared" si="17"/>
        <v>306.58050381111525</v>
      </c>
      <c r="S83" s="712">
        <f t="shared" si="18"/>
        <v>301.27801984858843</v>
      </c>
      <c r="T83" s="712">
        <f t="shared" si="11"/>
        <v>299.78015399625997</v>
      </c>
    </row>
    <row r="84" spans="2:20" s="582" customFormat="1">
      <c r="B84" s="582">
        <v>10</v>
      </c>
      <c r="C84" s="712">
        <f t="shared" si="12"/>
        <v>0.14845454460601298</v>
      </c>
      <c r="D84" s="712">
        <f t="shared" si="1"/>
        <v>598.25502759347387</v>
      </c>
      <c r="E84" s="712">
        <f t="shared" si="2"/>
        <v>304.45987007768713</v>
      </c>
      <c r="F84" s="712">
        <f t="shared" si="3"/>
        <v>298.0811797266183</v>
      </c>
      <c r="G84" s="712">
        <f t="shared" si="4"/>
        <v>298.00066558082352</v>
      </c>
      <c r="H84" s="719">
        <f t="shared" si="5"/>
        <v>298.00000124856444</v>
      </c>
      <c r="I84" s="712">
        <f t="shared" si="6"/>
        <v>298.0000002059071</v>
      </c>
      <c r="J84" s="712">
        <f t="shared" si="7"/>
        <v>298.00000002691399</v>
      </c>
      <c r="K84" s="712">
        <f t="shared" si="8"/>
        <v>298.00000000261412</v>
      </c>
      <c r="L84" s="712">
        <f t="shared" si="9"/>
        <v>298.00000000033282</v>
      </c>
      <c r="N84" s="582">
        <v>10</v>
      </c>
      <c r="O84" s="712">
        <f t="shared" si="13"/>
        <v>0.14845454460601298</v>
      </c>
      <c r="P84" s="712">
        <f t="shared" si="10"/>
        <v>338.59742511460507</v>
      </c>
      <c r="Q84" s="712">
        <f t="shared" si="14"/>
        <v>319.57058736331862</v>
      </c>
      <c r="R84" s="712">
        <f t="shared" si="17"/>
        <v>308.00042516018141</v>
      </c>
      <c r="S84" s="712">
        <f t="shared" si="18"/>
        <v>302.2125399188867</v>
      </c>
      <c r="T84" s="712">
        <f t="shared" si="11"/>
        <v>300.51583339541361</v>
      </c>
    </row>
    <row r="85" spans="2:20" s="582" customFormat="1">
      <c r="B85" s="582">
        <v>11</v>
      </c>
      <c r="C85" s="712">
        <f t="shared" si="12"/>
        <v>0.16329999906661427</v>
      </c>
      <c r="D85" s="712">
        <f t="shared" si="1"/>
        <v>622.77839527754963</v>
      </c>
      <c r="E85" s="712">
        <f t="shared" si="2"/>
        <v>305.78203902508181</v>
      </c>
      <c r="F85" s="712">
        <f t="shared" si="3"/>
        <v>298.11015250290342</v>
      </c>
      <c r="G85" s="712">
        <f t="shared" si="4"/>
        <v>298.00103290474533</v>
      </c>
      <c r="H85" s="719">
        <f t="shared" si="5"/>
        <v>298.00000222427298</v>
      </c>
      <c r="I85" s="712">
        <f t="shared" si="6"/>
        <v>298.00000041804708</v>
      </c>
      <c r="J85" s="712">
        <f t="shared" si="7"/>
        <v>298.00000006491098</v>
      </c>
      <c r="K85" s="712">
        <f t="shared" si="8"/>
        <v>298.00000000802248</v>
      </c>
      <c r="L85" s="712">
        <f t="shared" si="9"/>
        <v>298.00000000145349</v>
      </c>
      <c r="N85" s="582">
        <v>11</v>
      </c>
      <c r="O85" s="712">
        <f t="shared" si="13"/>
        <v>0.16329999906661427</v>
      </c>
      <c r="P85" s="712">
        <f t="shared" si="10"/>
        <v>340.57783780947324</v>
      </c>
      <c r="Q85" s="712">
        <f t="shared" si="14"/>
        <v>321.40215435785325</v>
      </c>
      <c r="R85" s="712">
        <f t="shared" si="17"/>
        <v>309.42071327224727</v>
      </c>
      <c r="S85" s="712">
        <f t="shared" si="18"/>
        <v>303.21744724788596</v>
      </c>
      <c r="T85" s="712">
        <f t="shared" si="11"/>
        <v>301.34913006721985</v>
      </c>
    </row>
    <row r="86" spans="2:20" s="582" customFormat="1">
      <c r="B86" s="582">
        <v>12</v>
      </c>
      <c r="C86" s="712">
        <f t="shared" si="12"/>
        <v>0.17814545352721556</v>
      </c>
      <c r="D86" s="712">
        <f t="shared" si="1"/>
        <v>646.44366317070671</v>
      </c>
      <c r="E86" s="712">
        <f t="shared" si="2"/>
        <v>307.20498883927013</v>
      </c>
      <c r="F86" s="712">
        <f t="shared" si="3"/>
        <v>298.14494263056019</v>
      </c>
      <c r="G86" s="712">
        <f t="shared" si="4"/>
        <v>298.00153013377303</v>
      </c>
      <c r="H86" s="719">
        <f t="shared" si="5"/>
        <v>298.00000370894384</v>
      </c>
      <c r="I86" s="712">
        <f t="shared" si="6"/>
        <v>298.00000077496634</v>
      </c>
      <c r="J86" s="712">
        <f t="shared" si="7"/>
        <v>298.00000013767766</v>
      </c>
      <c r="K86" s="712">
        <f t="shared" si="8"/>
        <v>298.00000002038234</v>
      </c>
      <c r="L86" s="712">
        <f t="shared" si="9"/>
        <v>298.00000000468043</v>
      </c>
      <c r="N86" s="582">
        <v>12</v>
      </c>
      <c r="O86" s="712">
        <f t="shared" si="13"/>
        <v>0.17814545352721556</v>
      </c>
      <c r="P86" s="712">
        <f t="shared" si="10"/>
        <v>342.46781179030023</v>
      </c>
      <c r="Q86" s="712">
        <f t="shared" si="14"/>
        <v>323.16926046072564</v>
      </c>
      <c r="R86" s="712">
        <f t="shared" si="17"/>
        <v>310.83999384339211</v>
      </c>
      <c r="S86" s="712">
        <f t="shared" si="18"/>
        <v>304.28223130263524</v>
      </c>
      <c r="T86" s="712">
        <f t="shared" si="11"/>
        <v>302.26665857749407</v>
      </c>
    </row>
    <row r="87" spans="2:20" s="582" customFormat="1">
      <c r="B87" s="582">
        <v>13</v>
      </c>
      <c r="C87" s="712">
        <f t="shared" si="12"/>
        <v>0.19299090798781687</v>
      </c>
      <c r="D87" s="712">
        <f t="shared" si="1"/>
        <v>669.2822100034748</v>
      </c>
      <c r="E87" s="712">
        <f t="shared" si="2"/>
        <v>308.72387164199779</v>
      </c>
      <c r="F87" s="712">
        <f t="shared" si="3"/>
        <v>298.185960796031</v>
      </c>
      <c r="G87" s="712">
        <f t="shared" si="4"/>
        <v>298.00218283596598</v>
      </c>
      <c r="H87" s="719">
        <f t="shared" si="5"/>
        <v>298.0000058677681</v>
      </c>
      <c r="I87" s="712">
        <f t="shared" si="6"/>
        <v>298.00000133909703</v>
      </c>
      <c r="J87" s="712">
        <f t="shared" si="7"/>
        <v>298.00000026540249</v>
      </c>
      <c r="K87" s="712">
        <f t="shared" si="8"/>
        <v>298.00000004533649</v>
      </c>
      <c r="L87" s="712">
        <f t="shared" si="9"/>
        <v>298.00000001239368</v>
      </c>
      <c r="N87" s="582">
        <v>13</v>
      </c>
      <c r="O87" s="712">
        <f t="shared" si="13"/>
        <v>0.19299090798781687</v>
      </c>
      <c r="P87" s="712">
        <f t="shared" si="10"/>
        <v>344.28089963690962</v>
      </c>
      <c r="Q87" s="712">
        <f t="shared" si="14"/>
        <v>324.88111070444768</v>
      </c>
      <c r="R87" s="712">
        <f t="shared" si="17"/>
        <v>312.25763583508416</v>
      </c>
      <c r="S87" s="712">
        <f t="shared" si="18"/>
        <v>305.39791950651022</v>
      </c>
      <c r="T87" s="712">
        <f t="shared" si="11"/>
        <v>303.2564469739936</v>
      </c>
    </row>
    <row r="88" spans="2:20" s="582" customFormat="1">
      <c r="B88" s="582">
        <v>14</v>
      </c>
      <c r="C88" s="712">
        <f t="shared" si="12"/>
        <v>0.20783636244841816</v>
      </c>
      <c r="D88" s="712">
        <f t="shared" si="1"/>
        <v>691.32425636263895</v>
      </c>
      <c r="E88" s="712">
        <f t="shared" si="2"/>
        <v>310.334030394487</v>
      </c>
      <c r="F88" s="712">
        <f t="shared" si="3"/>
        <v>298.23359172377144</v>
      </c>
      <c r="G88" s="712">
        <f t="shared" si="4"/>
        <v>298.00301823414139</v>
      </c>
      <c r="H88" s="719">
        <f t="shared" si="5"/>
        <v>298.00000889354374</v>
      </c>
      <c r="I88" s="712">
        <f t="shared" si="6"/>
        <v>298.00000218773539</v>
      </c>
      <c r="J88" s="712">
        <f t="shared" si="7"/>
        <v>298.0000004750774</v>
      </c>
      <c r="K88" s="712">
        <f t="shared" si="8"/>
        <v>298.00000009129917</v>
      </c>
      <c r="L88" s="712">
        <f t="shared" si="9"/>
        <v>298.00000002857593</v>
      </c>
      <c r="N88" s="582">
        <v>14</v>
      </c>
      <c r="O88" s="712">
        <f t="shared" si="13"/>
        <v>0.20783636244841816</v>
      </c>
      <c r="P88" s="712">
        <f t="shared" si="10"/>
        <v>346.02839966343794</v>
      </c>
      <c r="Q88" s="712">
        <f t="shared" si="14"/>
        <v>326.54556198738601</v>
      </c>
      <c r="R88" s="712">
        <f t="shared" si="17"/>
        <v>313.67337530766952</v>
      </c>
      <c r="S88" s="712">
        <f t="shared" si="18"/>
        <v>306.55685146663438</v>
      </c>
      <c r="T88" s="712">
        <f t="shared" si="11"/>
        <v>304.30799781156253</v>
      </c>
    </row>
    <row r="89" spans="2:20" s="582" customFormat="1">
      <c r="B89" s="582">
        <v>15</v>
      </c>
      <c r="C89" s="712">
        <f t="shared" si="12"/>
        <v>0.22268181690901948</v>
      </c>
      <c r="D89" s="712">
        <f t="shared" si="1"/>
        <v>712.59890754624473</v>
      </c>
      <c r="E89" s="712">
        <f t="shared" si="2"/>
        <v>312.03099169453719</v>
      </c>
      <c r="F89" s="712">
        <f t="shared" si="3"/>
        <v>298.28819530061941</v>
      </c>
      <c r="G89" s="712">
        <f t="shared" si="4"/>
        <v>298.00406507134716</v>
      </c>
      <c r="H89" s="719">
        <f t="shared" si="5"/>
        <v>298.00001300749358</v>
      </c>
      <c r="I89" s="712">
        <f t="shared" si="6"/>
        <v>298.00000341419207</v>
      </c>
      <c r="J89" s="712">
        <f t="shared" si="7"/>
        <v>298.00000080148726</v>
      </c>
      <c r="K89" s="712">
        <f t="shared" si="8"/>
        <v>298.00000017015924</v>
      </c>
      <c r="L89" s="712">
        <f t="shared" si="9"/>
        <v>298.00000005938659</v>
      </c>
      <c r="N89" s="582">
        <v>15</v>
      </c>
      <c r="O89" s="712">
        <f t="shared" si="13"/>
        <v>0.22268181690901948</v>
      </c>
      <c r="P89" s="712">
        <f t="shared" si="10"/>
        <v>347.71982077266318</v>
      </c>
      <c r="Q89" s="712">
        <f t="shared" si="14"/>
        <v>328.16932181159888</v>
      </c>
      <c r="R89" s="712">
        <f t="shared" si="17"/>
        <v>315.08712625055648</v>
      </c>
      <c r="S89" s="712">
        <f t="shared" si="18"/>
        <v>307.75248670586689</v>
      </c>
      <c r="T89" s="712">
        <f t="shared" si="11"/>
        <v>305.41220828093839</v>
      </c>
    </row>
    <row r="90" spans="2:20" s="582" customFormat="1">
      <c r="B90" s="582">
        <v>16</v>
      </c>
      <c r="C90" s="712">
        <f t="shared" si="12"/>
        <v>0.23752727136962076</v>
      </c>
      <c r="D90" s="712">
        <f t="shared" si="1"/>
        <v>733.1341948315328</v>
      </c>
      <c r="E90" s="712">
        <f t="shared" si="2"/>
        <v>313.81045884220828</v>
      </c>
      <c r="F90" s="712">
        <f t="shared" si="3"/>
        <v>298.3501076560658</v>
      </c>
      <c r="G90" s="712">
        <f t="shared" si="4"/>
        <v>298.00535348274821</v>
      </c>
      <c r="H90" s="719">
        <f t="shared" si="5"/>
        <v>298.00001845990272</v>
      </c>
      <c r="I90" s="712">
        <f t="shared" si="6"/>
        <v>298.00000512882087</v>
      </c>
      <c r="J90" s="712">
        <f t="shared" si="7"/>
        <v>298.00000128816856</v>
      </c>
      <c r="K90" s="712">
        <f t="shared" si="8"/>
        <v>298.00000029802214</v>
      </c>
      <c r="L90" s="712">
        <f t="shared" si="9"/>
        <v>298.0000001137991</v>
      </c>
      <c r="N90" s="582">
        <v>16</v>
      </c>
      <c r="O90" s="712">
        <f t="shared" si="13"/>
        <v>0.23752727136962076</v>
      </c>
      <c r="P90" s="712">
        <f t="shared" si="10"/>
        <v>349.36321251425403</v>
      </c>
      <c r="Q90" s="712">
        <f t="shared" si="14"/>
        <v>329.75811710537516</v>
      </c>
      <c r="R90" s="712">
        <f t="shared" si="17"/>
        <v>316.49888593230946</v>
      </c>
      <c r="S90" s="712">
        <f t="shared" si="18"/>
        <v>308.97924076357987</v>
      </c>
      <c r="T90" s="712">
        <f t="shared" si="11"/>
        <v>306.56123512897062</v>
      </c>
    </row>
    <row r="91" spans="2:20" s="582" customFormat="1">
      <c r="B91" s="582">
        <v>17</v>
      </c>
      <c r="C91" s="712">
        <f t="shared" si="12"/>
        <v>0.25237272583022208</v>
      </c>
      <c r="D91" s="712">
        <f t="shared" si="1"/>
        <v>752.95711521459407</v>
      </c>
      <c r="E91" s="712">
        <f t="shared" si="2"/>
        <v>315.66830516411176</v>
      </c>
      <c r="F91" s="712">
        <f t="shared" si="3"/>
        <v>298.41964220009817</v>
      </c>
      <c r="G91" s="712">
        <f t="shared" si="4"/>
        <v>298.00691487366407</v>
      </c>
      <c r="H91" s="719">
        <f t="shared" si="5"/>
        <v>298.00002553059647</v>
      </c>
      <c r="I91" s="712">
        <f t="shared" si="6"/>
        <v>298.00000745993447</v>
      </c>
      <c r="J91" s="712">
        <f t="shared" si="7"/>
        <v>298.00000198833214</v>
      </c>
      <c r="K91" s="712">
        <f t="shared" si="8"/>
        <v>298.00000049597941</v>
      </c>
      <c r="L91" s="712">
        <f t="shared" si="9"/>
        <v>298.00000020428979</v>
      </c>
      <c r="N91" s="582">
        <v>17</v>
      </c>
      <c r="O91" s="712">
        <f t="shared" si="13"/>
        <v>0.25237272583022208</v>
      </c>
      <c r="P91" s="712">
        <f t="shared" si="10"/>
        <v>350.96541304892071</v>
      </c>
      <c r="Q91" s="712">
        <f t="shared" si="14"/>
        <v>331.31683793358633</v>
      </c>
      <c r="R91" s="712">
        <f t="shared" si="17"/>
        <v>317.90868795734787</v>
      </c>
      <c r="S91" s="712">
        <f t="shared" si="18"/>
        <v>310.23234538485133</v>
      </c>
      <c r="T91" s="712">
        <f t="shared" si="11"/>
        <v>307.74834543293815</v>
      </c>
    </row>
    <row r="92" spans="2:20" s="582" customFormat="1">
      <c r="B92" s="582">
        <v>18</v>
      </c>
      <c r="C92" s="712">
        <f t="shared" si="12"/>
        <v>0.26721818029082334</v>
      </c>
      <c r="D92" s="712">
        <f t="shared" si="1"/>
        <v>772.09366967835911</v>
      </c>
      <c r="E92" s="712">
        <f t="shared" si="2"/>
        <v>317.60056758670476</v>
      </c>
      <c r="F92" s="712">
        <f t="shared" si="3"/>
        <v>298.49709062022498</v>
      </c>
      <c r="G92" s="712">
        <f t="shared" si="4"/>
        <v>298.00878180350486</v>
      </c>
      <c r="H92" s="719">
        <f t="shared" si="5"/>
        <v>298.00003452927587</v>
      </c>
      <c r="I92" s="712">
        <f t="shared" si="6"/>
        <v>298.00001055461411</v>
      </c>
      <c r="J92" s="712">
        <f t="shared" si="7"/>
        <v>298.00000296574655</v>
      </c>
      <c r="K92" s="712">
        <f t="shared" si="8"/>
        <v>298.00000079089568</v>
      </c>
      <c r="L92" s="712">
        <f t="shared" si="9"/>
        <v>298.00000034756607</v>
      </c>
      <c r="N92" s="582">
        <v>18</v>
      </c>
      <c r="O92" s="712">
        <f t="shared" si="13"/>
        <v>0.26721818029082334</v>
      </c>
      <c r="P92" s="712">
        <f t="shared" si="10"/>
        <v>352.53224372901252</v>
      </c>
      <c r="Q92" s="712">
        <f t="shared" si="14"/>
        <v>332.84965998583039</v>
      </c>
      <c r="R92" s="712">
        <f t="shared" si="17"/>
        <v>319.31657934164292</v>
      </c>
      <c r="S92" s="712">
        <f t="shared" si="18"/>
        <v>311.50772920794611</v>
      </c>
      <c r="T92" s="712">
        <f t="shared" si="11"/>
        <v>308.96777201302569</v>
      </c>
    </row>
    <row r="93" spans="2:20" s="582" customFormat="1">
      <c r="B93" s="582">
        <v>19</v>
      </c>
      <c r="C93" s="712">
        <f t="shared" si="12"/>
        <v>0.28206363475142465</v>
      </c>
      <c r="D93" s="712">
        <f t="shared" si="1"/>
        <v>790.56890004343779</v>
      </c>
      <c r="E93" s="712">
        <f t="shared" si="2"/>
        <v>319.60344044933856</v>
      </c>
      <c r="F93" s="712">
        <f t="shared" si="3"/>
        <v>298.58272383922923</v>
      </c>
      <c r="G93" s="712">
        <f t="shared" si="4"/>
        <v>298.01098787536324</v>
      </c>
      <c r="H93" s="719">
        <f t="shared" si="5"/>
        <v>298.00004579572754</v>
      </c>
      <c r="I93" s="712">
        <f t="shared" si="6"/>
        <v>298.00001457942113</v>
      </c>
      <c r="J93" s="712">
        <f t="shared" si="7"/>
        <v>298.00000429557974</v>
      </c>
      <c r="K93" s="712">
        <f t="shared" si="8"/>
        <v>298.00000121620553</v>
      </c>
      <c r="L93" s="712">
        <f t="shared" si="9"/>
        <v>298.00000056532389</v>
      </c>
      <c r="N93" s="582">
        <v>19</v>
      </c>
      <c r="O93" s="712">
        <f t="shared" si="13"/>
        <v>0.28206363475142465</v>
      </c>
      <c r="P93" s="712">
        <f t="shared" si="10"/>
        <v>354.06866656180949</v>
      </c>
      <c r="Q93" s="712">
        <f t="shared" si="14"/>
        <v>334.36014905514526</v>
      </c>
      <c r="R93" s="712">
        <f t="shared" si="17"/>
        <v>320.72260963013053</v>
      </c>
      <c r="S93" s="712">
        <f t="shared" si="18"/>
        <v>312.80191591918026</v>
      </c>
      <c r="T93" s="712">
        <f t="shared" si="11"/>
        <v>310.21458127393265</v>
      </c>
    </row>
    <row r="94" spans="2:20">
      <c r="B94" s="582">
        <v>20</v>
      </c>
      <c r="C94" s="712">
        <f t="shared" si="12"/>
        <v>0.29690908921202597</v>
      </c>
      <c r="D94" s="712">
        <f t="shared" si="1"/>
        <v>808.40692445430614</v>
      </c>
      <c r="E94" s="712">
        <f t="shared" si="2"/>
        <v>321.67326954815621</v>
      </c>
      <c r="F94" s="712">
        <f t="shared" si="3"/>
        <v>298.67679293514095</v>
      </c>
      <c r="G94" s="712">
        <f t="shared" si="4"/>
        <v>298.01356763102905</v>
      </c>
      <c r="H94" s="719">
        <f t="shared" si="5"/>
        <v>298.00005969992174</v>
      </c>
      <c r="I94" s="712">
        <f t="shared" si="6"/>
        <v>298.000019721017</v>
      </c>
      <c r="J94" s="712">
        <f t="shared" si="7"/>
        <v>298.00000606519734</v>
      </c>
      <c r="K94" s="712">
        <f t="shared" si="8"/>
        <v>298.00000181271088</v>
      </c>
      <c r="L94" s="712">
        <f t="shared" si="9"/>
        <v>298.00000088502378</v>
      </c>
      <c r="N94" s="582">
        <v>20</v>
      </c>
      <c r="O94" s="712">
        <f t="shared" si="13"/>
        <v>0.29690908921202597</v>
      </c>
      <c r="P94" s="712">
        <f t="shared" si="10"/>
        <v>355.57891426692623</v>
      </c>
      <c r="Q94" s="712">
        <f t="shared" si="14"/>
        <v>335.85135019526354</v>
      </c>
      <c r="R94" s="712">
        <f t="shared" si="17"/>
        <v>322.126826007136</v>
      </c>
      <c r="S94" s="712">
        <f t="shared" si="18"/>
        <v>314.11193730493943</v>
      </c>
      <c r="T94" s="712">
        <f t="shared" si="11"/>
        <v>311.48455594959631</v>
      </c>
    </row>
    <row r="95" spans="2:20">
      <c r="B95" s="582">
        <v>21</v>
      </c>
      <c r="C95" s="712">
        <f t="shared" si="12"/>
        <v>0.31175454367262723</v>
      </c>
      <c r="D95" s="712">
        <f t="shared" si="1"/>
        <v>825.63097155139053</v>
      </c>
      <c r="E95" s="712">
        <f t="shared" si="2"/>
        <v>323.80654640226288</v>
      </c>
      <c r="F95" s="712">
        <f t="shared" si="3"/>
        <v>298.77953002486402</v>
      </c>
      <c r="G95" s="712">
        <f t="shared" si="4"/>
        <v>298.01655645120223</v>
      </c>
      <c r="H95" s="719">
        <f t="shared" si="5"/>
        <v>298.00007664201075</v>
      </c>
      <c r="I95" s="712">
        <f t="shared" si="6"/>
        <v>298.00002618669913</v>
      </c>
      <c r="J95" s="712">
        <f t="shared" si="7"/>
        <v>298.00000837491763</v>
      </c>
      <c r="K95" s="712">
        <f t="shared" si="8"/>
        <v>298.00000262937414</v>
      </c>
      <c r="L95" s="712">
        <f t="shared" si="9"/>
        <v>298.0000013406779</v>
      </c>
      <c r="N95" s="582">
        <v>21</v>
      </c>
      <c r="O95" s="712">
        <f t="shared" si="13"/>
        <v>0.31175454367262723</v>
      </c>
      <c r="P95" s="712">
        <f t="shared" si="10"/>
        <v>357.06659910401902</v>
      </c>
      <c r="Q95" s="712">
        <f t="shared" si="14"/>
        <v>337.32586382356362</v>
      </c>
      <c r="R95" s="712">
        <f t="shared" si="17"/>
        <v>323.52927135148923</v>
      </c>
      <c r="S95" s="712">
        <f t="shared" si="18"/>
        <v>315.43525901520997</v>
      </c>
      <c r="T95" s="712">
        <f t="shared" si="11"/>
        <v>312.7740927467982</v>
      </c>
    </row>
    <row r="96" spans="2:20">
      <c r="B96" s="582">
        <v>22</v>
      </c>
      <c r="C96" s="712">
        <f t="shared" si="12"/>
        <v>0.32659999813322854</v>
      </c>
      <c r="D96" s="712">
        <f t="shared" si="1"/>
        <v>842.2634133777301</v>
      </c>
      <c r="E96" s="712">
        <f t="shared" si="2"/>
        <v>325.99990273391285</v>
      </c>
      <c r="F96" s="712">
        <f t="shared" si="3"/>
        <v>298.89114911283701</v>
      </c>
      <c r="G96" s="712">
        <f t="shared" si="4"/>
        <v>298.01999046068869</v>
      </c>
      <c r="H96" s="719">
        <f t="shared" si="5"/>
        <v>298.00009705224011</v>
      </c>
      <c r="I96" s="712">
        <f t="shared" si="6"/>
        <v>298.00003420485842</v>
      </c>
      <c r="J96" s="712">
        <f t="shared" si="7"/>
        <v>298.00001133872144</v>
      </c>
      <c r="K96" s="712">
        <f t="shared" si="8"/>
        <v>298.00000372409988</v>
      </c>
      <c r="L96" s="712">
        <f t="shared" si="9"/>
        <v>298.00000197363994</v>
      </c>
      <c r="N96" s="582">
        <v>22</v>
      </c>
      <c r="O96" s="712">
        <f t="shared" si="13"/>
        <v>0.32659999813322854</v>
      </c>
      <c r="P96" s="712">
        <f t="shared" si="10"/>
        <v>358.53480467264404</v>
      </c>
      <c r="Q96" s="712">
        <f t="shared" si="14"/>
        <v>338.78591069141123</v>
      </c>
      <c r="R96" s="712">
        <f t="shared" si="17"/>
        <v>324.92998370553602</v>
      </c>
      <c r="S96" s="712">
        <f t="shared" si="18"/>
        <v>316.76971717689878</v>
      </c>
      <c r="T96" s="712">
        <f t="shared" si="11"/>
        <v>314.08011381179273</v>
      </c>
    </row>
    <row r="97" spans="2:20">
      <c r="B97" s="582">
        <v>23</v>
      </c>
      <c r="C97" s="712">
        <f t="shared" si="12"/>
        <v>0.34144545259382986</v>
      </c>
      <c r="D97" s="712">
        <f t="shared" si="1"/>
        <v>858.32579706709055</v>
      </c>
      <c r="E97" s="712">
        <f t="shared" si="2"/>
        <v>328.25010515476163</v>
      </c>
      <c r="F97" s="712">
        <f t="shared" si="3"/>
        <v>299.01184690605822</v>
      </c>
      <c r="G97" s="712">
        <f t="shared" si="4"/>
        <v>298.02390643837197</v>
      </c>
      <c r="H97" s="719">
        <f t="shared" si="5"/>
        <v>298.00012139078137</v>
      </c>
      <c r="I97" s="712">
        <f t="shared" si="6"/>
        <v>298.00004402536456</v>
      </c>
      <c r="J97" s="712">
        <f t="shared" si="7"/>
        <v>298.000015084918</v>
      </c>
      <c r="K97" s="712">
        <f t="shared" si="8"/>
        <v>298.00000516450115</v>
      </c>
      <c r="L97" s="712">
        <f t="shared" si="9"/>
        <v>298.00000283339074</v>
      </c>
      <c r="N97" s="582">
        <v>23</v>
      </c>
      <c r="O97" s="712">
        <f t="shared" si="13"/>
        <v>0.34144545259382986</v>
      </c>
      <c r="P97" s="712">
        <f t="shared" si="10"/>
        <v>359.98616372923385</v>
      </c>
      <c r="Q97" s="712">
        <f t="shared" si="14"/>
        <v>340.23338735562754</v>
      </c>
      <c r="R97" s="712">
        <f t="shared" si="17"/>
        <v>326.32899639399102</v>
      </c>
      <c r="S97" s="712">
        <f t="shared" si="18"/>
        <v>318.1134642695327</v>
      </c>
      <c r="T97" s="712">
        <f t="shared" si="11"/>
        <v>315.39999055813172</v>
      </c>
    </row>
    <row r="98" spans="2:20">
      <c r="B98" s="582">
        <v>24</v>
      </c>
      <c r="C98" s="712">
        <f t="shared" si="12"/>
        <v>0.35629090705443112</v>
      </c>
      <c r="D98" s="712">
        <f t="shared" si="1"/>
        <v>873.83887535866927</v>
      </c>
      <c r="E98" s="712">
        <f t="shared" si="2"/>
        <v>330.55405005052626</v>
      </c>
      <c r="F98" s="712">
        <f t="shared" si="3"/>
        <v>299.14180359675362</v>
      </c>
      <c r="G98" s="712">
        <f t="shared" si="4"/>
        <v>298.02834173176166</v>
      </c>
      <c r="H98" s="719">
        <f t="shared" si="5"/>
        <v>298.00015014749687</v>
      </c>
      <c r="I98" s="712">
        <f t="shared" si="6"/>
        <v>298.00005591988469</v>
      </c>
      <c r="J98" s="712">
        <f t="shared" si="7"/>
        <v>298.00001975676651</v>
      </c>
      <c r="K98" s="712">
        <f t="shared" si="8"/>
        <v>298.000007028646</v>
      </c>
      <c r="L98" s="712">
        <f t="shared" si="9"/>
        <v>298.00000397831417</v>
      </c>
      <c r="N98" s="582">
        <v>24</v>
      </c>
      <c r="O98" s="712">
        <f t="shared" si="13"/>
        <v>0.35629090705443112</v>
      </c>
      <c r="P98" s="712">
        <f t="shared" si="10"/>
        <v>361.4229243462575</v>
      </c>
      <c r="Q98" s="712">
        <f t="shared" si="14"/>
        <v>341.66991354249382</v>
      </c>
      <c r="R98" s="712">
        <f t="shared" si="17"/>
        <v>327.7263384153062</v>
      </c>
      <c r="S98" s="712">
        <f t="shared" si="18"/>
        <v>319.46492290901426</v>
      </c>
      <c r="T98" s="712">
        <f t="shared" si="11"/>
        <v>316.73147833229251</v>
      </c>
    </row>
    <row r="99" spans="2:20">
      <c r="B99" s="582">
        <v>25</v>
      </c>
      <c r="C99" s="712">
        <f t="shared" si="12"/>
        <v>0.37113636151503243</v>
      </c>
      <c r="D99" s="712">
        <f t="shared" si="1"/>
        <v>888.82263598185762</v>
      </c>
      <c r="E99" s="712">
        <f t="shared" si="2"/>
        <v>332.90875865668346</v>
      </c>
      <c r="F99" s="712">
        <f t="shared" si="3"/>
        <v>299.28118361391915</v>
      </c>
      <c r="G99" s="712">
        <f t="shared" si="4"/>
        <v>298.03333417592762</v>
      </c>
      <c r="H99" s="719">
        <f t="shared" si="5"/>
        <v>298.000183841644</v>
      </c>
      <c r="I99" s="712">
        <f t="shared" si="6"/>
        <v>298.00007018214006</v>
      </c>
      <c r="J99" s="712">
        <f t="shared" si="7"/>
        <v>298.00002551305397</v>
      </c>
      <c r="K99" s="712">
        <f t="shared" si="8"/>
        <v>298.00000940578019</v>
      </c>
      <c r="L99" s="712">
        <f t="shared" si="9"/>
        <v>298.00000547645908</v>
      </c>
      <c r="N99" s="582">
        <v>25</v>
      </c>
      <c r="O99" s="712">
        <f t="shared" si="13"/>
        <v>0.37113636151503243</v>
      </c>
      <c r="P99" s="712">
        <f t="shared" si="10"/>
        <v>362.84700625963586</v>
      </c>
      <c r="Q99" s="712">
        <f t="shared" si="14"/>
        <v>343.09687259058188</v>
      </c>
      <c r="R99" s="712">
        <f t="shared" si="17"/>
        <v>329.12203492269856</v>
      </c>
      <c r="S99" s="712">
        <f t="shared" si="18"/>
        <v>320.82274638355995</v>
      </c>
      <c r="T99" s="712">
        <f t="shared" si="11"/>
        <v>318.07266047690763</v>
      </c>
    </row>
    <row r="100" spans="2:20">
      <c r="B100" s="582">
        <v>26</v>
      </c>
      <c r="C100" s="712">
        <f t="shared" si="12"/>
        <v>0.38598181597563375</v>
      </c>
      <c r="D100" s="712">
        <f t="shared" si="1"/>
        <v>903.29632995291695</v>
      </c>
      <c r="E100" s="712">
        <f t="shared" si="2"/>
        <v>335.31137231810465</v>
      </c>
      <c r="F100" s="712">
        <f t="shared" si="3"/>
        <v>299.43013634492343</v>
      </c>
      <c r="G100" s="712">
        <f t="shared" si="4"/>
        <v>298.03892201663552</v>
      </c>
      <c r="H100" s="719">
        <f t="shared" si="5"/>
        <v>298.00022302152649</v>
      </c>
      <c r="I100" s="712">
        <f t="shared" si="6"/>
        <v>298.00008712810632</v>
      </c>
      <c r="J100" s="712">
        <f t="shared" si="7"/>
        <v>298.00003252862984</v>
      </c>
      <c r="K100" s="712">
        <f t="shared" si="8"/>
        <v>298.00001239702425</v>
      </c>
      <c r="L100" s="712">
        <f t="shared" si="9"/>
        <v>298.00000740628144</v>
      </c>
      <c r="N100" s="582">
        <v>26</v>
      </c>
      <c r="O100" s="712">
        <f t="shared" si="13"/>
        <v>0.38598181597563375</v>
      </c>
      <c r="P100" s="712">
        <f t="shared" si="10"/>
        <v>364.26004891021779</v>
      </c>
      <c r="Q100" s="712">
        <f t="shared" si="14"/>
        <v>344.51544598446344</v>
      </c>
      <c r="R100" s="712">
        <f t="shared" si="17"/>
        <v>330.51610770928357</v>
      </c>
      <c r="S100" s="712">
        <f t="shared" si="18"/>
        <v>322.18578495510798</v>
      </c>
      <c r="T100" s="712">
        <f t="shared" si="11"/>
        <v>319.42190049119699</v>
      </c>
    </row>
    <row r="101" spans="2:20">
      <c r="B101" s="582">
        <v>27</v>
      </c>
      <c r="C101" s="712">
        <f t="shared" si="12"/>
        <v>0.40082727043623506</v>
      </c>
      <c r="D101" s="712">
        <f t="shared" si="1"/>
        <v>917.27849882387272</v>
      </c>
      <c r="E101" s="712">
        <f t="shared" si="2"/>
        <v>337.75914792579431</v>
      </c>
      <c r="F101" s="712">
        <f t="shared" si="3"/>
        <v>299.58879682831082</v>
      </c>
      <c r="G101" s="712">
        <f t="shared" si="4"/>
        <v>298.04514383750768</v>
      </c>
      <c r="H101" s="719">
        <f t="shared" si="5"/>
        <v>298.00026826409953</v>
      </c>
      <c r="I101" s="712">
        <f t="shared" si="6"/>
        <v>298.00010709616089</v>
      </c>
      <c r="J101" s="712">
        <f t="shared" si="7"/>
        <v>298.00004099489803</v>
      </c>
      <c r="K101" s="712">
        <f t="shared" si="8"/>
        <v>298.00001611604148</v>
      </c>
      <c r="L101" s="712">
        <f t="shared" si="9"/>
        <v>298.00000985736443</v>
      </c>
      <c r="N101" s="582">
        <v>27</v>
      </c>
      <c r="O101" s="712">
        <f t="shared" si="13"/>
        <v>0.40082727043623506</v>
      </c>
      <c r="P101" s="712">
        <f t="shared" si="10"/>
        <v>365.66345242939832</v>
      </c>
      <c r="Q101" s="712">
        <f t="shared" si="14"/>
        <v>345.92664284302475</v>
      </c>
      <c r="R101" s="712">
        <f t="shared" si="17"/>
        <v>331.90857566001171</v>
      </c>
      <c r="S101" s="712">
        <f t="shared" si="18"/>
        <v>323.55305708378376</v>
      </c>
      <c r="T101" s="712">
        <f t="shared" si="11"/>
        <v>320.77780114241705</v>
      </c>
    </row>
    <row r="102" spans="2:20">
      <c r="B102" s="582">
        <v>28</v>
      </c>
      <c r="C102" s="712">
        <f t="shared" si="12"/>
        <v>0.41567272489683632</v>
      </c>
      <c r="D102" s="712">
        <f t="shared" si="1"/>
        <v>930.78700092244003</v>
      </c>
      <c r="E102" s="712">
        <f t="shared" si="2"/>
        <v>340.24945352414858</v>
      </c>
      <c r="F102" s="712">
        <f t="shared" si="3"/>
        <v>299.75728641890373</v>
      </c>
      <c r="G102" s="712">
        <f t="shared" si="4"/>
        <v>298.05203849103913</v>
      </c>
      <c r="H102" s="719">
        <f t="shared" si="5"/>
        <v>298.00032017453464</v>
      </c>
      <c r="I102" s="712">
        <f t="shared" si="6"/>
        <v>298.00013044718168</v>
      </c>
      <c r="J102" s="712">
        <f t="shared" si="7"/>
        <v>298.00005112026804</v>
      </c>
      <c r="K102" s="712">
        <f t="shared" si="8"/>
        <v>298.00002068967569</v>
      </c>
      <c r="L102" s="712">
        <f t="shared" si="9"/>
        <v>298.00001293111296</v>
      </c>
      <c r="N102" s="582">
        <v>28</v>
      </c>
      <c r="O102" s="712">
        <f t="shared" si="13"/>
        <v>0.41567272489683632</v>
      </c>
      <c r="P102" s="712">
        <f t="shared" si="10"/>
        <v>367.05841261822872</v>
      </c>
      <c r="Q102" s="712">
        <f t="shared" si="14"/>
        <v>347.33132509969619</v>
      </c>
      <c r="R102" s="712">
        <f t="shared" si="17"/>
        <v>333.29945515666748</v>
      </c>
      <c r="S102" s="712">
        <f t="shared" si="18"/>
        <v>324.9237248561509</v>
      </c>
      <c r="T102" s="712">
        <f t="shared" si="11"/>
        <v>322.13916953147356</v>
      </c>
    </row>
    <row r="103" spans="2:20">
      <c r="B103" s="582">
        <v>29</v>
      </c>
      <c r="C103" s="712">
        <f t="shared" si="12"/>
        <v>0.43051817935743764</v>
      </c>
      <c r="D103" s="712">
        <f t="shared" si="1"/>
        <v>943.83903662035414</v>
      </c>
      <c r="E103" s="712">
        <f t="shared" si="2"/>
        <v>342.77976408239698</v>
      </c>
      <c r="F103" s="712">
        <f t="shared" si="3"/>
        <v>299.93571342626115</v>
      </c>
      <c r="G103" s="712">
        <f t="shared" si="4"/>
        <v>298.05964503330614</v>
      </c>
      <c r="H103" s="719">
        <f t="shared" si="5"/>
        <v>298.00037938574934</v>
      </c>
      <c r="I103" s="712">
        <f t="shared" si="6"/>
        <v>298.00015756460147</v>
      </c>
      <c r="J103" s="712">
        <f t="shared" si="7"/>
        <v>298.00006313056508</v>
      </c>
      <c r="K103" s="712">
        <f t="shared" si="8"/>
        <v>298.00002625855706</v>
      </c>
      <c r="L103" s="712">
        <f t="shared" si="9"/>
        <v>298.00001674141998</v>
      </c>
      <c r="N103" s="582">
        <v>29</v>
      </c>
      <c r="O103" s="712">
        <f t="shared" si="13"/>
        <v>0.43051817935743764</v>
      </c>
      <c r="P103" s="712">
        <f t="shared" si="10"/>
        <v>368.44595080690186</v>
      </c>
      <c r="Q103" s="712">
        <f t="shared" si="14"/>
        <v>348.7302290040742</v>
      </c>
      <c r="R103" s="712">
        <f t="shared" si="17"/>
        <v>334.68876043337025</v>
      </c>
      <c r="S103" s="712">
        <f t="shared" si="18"/>
        <v>326.29707300309514</v>
      </c>
      <c r="T103" s="712">
        <f t="shared" si="11"/>
        <v>323.50498725229335</v>
      </c>
    </row>
    <row r="104" spans="2:20">
      <c r="B104" s="582">
        <v>30</v>
      </c>
      <c r="C104" s="712">
        <f t="shared" si="12"/>
        <v>0.44536363381803895</v>
      </c>
      <c r="D104" s="712">
        <f t="shared" si="1"/>
        <v>956.451172666096</v>
      </c>
      <c r="E104" s="712">
        <f t="shared" si="2"/>
        <v>345.34765742412458</v>
      </c>
      <c r="F104" s="712">
        <f t="shared" si="3"/>
        <v>300.1241737275102</v>
      </c>
      <c r="G104" s="712">
        <f t="shared" si="4"/>
        <v>298.06800266221029</v>
      </c>
      <c r="H104" s="719">
        <f t="shared" si="5"/>
        <v>298.00044655790737</v>
      </c>
      <c r="I104" s="712">
        <f t="shared" si="6"/>
        <v>298.00018885442057</v>
      </c>
      <c r="J104" s="712">
        <f t="shared" si="7"/>
        <v>298.00007726940089</v>
      </c>
      <c r="K104" s="712">
        <f t="shared" si="8"/>
        <v>298.00003297767455</v>
      </c>
      <c r="L104" s="712">
        <f t="shared" si="9"/>
        <v>298.00002141530342</v>
      </c>
      <c r="N104" s="582">
        <v>30</v>
      </c>
      <c r="O104" s="712">
        <f t="shared" si="13"/>
        <v>0.44536363381803895</v>
      </c>
      <c r="P104" s="712">
        <f t="shared" si="10"/>
        <v>369.82693934728781</v>
      </c>
      <c r="Q104" s="712">
        <f t="shared" si="14"/>
        <v>350.12398348239111</v>
      </c>
      <c r="R104" s="712">
        <f t="shared" si="17"/>
        <v>336.07650388503782</v>
      </c>
      <c r="S104" s="712">
        <f t="shared" si="18"/>
        <v>327.67249098292257</v>
      </c>
      <c r="T104" s="712">
        <f t="shared" si="11"/>
        <v>324.87438490559992</v>
      </c>
    </row>
    <row r="105" spans="2:20">
      <c r="B105" s="582">
        <v>31</v>
      </c>
      <c r="C105" s="712">
        <f t="shared" si="12"/>
        <v>0.46020908827864021</v>
      </c>
      <c r="D105" s="712">
        <f t="shared" si="1"/>
        <v>968.63936561666878</v>
      </c>
      <c r="E105" s="712">
        <f t="shared" si="2"/>
        <v>347.95081030899803</v>
      </c>
      <c r="F105" s="712">
        <f t="shared" si="3"/>
        <v>300.32275135553067</v>
      </c>
      <c r="G105" s="712">
        <f t="shared" si="4"/>
        <v>298.07715065910725</v>
      </c>
      <c r="H105" s="719">
        <f t="shared" si="5"/>
        <v>298.00052237789282</v>
      </c>
      <c r="I105" s="712">
        <f t="shared" si="6"/>
        <v>298.00022474518181</v>
      </c>
      <c r="J105" s="712">
        <f t="shared" si="7"/>
        <v>298.00009379850616</v>
      </c>
      <c r="K105" s="712">
        <f t="shared" si="8"/>
        <v>298.00004101691491</v>
      </c>
      <c r="L105" s="712">
        <f t="shared" si="9"/>
        <v>298.00002709351094</v>
      </c>
      <c r="N105" s="582">
        <v>31</v>
      </c>
      <c r="O105" s="712">
        <f t="shared" si="13"/>
        <v>0.46020908827864021</v>
      </c>
      <c r="P105" s="712">
        <f t="shared" si="10"/>
        <v>371.20212337888614</v>
      </c>
      <c r="Q105" s="712">
        <f t="shared" si="14"/>
        <v>351.51312581574331</v>
      </c>
      <c r="R105" s="712">
        <f t="shared" si="17"/>
        <v>337.46269633326881</v>
      </c>
      <c r="S105" s="712">
        <f t="shared" si="18"/>
        <v>329.04945768187929</v>
      </c>
      <c r="T105" s="712">
        <f t="shared" si="11"/>
        <v>326.24662033339001</v>
      </c>
    </row>
    <row r="106" spans="2:20">
      <c r="B106" s="582">
        <v>32</v>
      </c>
      <c r="C106" s="712">
        <f t="shared" si="12"/>
        <v>0.47505454273924153</v>
      </c>
      <c r="D106" s="712">
        <f t="shared" si="1"/>
        <v>980.41898440179807</v>
      </c>
      <c r="E106" s="712">
        <f t="shared" si="2"/>
        <v>350.58699466103747</v>
      </c>
      <c r="F106" s="712">
        <f t="shared" si="3"/>
        <v>300.53151906343481</v>
      </c>
      <c r="G106" s="712">
        <f t="shared" si="4"/>
        <v>298.08712833367622</v>
      </c>
      <c r="H106" s="719">
        <f t="shared" si="5"/>
        <v>298.00060755876262</v>
      </c>
      <c r="I106" s="712">
        <f t="shared" si="6"/>
        <v>298.00026568791009</v>
      </c>
      <c r="J106" s="712">
        <f t="shared" si="7"/>
        <v>298.00011299802583</v>
      </c>
      <c r="K106" s="712">
        <f t="shared" si="8"/>
        <v>298.00005056156692</v>
      </c>
      <c r="L106" s="712">
        <f t="shared" si="9"/>
        <v>298.00003393109267</v>
      </c>
      <c r="N106" s="582">
        <v>32</v>
      </c>
      <c r="O106" s="712">
        <f t="shared" si="13"/>
        <v>0.47505454273924153</v>
      </c>
      <c r="P106" s="712">
        <f t="shared" si="10"/>
        <v>372.57213941382082</v>
      </c>
      <c r="Q106" s="712">
        <f t="shared" si="14"/>
        <v>352.89811502793339</v>
      </c>
      <c r="R106" s="712">
        <f t="shared" si="17"/>
        <v>338.84734725463966</v>
      </c>
      <c r="S106" s="712">
        <f t="shared" si="18"/>
        <v>330.42752834971685</v>
      </c>
      <c r="T106" s="712">
        <f t="shared" si="11"/>
        <v>327.62106003179343</v>
      </c>
    </row>
    <row r="107" spans="2:20">
      <c r="B107" s="582">
        <v>33</v>
      </c>
      <c r="C107" s="712">
        <f t="shared" si="12"/>
        <v>0.48989999719984284</v>
      </c>
      <c r="D107" s="712">
        <f t="shared" ref="D107:D138" si="19">(1-2*FoAb-2*FoAb*BiCombAb)*D106+2*FoAb*E106+2*FoAb*BiCombAb*Tcomb</f>
        <v>991.80483205269218</v>
      </c>
      <c r="E107" s="712">
        <f t="shared" ref="E107:E138" si="20">FoAb*D106+(1-2*FoAb)*E106+FoAb*F106</f>
        <v>353.25407393798605</v>
      </c>
      <c r="F107" s="712">
        <f t="shared" ref="F107:F138" si="21">FoAb*E106+(1-2*FoAb)*F106+FoAb*G106</f>
        <v>300.75053886624926</v>
      </c>
      <c r="G107" s="712">
        <f t="shared" ref="G107:G138" si="22">FoAb*F106+(1-2*FoAb)*G106+FoAb*H106</f>
        <v>298.09797497189095</v>
      </c>
      <c r="H107" s="719">
        <f t="shared" ref="H107:H138" si="23">_FoN1*G106+(1-_FoN1-_FoN2)*H106+_FoN2*I106</f>
        <v>298.0007028391808</v>
      </c>
      <c r="I107" s="712">
        <f t="shared" ref="I107:I138" si="24">FoCase*H106+(1-2*FoCase)*I106+FoCase*J106</f>
        <v>298.00031215601985</v>
      </c>
      <c r="J107" s="712">
        <f t="shared" ref="J107:J138" si="25">FoCase*I106+(1-2*FoCase)*J106+FoCase*K106</f>
        <v>298.00013516677836</v>
      </c>
      <c r="K107" s="712">
        <f t="shared" ref="K107:K138" si="26">FoCase*J106+(1-2*FoCase)*K106+FoCase*L106</f>
        <v>298.00006181279127</v>
      </c>
      <c r="L107" s="712">
        <f t="shared" ref="L107:L138" si="27">(1-2*FoCase-2*FoCase*BiAtmCase)*L106+2*FoCase*K106+2*FoCase*BiAtmCase*Tatm</f>
        <v>298.00004209794002</v>
      </c>
      <c r="N107" s="582">
        <v>33</v>
      </c>
      <c r="O107" s="712">
        <f t="shared" si="13"/>
        <v>0.48989999719984284</v>
      </c>
      <c r="P107" s="712">
        <f t="shared" ref="P107:P138" si="28">(1-2*FoCase-2*FoCase*BiCombCase)*P106+2*FoCase*Q106+2*FoCase*BiCombCase*Tcomb</f>
        <v>373.93753120618993</v>
      </c>
      <c r="Q107" s="712">
        <f t="shared" si="14"/>
        <v>354.27934331752709</v>
      </c>
      <c r="R107" s="712">
        <f t="shared" si="17"/>
        <v>340.23046497628707</v>
      </c>
      <c r="S107" s="712">
        <f t="shared" si="18"/>
        <v>331.80632344379217</v>
      </c>
      <c r="T107" s="712">
        <f t="shared" ref="T107:T138" si="29">(1-2*FoCase-2*FoCase*BiAtmCase)*T106+2*FoCase*S106+2*FoCase*BiAtmCase*Tatm</f>
        <v>328.99716327861881</v>
      </c>
    </row>
    <row r="108" spans="2:20">
      <c r="B108" s="582">
        <v>34</v>
      </c>
      <c r="C108" s="712">
        <f t="shared" si="12"/>
        <v>0.50474545166044416</v>
      </c>
      <c r="D108" s="712">
        <f t="shared" si="19"/>
        <v>1002.811166626307</v>
      </c>
      <c r="E108" s="712">
        <f t="shared" si="20"/>
        <v>355.94999963653066</v>
      </c>
      <c r="F108" s="712">
        <f t="shared" si="21"/>
        <v>300.97986256067219</v>
      </c>
      <c r="G108" s="712">
        <f t="shared" si="22"/>
        <v>298.1097297869581</v>
      </c>
      <c r="H108" s="719">
        <f t="shared" si="23"/>
        <v>298.00080898283773</v>
      </c>
      <c r="I108" s="712">
        <f t="shared" si="24"/>
        <v>298.00036464519246</v>
      </c>
      <c r="J108" s="712">
        <f t="shared" si="25"/>
        <v>298.00016062248051</v>
      </c>
      <c r="K108" s="712">
        <f t="shared" si="26"/>
        <v>298.00007498805553</v>
      </c>
      <c r="L108" s="712">
        <f t="shared" si="27"/>
        <v>298.00005177929091</v>
      </c>
      <c r="N108" s="582">
        <v>34</v>
      </c>
      <c r="O108" s="712">
        <f t="shared" si="13"/>
        <v>0.50474545166044416</v>
      </c>
      <c r="P108" s="712">
        <f t="shared" si="28"/>
        <v>375.29876330280371</v>
      </c>
      <c r="Q108" s="712">
        <f t="shared" ref="Q108:Q139" si="30">FoCase*P107+(1-2*FoCase)*Q107+FoCase*R107</f>
        <v>355.65714581984162</v>
      </c>
      <c r="R108" s="712">
        <f t="shared" si="17"/>
        <v>341.61205684324159</v>
      </c>
      <c r="S108" s="712">
        <f t="shared" si="18"/>
        <v>333.18551910289062</v>
      </c>
      <c r="T108" s="712">
        <f t="shared" si="29"/>
        <v>330.37446857932122</v>
      </c>
    </row>
    <row r="109" spans="2:20">
      <c r="B109" s="582">
        <v>35</v>
      </c>
      <c r="C109" s="712">
        <f t="shared" si="12"/>
        <v>0.51959090612104541</v>
      </c>
      <c r="D109" s="712">
        <f t="shared" si="19"/>
        <v>1013.4517213549159</v>
      </c>
      <c r="E109" s="712">
        <f t="shared" si="20"/>
        <v>358.67280792832253</v>
      </c>
      <c r="F109" s="712">
        <f t="shared" si="21"/>
        <v>301.21953222374668</v>
      </c>
      <c r="G109" s="712">
        <f t="shared" si="22"/>
        <v>298.12243187309593</v>
      </c>
      <c r="H109" s="719">
        <f t="shared" si="23"/>
        <v>298.00092677785716</v>
      </c>
      <c r="I109" s="712">
        <f t="shared" si="24"/>
        <v>298.00042367322681</v>
      </c>
      <c r="J109" s="712">
        <f t="shared" si="25"/>
        <v>298.00018970193793</v>
      </c>
      <c r="K109" s="712">
        <f t="shared" si="26"/>
        <v>298.00009032153474</v>
      </c>
      <c r="L109" s="712">
        <f t="shared" si="27"/>
        <v>298.00006317619989</v>
      </c>
      <c r="N109" s="582">
        <v>35</v>
      </c>
      <c r="O109" s="712">
        <f t="shared" si="13"/>
        <v>0.51959090612104541</v>
      </c>
      <c r="P109" s="712">
        <f t="shared" si="28"/>
        <v>376.65623261418517</v>
      </c>
      <c r="Q109" s="712">
        <f t="shared" si="30"/>
        <v>357.03180894284276</v>
      </c>
      <c r="R109" s="712">
        <f t="shared" si="17"/>
        <v>342.99212936147921</v>
      </c>
      <c r="S109" s="712">
        <f t="shared" si="18"/>
        <v>334.56483901269155</v>
      </c>
      <c r="T109" s="712">
        <f t="shared" si="29"/>
        <v>331.75258209286136</v>
      </c>
    </row>
    <row r="110" spans="2:20">
      <c r="B110" s="582">
        <v>36</v>
      </c>
      <c r="C110" s="712">
        <f t="shared" si="12"/>
        <v>0.53443636058164667</v>
      </c>
      <c r="D110" s="712">
        <f t="shared" si="19"/>
        <v>1023.7397240496788</v>
      </c>
      <c r="E110" s="712">
        <f t="shared" si="20"/>
        <v>361.42061642193306</v>
      </c>
      <c r="F110" s="712">
        <f t="shared" si="21"/>
        <v>301.4695806912581</v>
      </c>
      <c r="G110" s="712">
        <f t="shared" si="22"/>
        <v>298.1361201620291</v>
      </c>
      <c r="H110" s="719">
        <f t="shared" si="23"/>
        <v>298.00105703619357</v>
      </c>
      <c r="I110" s="712">
        <f t="shared" si="24"/>
        <v>298.00048977986404</v>
      </c>
      <c r="J110" s="712">
        <f t="shared" si="25"/>
        <v>298.00022276120444</v>
      </c>
      <c r="K110" s="712">
        <f t="shared" si="26"/>
        <v>298.00010806447744</v>
      </c>
      <c r="L110" s="712">
        <f t="shared" si="27"/>
        <v>298.00007650597462</v>
      </c>
      <c r="N110" s="582">
        <v>36</v>
      </c>
      <c r="O110" s="712">
        <f t="shared" si="13"/>
        <v>0.53443636058164667</v>
      </c>
      <c r="P110" s="712">
        <f t="shared" si="28"/>
        <v>378.01027829512697</v>
      </c>
      <c r="Q110" s="712">
        <f t="shared" si="30"/>
        <v>358.40357748528209</v>
      </c>
      <c r="R110" s="712">
        <f t="shared" si="17"/>
        <v>344.37068832015871</v>
      </c>
      <c r="S110" s="712">
        <f t="shared" si="18"/>
        <v>335.94404745957638</v>
      </c>
      <c r="T110" s="712">
        <f t="shared" si="29"/>
        <v>333.13116774830331</v>
      </c>
    </row>
    <row r="111" spans="2:20">
      <c r="B111" s="582">
        <v>37</v>
      </c>
      <c r="C111" s="712">
        <f t="shared" si="12"/>
        <v>0.54928181504224804</v>
      </c>
      <c r="D111" s="712">
        <f t="shared" si="19"/>
        <v>1033.687915785843</v>
      </c>
      <c r="E111" s="712">
        <f t="shared" si="20"/>
        <v>364.19162104606221</v>
      </c>
      <c r="F111" s="712">
        <f t="shared" si="21"/>
        <v>301.73003201663477</v>
      </c>
      <c r="G111" s="712">
        <f t="shared" si="22"/>
        <v>298.15083338208188</v>
      </c>
      <c r="H111" s="719">
        <f t="shared" si="23"/>
        <v>298.00120059302185</v>
      </c>
      <c r="I111" s="712">
        <f t="shared" si="24"/>
        <v>298.00056352658981</v>
      </c>
      <c r="J111" s="712">
        <f t="shared" si="25"/>
        <v>298.0002601757094</v>
      </c>
      <c r="K111" s="712">
        <f t="shared" si="26"/>
        <v>298.00012848553865</v>
      </c>
      <c r="L111" s="712">
        <f t="shared" si="27"/>
        <v>298.00009200257745</v>
      </c>
      <c r="N111" s="582">
        <v>37</v>
      </c>
      <c r="O111" s="712">
        <f t="shared" si="13"/>
        <v>0.54928181504224804</v>
      </c>
      <c r="P111" s="712">
        <f t="shared" si="28"/>
        <v>379.36119018179522</v>
      </c>
      <c r="Q111" s="712">
        <f t="shared" si="30"/>
        <v>359.77266071497399</v>
      </c>
      <c r="R111" s="712">
        <f t="shared" si="17"/>
        <v>345.74773889604324</v>
      </c>
      <c r="S111" s="712">
        <f t="shared" si="18"/>
        <v>337.32294339917877</v>
      </c>
      <c r="T111" s="712">
        <f t="shared" si="29"/>
        <v>334.50993880519752</v>
      </c>
    </row>
    <row r="112" spans="2:20">
      <c r="B112" s="582">
        <v>38</v>
      </c>
      <c r="C112" s="712">
        <f t="shared" si="12"/>
        <v>0.5641272695028493</v>
      </c>
      <c r="D112" s="712">
        <f t="shared" si="19"/>
        <v>1043.3085688961833</v>
      </c>
      <c r="E112" s="712">
        <f t="shared" si="20"/>
        <v>366.98409304948819</v>
      </c>
      <c r="F112" s="712">
        <f t="shared" si="21"/>
        <v>302.00090191110002</v>
      </c>
      <c r="G112" s="712">
        <f t="shared" si="22"/>
        <v>298.16661001975575</v>
      </c>
      <c r="H112" s="719">
        <f t="shared" si="23"/>
        <v>298.00135830612226</v>
      </c>
      <c r="I112" s="712">
        <f t="shared" si="24"/>
        <v>298.00064549641485</v>
      </c>
      <c r="J112" s="712">
        <f t="shared" si="25"/>
        <v>298.00030234035614</v>
      </c>
      <c r="K112" s="712">
        <f t="shared" si="26"/>
        <v>298.00015187107846</v>
      </c>
      <c r="L112" s="712">
        <f t="shared" si="27"/>
        <v>298.00010991699327</v>
      </c>
      <c r="N112" s="582">
        <v>38</v>
      </c>
      <c r="O112" s="712">
        <f t="shared" si="13"/>
        <v>0.5641272695028493</v>
      </c>
      <c r="P112" s="712">
        <f t="shared" si="28"/>
        <v>380.70921599626905</v>
      </c>
      <c r="Q112" s="712">
        <f t="shared" si="30"/>
        <v>361.13923755912083</v>
      </c>
      <c r="R112" s="712">
        <f t="shared" si="17"/>
        <v>347.12328574268952</v>
      </c>
      <c r="S112" s="712">
        <f t="shared" si="18"/>
        <v>338.70135539143735</v>
      </c>
      <c r="T112" s="712">
        <f t="shared" si="29"/>
        <v>335.88865064685302</v>
      </c>
    </row>
    <row r="113" spans="2:20">
      <c r="B113" s="582">
        <v>39</v>
      </c>
      <c r="C113" s="712">
        <f t="shared" si="12"/>
        <v>0.57897272396345056</v>
      </c>
      <c r="D113" s="712">
        <f t="shared" si="19"/>
        <v>1052.6135042983062</v>
      </c>
      <c r="E113" s="712">
        <f t="shared" si="20"/>
        <v>369.7963761134173</v>
      </c>
      <c r="F113" s="712">
        <f t="shared" si="21"/>
        <v>302.28219816579741</v>
      </c>
      <c r="G113" s="712">
        <f t="shared" si="22"/>
        <v>298.18348828368255</v>
      </c>
      <c r="H113" s="719">
        <f t="shared" si="23"/>
        <v>298.00153105526095</v>
      </c>
      <c r="I113" s="712">
        <f t="shared" si="24"/>
        <v>298.00073629363652</v>
      </c>
      <c r="J113" s="712">
        <f t="shared" si="25"/>
        <v>298.00034966959106</v>
      </c>
      <c r="K113" s="712">
        <f t="shared" si="26"/>
        <v>298.00017852542919</v>
      </c>
      <c r="L113" s="712">
        <f t="shared" si="27"/>
        <v>298.00013051756315</v>
      </c>
      <c r="N113" s="582">
        <v>39</v>
      </c>
      <c r="O113" s="712">
        <f t="shared" si="13"/>
        <v>0.57897272396345056</v>
      </c>
      <c r="P113" s="712">
        <f t="shared" si="28"/>
        <v>382.05456749858689</v>
      </c>
      <c r="Q113" s="712">
        <f t="shared" si="30"/>
        <v>362.50346103640447</v>
      </c>
      <c r="R113" s="712">
        <f t="shared" si="17"/>
        <v>348.49733306661835</v>
      </c>
      <c r="S113" s="712">
        <f t="shared" si="18"/>
        <v>340.07913727556684</v>
      </c>
      <c r="T113" s="712">
        <f t="shared" si="29"/>
        <v>337.26709462640167</v>
      </c>
    </row>
    <row r="114" spans="2:20">
      <c r="B114" s="582">
        <v>40</v>
      </c>
      <c r="C114" s="712">
        <f t="shared" si="12"/>
        <v>0.59381817842405193</v>
      </c>
      <c r="D114" s="712">
        <f t="shared" si="19"/>
        <v>1061.6141081804888</v>
      </c>
      <c r="E114" s="712">
        <f t="shared" si="20"/>
        <v>372.6268835720515</v>
      </c>
      <c r="F114" s="712">
        <f t="shared" si="21"/>
        <v>302.57392105658312</v>
      </c>
      <c r="G114" s="712">
        <f t="shared" si="22"/>
        <v>298.20150607084838</v>
      </c>
      <c r="H114" s="719">
        <f t="shared" si="23"/>
        <v>298.00171974156945</v>
      </c>
      <c r="I114" s="712">
        <f t="shared" si="24"/>
        <v>298.00083654358224</v>
      </c>
      <c r="J114" s="712">
        <f t="shared" si="25"/>
        <v>298.00040259744617</v>
      </c>
      <c r="K114" s="712">
        <f t="shared" si="26"/>
        <v>298.00020877112968</v>
      </c>
      <c r="L114" s="712">
        <f t="shared" si="27"/>
        <v>298.00015409028566</v>
      </c>
      <c r="N114" s="582">
        <v>40</v>
      </c>
      <c r="O114" s="712">
        <f t="shared" si="13"/>
        <v>0.59381817842405193</v>
      </c>
      <c r="P114" s="712">
        <f t="shared" si="28"/>
        <v>383.3974257400601</v>
      </c>
      <c r="Q114" s="712">
        <f t="shared" si="30"/>
        <v>363.86546204161095</v>
      </c>
      <c r="R114" s="712">
        <f t="shared" si="17"/>
        <v>349.86988469236377</v>
      </c>
      <c r="S114" s="712">
        <f t="shared" si="18"/>
        <v>341.45616447685552</v>
      </c>
      <c r="T114" s="712">
        <f t="shared" si="29"/>
        <v>338.64509281186133</v>
      </c>
    </row>
    <row r="115" spans="2:20">
      <c r="B115" s="582">
        <v>41</v>
      </c>
      <c r="C115" s="712">
        <f t="shared" si="12"/>
        <v>0.60866363288465319</v>
      </c>
      <c r="D115" s="712">
        <f t="shared" si="19"/>
        <v>1070.3213480698132</v>
      </c>
      <c r="E115" s="712">
        <f t="shared" si="20"/>
        <v>375.47409573734797</v>
      </c>
      <c r="F115" s="712">
        <f t="shared" si="21"/>
        <v>302.87606373215198</v>
      </c>
      <c r="G115" s="712">
        <f t="shared" si="22"/>
        <v>298.22070093498746</v>
      </c>
      <c r="H115" s="719">
        <f t="shared" si="23"/>
        <v>298.00192528692298</v>
      </c>
      <c r="I115" s="712">
        <f t="shared" si="24"/>
        <v>298.0009468923372</v>
      </c>
      <c r="J115" s="712">
        <f t="shared" si="25"/>
        <v>298.00046157755514</v>
      </c>
      <c r="K115" s="712">
        <f t="shared" si="26"/>
        <v>298.00024294912942</v>
      </c>
      <c r="L115" s="712">
        <f t="shared" si="27"/>
        <v>298.00018093908506</v>
      </c>
      <c r="N115" s="582">
        <v>41</v>
      </c>
      <c r="O115" s="712">
        <f t="shared" si="13"/>
        <v>0.60866363288465319</v>
      </c>
      <c r="P115" s="712">
        <f t="shared" si="28"/>
        <v>384.73794554914724</v>
      </c>
      <c r="Q115" s="712">
        <f t="shared" si="30"/>
        <v>365.22535257737491</v>
      </c>
      <c r="R115" s="712">
        <f t="shared" si="17"/>
        <v>351.24094411802179</v>
      </c>
      <c r="S115" s="712">
        <f t="shared" si="18"/>
        <v>342.83233085298889</v>
      </c>
      <c r="T115" s="712">
        <f t="shared" si="29"/>
        <v>340.02249349886944</v>
      </c>
    </row>
    <row r="116" spans="2:20">
      <c r="B116" s="582">
        <v>42</v>
      </c>
      <c r="C116" s="712">
        <f t="shared" si="12"/>
        <v>0.62350908734525445</v>
      </c>
      <c r="D116" s="712">
        <f t="shared" si="19"/>
        <v>1078.7457883054774</v>
      </c>
      <c r="E116" s="712">
        <f t="shared" si="20"/>
        <v>378.33655732409397</v>
      </c>
      <c r="F116" s="712">
        <f t="shared" si="21"/>
        <v>303.18861258614118</v>
      </c>
      <c r="G116" s="712">
        <f t="shared" si="22"/>
        <v>298.2411100570493</v>
      </c>
      <c r="H116" s="719">
        <f t="shared" si="23"/>
        <v>298.00214863331996</v>
      </c>
      <c r="I116" s="712">
        <f t="shared" si="24"/>
        <v>298.00106800645676</v>
      </c>
      <c r="J116" s="712">
        <f t="shared" si="25"/>
        <v>298.00052708314473</v>
      </c>
      <c r="K116" s="712">
        <f t="shared" si="26"/>
        <v>298.00028141896178</v>
      </c>
      <c r="L116" s="712">
        <f t="shared" si="27"/>
        <v>298.00021138604774</v>
      </c>
      <c r="N116" s="582">
        <v>42</v>
      </c>
      <c r="O116" s="712">
        <f t="shared" si="13"/>
        <v>0.62350908734525445</v>
      </c>
      <c r="P116" s="712">
        <f t="shared" si="28"/>
        <v>386.07625936200486</v>
      </c>
      <c r="Q116" s="712">
        <f t="shared" si="30"/>
        <v>366.58322851381115</v>
      </c>
      <c r="R116" s="712">
        <f t="shared" si="17"/>
        <v>352.61051456268683</v>
      </c>
      <c r="S116" s="712">
        <f t="shared" si="18"/>
        <v>344.2075460010812</v>
      </c>
      <c r="T116" s="712">
        <f t="shared" si="29"/>
        <v>341.39916737894242</v>
      </c>
    </row>
    <row r="117" spans="2:20">
      <c r="B117" s="582">
        <v>43</v>
      </c>
      <c r="C117" s="712">
        <f t="shared" si="12"/>
        <v>0.63835454180585582</v>
      </c>
      <c r="D117" s="712">
        <f t="shared" si="19"/>
        <v>1086.8976049393091</v>
      </c>
      <c r="E117" s="712">
        <f t="shared" si="20"/>
        <v>381.21287497156305</v>
      </c>
      <c r="F117" s="712">
        <f t="shared" si="21"/>
        <v>303.51154761382952</v>
      </c>
      <c r="G117" s="712">
        <f t="shared" si="22"/>
        <v>298.26277021764645</v>
      </c>
      <c r="H117" s="719">
        <f t="shared" si="23"/>
        <v>298.00239074226323</v>
      </c>
      <c r="I117" s="712">
        <f t="shared" si="24"/>
        <v>298.00120057266599</v>
      </c>
      <c r="J117" s="712">
        <f t="shared" si="25"/>
        <v>298.00059960700236</v>
      </c>
      <c r="K117" s="712">
        <f t="shared" si="26"/>
        <v>298.00032455888834</v>
      </c>
      <c r="L117" s="712">
        <f t="shared" si="27"/>
        <v>298.00024577162804</v>
      </c>
      <c r="N117" s="582">
        <v>43</v>
      </c>
      <c r="O117" s="712">
        <f t="shared" si="13"/>
        <v>0.63835454180585582</v>
      </c>
      <c r="P117" s="712">
        <f t="shared" si="28"/>
        <v>387.41248049344659</v>
      </c>
      <c r="Q117" s="712">
        <f t="shared" si="30"/>
        <v>367.9391719450033</v>
      </c>
      <c r="R117" s="712">
        <f t="shared" si="17"/>
        <v>353.97859900695846</v>
      </c>
      <c r="S117" s="712">
        <f t="shared" si="18"/>
        <v>345.58173295811275</v>
      </c>
      <c r="T117" s="712">
        <f t="shared" si="29"/>
        <v>342.77500426749879</v>
      </c>
    </row>
    <row r="118" spans="2:20">
      <c r="B118" s="582">
        <v>44</v>
      </c>
      <c r="C118" s="712">
        <f t="shared" si="12"/>
        <v>0.65319999626645708</v>
      </c>
      <c r="D118" s="712">
        <f t="shared" si="19"/>
        <v>1094.7866000847048</v>
      </c>
      <c r="E118" s="712">
        <f t="shared" si="20"/>
        <v>384.10171485815988</v>
      </c>
      <c r="F118" s="712">
        <f t="shared" si="21"/>
        <v>303.84484275402696</v>
      </c>
      <c r="G118" s="712">
        <f t="shared" si="22"/>
        <v>298.28571777139376</v>
      </c>
      <c r="H118" s="719">
        <f t="shared" si="23"/>
        <v>298.00265259414459</v>
      </c>
      <c r="I118" s="712">
        <f t="shared" si="24"/>
        <v>298.00134529754655</v>
      </c>
      <c r="J118" s="712">
        <f t="shared" si="25"/>
        <v>298.00067966142115</v>
      </c>
      <c r="K118" s="712">
        <f t="shared" si="26"/>
        <v>298.00037276601495</v>
      </c>
      <c r="L118" s="712">
        <f t="shared" si="27"/>
        <v>298.00028445482366</v>
      </c>
      <c r="N118" s="582">
        <v>44</v>
      </c>
      <c r="O118" s="712">
        <f t="shared" si="13"/>
        <v>0.65319999626645708</v>
      </c>
      <c r="P118" s="712">
        <f t="shared" si="28"/>
        <v>388.74670593006158</v>
      </c>
      <c r="Q118" s="712">
        <f t="shared" si="30"/>
        <v>369.2932532012419</v>
      </c>
      <c r="R118" s="712">
        <f t="shared" si="17"/>
        <v>355.34520022753208</v>
      </c>
      <c r="S118" s="712">
        <f t="shared" si="18"/>
        <v>346.95482623730112</v>
      </c>
      <c r="T118" s="712">
        <f t="shared" si="29"/>
        <v>344.14991030987176</v>
      </c>
    </row>
    <row r="119" spans="2:20">
      <c r="B119" s="582">
        <v>45</v>
      </c>
      <c r="C119" s="712">
        <f t="shared" si="12"/>
        <v>0.66804545072705834</v>
      </c>
      <c r="D119" s="712">
        <f t="shared" si="19"/>
        <v>1102.4222157344163</v>
      </c>
      <c r="E119" s="712">
        <f t="shared" si="20"/>
        <v>387.00180040559115</v>
      </c>
      <c r="F119" s="712">
        <f t="shared" si="21"/>
        <v>304.18846621672782</v>
      </c>
      <c r="G119" s="712">
        <f t="shared" si="22"/>
        <v>298.30998862305404</v>
      </c>
      <c r="H119" s="719">
        <f t="shared" si="23"/>
        <v>298.00293518763283</v>
      </c>
      <c r="I119" s="712">
        <f t="shared" si="24"/>
        <v>298.00150290721263</v>
      </c>
      <c r="J119" s="712">
        <f t="shared" si="25"/>
        <v>298.00076777812365</v>
      </c>
      <c r="K119" s="712">
        <f t="shared" si="26"/>
        <v>298.00042645638018</v>
      </c>
      <c r="L119" s="712">
        <f t="shared" si="27"/>
        <v>298.00032781332158</v>
      </c>
      <c r="N119" s="582">
        <v>45</v>
      </c>
      <c r="O119" s="712">
        <f t="shared" si="13"/>
        <v>0.66804545072705834</v>
      </c>
      <c r="P119" s="712">
        <f t="shared" si="28"/>
        <v>390.07901871529708</v>
      </c>
      <c r="Q119" s="712">
        <f t="shared" si="30"/>
        <v>370.64553256730352</v>
      </c>
      <c r="R119" s="712">
        <f t="shared" si="17"/>
        <v>356.71032082673599</v>
      </c>
      <c r="S119" s="712">
        <f t="shared" si="18"/>
        <v>348.32677015133174</v>
      </c>
      <c r="T119" s="712">
        <f t="shared" si="29"/>
        <v>345.52380559548493</v>
      </c>
    </row>
    <row r="120" spans="2:20">
      <c r="B120" s="582">
        <v>46</v>
      </c>
      <c r="C120" s="712">
        <f t="shared" si="12"/>
        <v>0.68289090518765971</v>
      </c>
      <c r="D120" s="712">
        <f t="shared" si="19"/>
        <v>1109.8135470668644</v>
      </c>
      <c r="E120" s="712">
        <f t="shared" si="20"/>
        <v>389.91191006923083</v>
      </c>
      <c r="F120" s="712">
        <f t="shared" si="21"/>
        <v>304.54238079707824</v>
      </c>
      <c r="G120" s="712">
        <f t="shared" si="22"/>
        <v>298.33561820540706</v>
      </c>
      <c r="H120" s="719">
        <f t="shared" si="23"/>
        <v>298.00323953906661</v>
      </c>
      <c r="I120" s="712">
        <f t="shared" si="24"/>
        <v>298.00167414697762</v>
      </c>
      <c r="J120" s="712">
        <f t="shared" si="25"/>
        <v>298.00086450816531</v>
      </c>
      <c r="K120" s="712">
        <f t="shared" si="26"/>
        <v>298.00048606501764</v>
      </c>
      <c r="L120" s="712">
        <f t="shared" si="27"/>
        <v>298.00037624361624</v>
      </c>
      <c r="N120" s="582">
        <v>46</v>
      </c>
      <c r="O120" s="712">
        <f t="shared" si="13"/>
        <v>0.68289090518765971</v>
      </c>
      <c r="P120" s="712">
        <f t="shared" si="28"/>
        <v>391.40948998611367</v>
      </c>
      <c r="Q120" s="712">
        <f t="shared" si="30"/>
        <v>371.99606174971314</v>
      </c>
      <c r="R120" s="712">
        <f t="shared" si="17"/>
        <v>358.07396325775471</v>
      </c>
      <c r="S120" s="712">
        <f t="shared" si="18"/>
        <v>349.69751738054123</v>
      </c>
      <c r="T120" s="712">
        <f t="shared" si="29"/>
        <v>346.89662212056396</v>
      </c>
    </row>
    <row r="121" spans="2:20">
      <c r="B121" s="582">
        <v>47</v>
      </c>
      <c r="C121" s="712">
        <f t="shared" si="12"/>
        <v>0.69773635964826097</v>
      </c>
      <c r="D121" s="712">
        <f t="shared" si="19"/>
        <v>1116.9693552599176</v>
      </c>
      <c r="E121" s="712">
        <f t="shared" si="20"/>
        <v>392.83087521147058</v>
      </c>
      <c r="F121" s="712">
        <f t="shared" si="21"/>
        <v>304.90654417618902</v>
      </c>
      <c r="G121" s="712">
        <f t="shared" si="22"/>
        <v>298.36264145876396</v>
      </c>
      <c r="H121" s="719">
        <f t="shared" si="23"/>
        <v>298.00356668185259</v>
      </c>
      <c r="I121" s="712">
        <f t="shared" si="24"/>
        <v>298.00185978101104</v>
      </c>
      <c r="J121" s="712">
        <f t="shared" si="25"/>
        <v>298.00097042181847</v>
      </c>
      <c r="K121" s="712">
        <f t="shared" si="26"/>
        <v>298.00055204599289</v>
      </c>
      <c r="L121" s="712">
        <f t="shared" si="27"/>
        <v>298.00043016110004</v>
      </c>
      <c r="N121" s="582">
        <v>47</v>
      </c>
      <c r="O121" s="712">
        <f t="shared" si="13"/>
        <v>0.69773635964826097</v>
      </c>
      <c r="P121" s="712">
        <f t="shared" si="28"/>
        <v>392.73818071211423</v>
      </c>
      <c r="Q121" s="712">
        <f t="shared" si="30"/>
        <v>373.34488512966061</v>
      </c>
      <c r="R121" s="712">
        <f t="shared" si="17"/>
        <v>359.4361298461672</v>
      </c>
      <c r="S121" s="712">
        <f t="shared" si="18"/>
        <v>351.06702775026918</v>
      </c>
      <c r="T121" s="712">
        <f t="shared" si="29"/>
        <v>348.26830204846721</v>
      </c>
    </row>
    <row r="122" spans="2:20">
      <c r="B122" s="582">
        <v>48</v>
      </c>
      <c r="C122" s="712">
        <f t="shared" si="12"/>
        <v>0.71258181410886223</v>
      </c>
      <c r="D122" s="712">
        <f t="shared" si="19"/>
        <v>1123.8980798303812</v>
      </c>
      <c r="E122" s="712">
        <f t="shared" si="20"/>
        <v>395.75757805496579</v>
      </c>
      <c r="F122" s="712">
        <f t="shared" si="21"/>
        <v>305.28090920930271</v>
      </c>
      <c r="G122" s="712">
        <f t="shared" si="22"/>
        <v>298.3910928120514</v>
      </c>
      <c r="H122" s="719">
        <f t="shared" si="23"/>
        <v>298.00391766586961</v>
      </c>
      <c r="I122" s="712">
        <f t="shared" si="24"/>
        <v>298.00206059198791</v>
      </c>
      <c r="J122" s="712">
        <f t="shared" si="25"/>
        <v>298.00108610843841</v>
      </c>
      <c r="K122" s="712">
        <f t="shared" si="26"/>
        <v>298.00062487241581</v>
      </c>
      <c r="L122" s="712">
        <f t="shared" si="27"/>
        <v>298.00049000012746</v>
      </c>
      <c r="N122" s="582">
        <v>48</v>
      </c>
      <c r="O122" s="712">
        <f t="shared" si="13"/>
        <v>0.71258181410886223</v>
      </c>
      <c r="P122" s="712">
        <f t="shared" si="28"/>
        <v>394.06514318061039</v>
      </c>
      <c r="Q122" s="712">
        <f t="shared" si="30"/>
        <v>374.69204083288332</v>
      </c>
      <c r="R122" s="712">
        <f t="shared" si="17"/>
        <v>360.79682280833936</v>
      </c>
      <c r="S122" s="712">
        <f t="shared" si="18"/>
        <v>352.43526718682256</v>
      </c>
      <c r="T122" s="712">
        <f t="shared" si="29"/>
        <v>349.63879622415857</v>
      </c>
    </row>
    <row r="123" spans="2:20">
      <c r="B123" s="582">
        <v>49</v>
      </c>
      <c r="C123" s="712">
        <f t="shared" si="12"/>
        <v>0.7274272685694636</v>
      </c>
      <c r="D123" s="712">
        <f t="shared" si="19"/>
        <v>1130.6078505167632</v>
      </c>
      <c r="E123" s="712">
        <f t="shared" si="20"/>
        <v>398.69094971280191</v>
      </c>
      <c r="F123" s="712">
        <f t="shared" si="21"/>
        <v>305.66542420180804</v>
      </c>
      <c r="G123" s="712">
        <f t="shared" si="22"/>
        <v>298.42100616539204</v>
      </c>
      <c r="H123" s="719">
        <f t="shared" si="23"/>
        <v>298.00429355687942</v>
      </c>
      <c r="I123" s="712">
        <f t="shared" si="24"/>
        <v>298.00227738073136</v>
      </c>
      <c r="J123" s="712">
        <f t="shared" si="25"/>
        <v>298.00121217631204</v>
      </c>
      <c r="K123" s="712">
        <f t="shared" si="26"/>
        <v>298.00070503642996</v>
      </c>
      <c r="L123" s="712">
        <f t="shared" si="27"/>
        <v>298.00055621405374</v>
      </c>
      <c r="N123" s="582">
        <v>49</v>
      </c>
      <c r="O123" s="712">
        <f t="shared" si="13"/>
        <v>0.7274272685694636</v>
      </c>
      <c r="P123" s="712">
        <f t="shared" si="28"/>
        <v>395.39042226474197</v>
      </c>
      <c r="Q123" s="712">
        <f t="shared" si="30"/>
        <v>376.03756164325449</v>
      </c>
      <c r="R123" s="712">
        <f t="shared" si="17"/>
        <v>362.15604426712974</v>
      </c>
      <c r="S123" s="712">
        <f t="shared" si="18"/>
        <v>353.80220682595916</v>
      </c>
      <c r="T123" s="712">
        <f t="shared" si="29"/>
        <v>351.00806290569528</v>
      </c>
    </row>
    <row r="124" spans="2:20">
      <c r="B124" s="582">
        <v>50</v>
      </c>
      <c r="C124" s="712">
        <f t="shared" si="12"/>
        <v>0.74227272303006486</v>
      </c>
      <c r="D124" s="712">
        <f t="shared" si="19"/>
        <v>1137.1064987222298</v>
      </c>
      <c r="E124" s="712">
        <f t="shared" si="20"/>
        <v>401.62996829271685</v>
      </c>
      <c r="F124" s="712">
        <f t="shared" si="21"/>
        <v>306.06003317357232</v>
      </c>
      <c r="G124" s="712">
        <f t="shared" si="22"/>
        <v>298.45241487411283</v>
      </c>
      <c r="H124" s="719">
        <f t="shared" si="23"/>
        <v>298.00469543594397</v>
      </c>
      <c r="I124" s="712">
        <f t="shared" si="24"/>
        <v>298.0025109658485</v>
      </c>
      <c r="J124" s="712">
        <f t="shared" si="25"/>
        <v>298.00134925249034</v>
      </c>
      <c r="K124" s="712">
        <f t="shared" si="26"/>
        <v>298.00079304917949</v>
      </c>
      <c r="L124" s="712">
        <f t="shared" si="27"/>
        <v>298.00062927524954</v>
      </c>
      <c r="N124" s="582">
        <v>50</v>
      </c>
      <c r="O124" s="712">
        <f t="shared" si="13"/>
        <v>0.74227272303006486</v>
      </c>
      <c r="P124" s="712">
        <f t="shared" si="28"/>
        <v>396.71405650634159</v>
      </c>
      <c r="Q124" s="712">
        <f t="shared" si="30"/>
        <v>377.38147578290938</v>
      </c>
      <c r="R124" s="712">
        <f t="shared" si="17"/>
        <v>363.51379626530087</v>
      </c>
      <c r="S124" s="712">
        <f t="shared" si="18"/>
        <v>355.16782225160927</v>
      </c>
      <c r="T124" s="712">
        <f t="shared" si="29"/>
        <v>352.37606668102768</v>
      </c>
    </row>
    <row r="125" spans="2:20">
      <c r="B125" s="582">
        <v>51</v>
      </c>
      <c r="C125" s="712">
        <f t="shared" si="12"/>
        <v>0.75711817749066623</v>
      </c>
      <c r="D125" s="712">
        <f t="shared" si="19"/>
        <v>1143.4015685340432</v>
      </c>
      <c r="E125" s="712">
        <f t="shared" si="20"/>
        <v>404.57365707262079</v>
      </c>
      <c r="F125" s="712">
        <f t="shared" si="21"/>
        <v>306.46467611204821</v>
      </c>
      <c r="G125" s="712">
        <f t="shared" si="22"/>
        <v>298.48535173411346</v>
      </c>
      <c r="H125" s="719">
        <f t="shared" si="23"/>
        <v>298.00512439885074</v>
      </c>
      <c r="I125" s="712">
        <f t="shared" si="24"/>
        <v>298.00276218336114</v>
      </c>
      <c r="J125" s="712">
        <f t="shared" si="25"/>
        <v>298.00149798260611</v>
      </c>
      <c r="K125" s="712">
        <f t="shared" si="26"/>
        <v>298.00088944075469</v>
      </c>
      <c r="L125" s="712">
        <f t="shared" si="27"/>
        <v>298.00070967509185</v>
      </c>
      <c r="N125" s="582">
        <v>51</v>
      </c>
      <c r="O125" s="712">
        <f t="shared" si="13"/>
        <v>0.75711817749066623</v>
      </c>
      <c r="P125" s="712">
        <f t="shared" si="28"/>
        <v>398.03607904060914</v>
      </c>
      <c r="Q125" s="712">
        <f t="shared" si="30"/>
        <v>378.72380757840546</v>
      </c>
      <c r="R125" s="712">
        <f t="shared" si="17"/>
        <v>364.87008077697237</v>
      </c>
      <c r="S125" s="712">
        <f t="shared" si="18"/>
        <v>356.53209284580998</v>
      </c>
      <c r="T125" s="712">
        <f t="shared" si="29"/>
        <v>353.74277754304006</v>
      </c>
    </row>
    <row r="126" spans="2:20">
      <c r="B126" s="582">
        <v>52</v>
      </c>
      <c r="C126" s="712">
        <f t="shared" si="12"/>
        <v>0.77196363195126749</v>
      </c>
      <c r="D126" s="712">
        <f t="shared" si="19"/>
        <v>1149.5003273351635</v>
      </c>
      <c r="E126" s="712">
        <f t="shared" si="20"/>
        <v>407.52108274475751</v>
      </c>
      <c r="F126" s="712">
        <f t="shared" si="21"/>
        <v>306.87928921459041</v>
      </c>
      <c r="G126" s="712">
        <f t="shared" si="22"/>
        <v>298.51984896853128</v>
      </c>
      <c r="H126" s="719">
        <f t="shared" si="23"/>
        <v>298.00558155554501</v>
      </c>
      <c r="I126" s="712">
        <f t="shared" si="24"/>
        <v>298.00303188633194</v>
      </c>
      <c r="J126" s="712">
        <f t="shared" si="25"/>
        <v>298.00165903067636</v>
      </c>
      <c r="K126" s="712">
        <f t="shared" si="26"/>
        <v>298.00099476011718</v>
      </c>
      <c r="L126" s="712">
        <f t="shared" si="27"/>
        <v>298.00079792393279</v>
      </c>
      <c r="N126" s="582">
        <v>52</v>
      </c>
      <c r="O126" s="712">
        <f t="shared" si="13"/>
        <v>0.77196363195126749</v>
      </c>
      <c r="P126" s="712">
        <f t="shared" si="28"/>
        <v>399.35651838570328</v>
      </c>
      <c r="Q126" s="712">
        <f t="shared" si="30"/>
        <v>380.06457802956743</v>
      </c>
      <c r="R126" s="712">
        <f t="shared" si="17"/>
        <v>366.22489971740043</v>
      </c>
      <c r="S126" s="712">
        <f t="shared" si="18"/>
        <v>357.89500123360534</v>
      </c>
      <c r="T126" s="712">
        <f t="shared" si="29"/>
        <v>355.10817009971487</v>
      </c>
    </row>
    <row r="127" spans="2:20">
      <c r="B127" s="582">
        <v>53</v>
      </c>
      <c r="C127" s="712">
        <f t="shared" si="12"/>
        <v>0.78680908641186875</v>
      </c>
      <c r="D127" s="712">
        <f t="shared" si="19"/>
        <v>1155.4097760231223</v>
      </c>
      <c r="E127" s="712">
        <f t="shared" si="20"/>
        <v>410.47135372595051</v>
      </c>
      <c r="F127" s="712">
        <f t="shared" si="21"/>
        <v>307.30380512040603</v>
      </c>
      <c r="G127" s="712">
        <f t="shared" si="22"/>
        <v>298.55593821564077</v>
      </c>
      <c r="H127" s="719">
        <f t="shared" si="23"/>
        <v>298.00606802957077</v>
      </c>
      <c r="I127" s="712">
        <f t="shared" si="24"/>
        <v>298.00332094448618</v>
      </c>
      <c r="J127" s="712">
        <f t="shared" si="25"/>
        <v>298.00183307889222</v>
      </c>
      <c r="K127" s="712">
        <f t="shared" si="26"/>
        <v>298.0011095750059</v>
      </c>
      <c r="L127" s="712">
        <f t="shared" si="27"/>
        <v>298.00089455104711</v>
      </c>
      <c r="N127" s="582">
        <v>53</v>
      </c>
      <c r="O127" s="712">
        <f t="shared" si="13"/>
        <v>0.78680908641186875</v>
      </c>
      <c r="P127" s="712">
        <f t="shared" si="28"/>
        <v>400.67539911698583</v>
      </c>
      <c r="Q127" s="712">
        <f t="shared" si="30"/>
        <v>381.40380529523082</v>
      </c>
      <c r="R127" s="712">
        <f t="shared" si="17"/>
        <v>367.57825495132954</v>
      </c>
      <c r="S127" s="712">
        <f t="shared" si="18"/>
        <v>359.25653280903884</v>
      </c>
      <c r="T127" s="712">
        <f t="shared" si="29"/>
        <v>356.47222289968187</v>
      </c>
    </row>
    <row r="128" spans="2:20">
      <c r="B128" s="582">
        <v>54</v>
      </c>
      <c r="C128" s="712">
        <f t="shared" si="12"/>
        <v>0.80165454087247012</v>
      </c>
      <c r="D128" s="712">
        <f t="shared" si="19"/>
        <v>1161.1366588507099</v>
      </c>
      <c r="E128" s="712">
        <f t="shared" si="20"/>
        <v>413.42361853147094</v>
      </c>
      <c r="F128" s="712">
        <f t="shared" si="21"/>
        <v>307.73815313254033</v>
      </c>
      <c r="G128" s="712">
        <f t="shared" si="22"/>
        <v>298.59365051792889</v>
      </c>
      <c r="H128" s="719">
        <f t="shared" si="23"/>
        <v>298.00658495751941</v>
      </c>
      <c r="I128" s="712">
        <f t="shared" si="24"/>
        <v>298.00363024383051</v>
      </c>
      <c r="J128" s="712">
        <f t="shared" si="25"/>
        <v>298.00202082739577</v>
      </c>
      <c r="K128" s="712">
        <f t="shared" si="26"/>
        <v>298.00123447182443</v>
      </c>
      <c r="L128" s="712">
        <f t="shared" si="27"/>
        <v>298.00100010455895</v>
      </c>
      <c r="N128" s="582">
        <v>54</v>
      </c>
      <c r="O128" s="712">
        <f t="shared" si="13"/>
        <v>0.80165454087247012</v>
      </c>
      <c r="P128" s="712">
        <f t="shared" si="28"/>
        <v>401.99274244276825</v>
      </c>
      <c r="Q128" s="712">
        <f t="shared" si="30"/>
        <v>382.7415051080265</v>
      </c>
      <c r="R128" s="712">
        <f t="shared" si="17"/>
        <v>368.93014830012373</v>
      </c>
      <c r="S128" s="712">
        <f t="shared" si="18"/>
        <v>360.61667533039224</v>
      </c>
      <c r="T128" s="712">
        <f t="shared" si="29"/>
        <v>357.83491785629457</v>
      </c>
    </row>
    <row r="129" spans="2:20">
      <c r="B129" s="582">
        <v>55</v>
      </c>
      <c r="C129" s="712">
        <f t="shared" si="12"/>
        <v>0.81649999533307138</v>
      </c>
      <c r="D129" s="712">
        <f t="shared" si="19"/>
        <v>1166.6874729024844</v>
      </c>
      <c r="E129" s="712">
        <f t="shared" si="20"/>
        <v>416.37706421015656</v>
      </c>
      <c r="F129" s="712">
        <f t="shared" si="21"/>
        <v>308.18225943029069</v>
      </c>
      <c r="G129" s="712">
        <f t="shared" si="22"/>
        <v>298.63301631228978</v>
      </c>
      <c r="H129" s="719">
        <f t="shared" si="23"/>
        <v>298.007133488487</v>
      </c>
      <c r="I129" s="712">
        <f t="shared" si="24"/>
        <v>298.00396068626867</v>
      </c>
      <c r="J129" s="712">
        <f t="shared" si="25"/>
        <v>298.00222299404527</v>
      </c>
      <c r="K129" s="712">
        <f t="shared" si="26"/>
        <v>298.0013700555113</v>
      </c>
      <c r="L129" s="712">
        <f t="shared" si="27"/>
        <v>298.00111515134955</v>
      </c>
      <c r="N129" s="582">
        <v>55</v>
      </c>
      <c r="O129" s="712">
        <f t="shared" si="13"/>
        <v>0.81649999533307138</v>
      </c>
      <c r="P129" s="712">
        <f t="shared" si="28"/>
        <v>403.30856669595016</v>
      </c>
      <c r="Q129" s="712">
        <f t="shared" si="30"/>
        <v>384.07769112857062</v>
      </c>
      <c r="R129" s="712">
        <f t="shared" si="17"/>
        <v>370.28058154785691</v>
      </c>
      <c r="S129" s="712">
        <f t="shared" si="18"/>
        <v>361.97541857455462</v>
      </c>
      <c r="T129" s="712">
        <f t="shared" si="29"/>
        <v>359.19623975584221</v>
      </c>
    </row>
    <row r="130" spans="2:20">
      <c r="B130" s="582">
        <v>56</v>
      </c>
      <c r="C130" s="712">
        <f t="shared" si="12"/>
        <v>0.83134544979367264</v>
      </c>
      <c r="D130" s="712">
        <f t="shared" si="19"/>
        <v>1172.0684772205893</v>
      </c>
      <c r="E130" s="712">
        <f t="shared" si="20"/>
        <v>419.3309148384995</v>
      </c>
      <c r="F130" s="712">
        <f t="shared" si="21"/>
        <v>308.63604727242176</v>
      </c>
      <c r="G130" s="712">
        <f t="shared" si="22"/>
        <v>298.67406542128407</v>
      </c>
      <c r="H130" s="719">
        <f t="shared" si="23"/>
        <v>298.00771478354028</v>
      </c>
      <c r="I130" s="712">
        <f t="shared" si="24"/>
        <v>298.004313189215</v>
      </c>
      <c r="J130" s="712">
        <f t="shared" si="25"/>
        <v>298.00244031416941</v>
      </c>
      <c r="K130" s="712">
        <f t="shared" si="26"/>
        <v>298.00151694939331</v>
      </c>
      <c r="L130" s="712">
        <f t="shared" si="27"/>
        <v>298.00124027694636</v>
      </c>
      <c r="N130" s="582">
        <v>56</v>
      </c>
      <c r="O130" s="712">
        <f t="shared" si="13"/>
        <v>0.83134544979367264</v>
      </c>
      <c r="P130" s="712">
        <f t="shared" si="28"/>
        <v>404.6228877538361</v>
      </c>
      <c r="Q130" s="712">
        <f t="shared" si="30"/>
        <v>385.41237524791279</v>
      </c>
      <c r="R130" s="712">
        <f t="shared" si="17"/>
        <v>371.62955644651373</v>
      </c>
      <c r="S130" s="712">
        <f t="shared" si="18"/>
        <v>363.33275404188362</v>
      </c>
      <c r="T130" s="712">
        <f t="shared" si="29"/>
        <v>360.55617583760477</v>
      </c>
    </row>
    <row r="131" spans="2:20">
      <c r="B131" s="582">
        <v>57</v>
      </c>
      <c r="C131" s="712">
        <f t="shared" si="12"/>
        <v>0.84619090425427401</v>
      </c>
      <c r="D131" s="712">
        <f t="shared" si="19"/>
        <v>1177.2857015928662</v>
      </c>
      <c r="E131" s="712">
        <f t="shared" si="20"/>
        <v>422.28443007150395</v>
      </c>
      <c r="F131" s="712">
        <f t="shared" si="21"/>
        <v>309.09943719154364</v>
      </c>
      <c r="G131" s="712">
        <f t="shared" si="22"/>
        <v>298.71682704541098</v>
      </c>
      <c r="H131" s="719">
        <f t="shared" si="23"/>
        <v>298.00833001519135</v>
      </c>
      <c r="I131" s="712">
        <f t="shared" si="24"/>
        <v>298.00468868520625</v>
      </c>
      <c r="J131" s="712">
        <f t="shared" si="25"/>
        <v>298.00267354031143</v>
      </c>
      <c r="K131" s="712">
        <f t="shared" si="26"/>
        <v>298.0016757950234</v>
      </c>
      <c r="L131" s="712">
        <f t="shared" si="27"/>
        <v>298.00137608539484</v>
      </c>
      <c r="N131" s="582">
        <v>57</v>
      </c>
      <c r="O131" s="712">
        <f t="shared" si="13"/>
        <v>0.84619090425427401</v>
      </c>
      <c r="P131" s="712">
        <f t="shared" si="28"/>
        <v>405.93571939662371</v>
      </c>
      <c r="Q131" s="712">
        <f t="shared" si="30"/>
        <v>386.74556784580147</v>
      </c>
      <c r="R131" s="712">
        <f t="shared" si="17"/>
        <v>372.97707472043027</v>
      </c>
      <c r="S131" s="712">
        <f t="shared" si="18"/>
        <v>364.68867470418252</v>
      </c>
      <c r="T131" s="712">
        <f t="shared" si="29"/>
        <v>361.91471543525648</v>
      </c>
    </row>
    <row r="132" spans="2:20">
      <c r="B132" s="582">
        <v>58</v>
      </c>
      <c r="C132" s="712">
        <f t="shared" si="12"/>
        <v>0.86103635871487527</v>
      </c>
      <c r="D132" s="712">
        <f t="shared" si="19"/>
        <v>1182.3449550157707</v>
      </c>
      <c r="E132" s="712">
        <f t="shared" si="20"/>
        <v>425.23690374819739</v>
      </c>
      <c r="F132" s="712">
        <f t="shared" si="21"/>
        <v>309.57234717999933</v>
      </c>
      <c r="G132" s="712">
        <f t="shared" si="22"/>
        <v>298.7613297563434</v>
      </c>
      <c r="H132" s="719">
        <f t="shared" si="23"/>
        <v>298.00898036688085</v>
      </c>
      <c r="I132" s="712">
        <f t="shared" si="24"/>
        <v>298.00508812151259</v>
      </c>
      <c r="J132" s="712">
        <f t="shared" si="25"/>
        <v>298.00292344196373</v>
      </c>
      <c r="K132" s="712">
        <f t="shared" si="26"/>
        <v>298.00184725200404</v>
      </c>
      <c r="L132" s="712">
        <f t="shared" si="27"/>
        <v>298.00152319911336</v>
      </c>
      <c r="N132" s="582">
        <v>58</v>
      </c>
      <c r="O132" s="712">
        <f t="shared" si="13"/>
        <v>0.86103635871487527</v>
      </c>
      <c r="P132" s="712">
        <f t="shared" si="28"/>
        <v>407.24707361352188</v>
      </c>
      <c r="Q132" s="712">
        <f t="shared" si="30"/>
        <v>388.07727801121985</v>
      </c>
      <c r="R132" s="712">
        <f t="shared" si="17"/>
        <v>374.32313807008723</v>
      </c>
      <c r="S132" s="712">
        <f t="shared" si="18"/>
        <v>366.0431747894944</v>
      </c>
      <c r="T132" s="712">
        <f t="shared" si="29"/>
        <v>363.27184967065563</v>
      </c>
    </row>
    <row r="133" spans="2:20">
      <c r="B133" s="582">
        <v>59</v>
      </c>
      <c r="C133" s="712">
        <f t="shared" si="12"/>
        <v>0.87588181317547653</v>
      </c>
      <c r="D133" s="712">
        <f t="shared" si="19"/>
        <v>1187.251833844133</v>
      </c>
      <c r="E133" s="712">
        <f t="shared" si="20"/>
        <v>428.18766254975822</v>
      </c>
      <c r="F133" s="712">
        <f t="shared" si="21"/>
        <v>310.05469286759654</v>
      </c>
      <c r="G133" s="712">
        <f t="shared" si="22"/>
        <v>298.80760149107783</v>
      </c>
      <c r="H133" s="719">
        <f t="shared" si="23"/>
        <v>298.0096670324707</v>
      </c>
      <c r="I133" s="712">
        <f t="shared" si="24"/>
        <v>298.00551245974691</v>
      </c>
      <c r="J133" s="712">
        <f t="shared" si="25"/>
        <v>298.0031908052938</v>
      </c>
      <c r="K133" s="712">
        <f t="shared" si="26"/>
        <v>298.00203199779622</v>
      </c>
      <c r="L133" s="712">
        <f t="shared" si="27"/>
        <v>298.00168225873273</v>
      </c>
      <c r="N133" s="582">
        <v>59</v>
      </c>
      <c r="O133" s="712">
        <f t="shared" si="13"/>
        <v>0.87588181317547653</v>
      </c>
      <c r="P133" s="712">
        <f t="shared" si="28"/>
        <v>408.5569608641494</v>
      </c>
      <c r="Q133" s="712">
        <f t="shared" si="30"/>
        <v>389.40751373070543</v>
      </c>
      <c r="R133" s="712">
        <f t="shared" si="17"/>
        <v>375.66774817534855</v>
      </c>
      <c r="S133" s="712">
        <f t="shared" si="18"/>
        <v>367.39624959833554</v>
      </c>
      <c r="T133" s="712">
        <f t="shared" si="29"/>
        <v>364.62757119236784</v>
      </c>
    </row>
    <row r="134" spans="2:20">
      <c r="B134" s="582">
        <v>60</v>
      </c>
      <c r="C134" s="712">
        <f t="shared" si="12"/>
        <v>0.8907272676360779</v>
      </c>
      <c r="D134" s="712">
        <f t="shared" si="19"/>
        <v>1192.0117296393616</v>
      </c>
      <c r="E134" s="712">
        <f t="shared" si="20"/>
        <v>431.13606470829683</v>
      </c>
      <c r="F134" s="712">
        <f t="shared" si="21"/>
        <v>310.54638769150421</v>
      </c>
      <c r="G134" s="712">
        <f t="shared" si="22"/>
        <v>298.85566954695366</v>
      </c>
      <c r="H134" s="719">
        <f t="shared" si="23"/>
        <v>298.01039121574541</v>
      </c>
      <c r="I134" s="712">
        <f t="shared" si="24"/>
        <v>298.00596267547462</v>
      </c>
      <c r="J134" s="712">
        <f t="shared" si="25"/>
        <v>298.00347643286199</v>
      </c>
      <c r="K134" s="712">
        <f t="shared" si="26"/>
        <v>298.00223072751578</v>
      </c>
      <c r="L134" s="712">
        <f t="shared" si="27"/>
        <v>298.00185392292093</v>
      </c>
      <c r="N134" s="582">
        <v>60</v>
      </c>
      <c r="O134" s="712">
        <f t="shared" si="13"/>
        <v>0.8907272676360779</v>
      </c>
      <c r="P134" s="712">
        <f t="shared" si="28"/>
        <v>409.86539030174731</v>
      </c>
      <c r="Q134" s="712">
        <f t="shared" si="30"/>
        <v>390.73628204915872</v>
      </c>
      <c r="R134" s="712">
        <f t="shared" si="17"/>
        <v>377.0109066982273</v>
      </c>
      <c r="S134" s="712">
        <f t="shared" si="18"/>
        <v>368.74789534677473</v>
      </c>
      <c r="T134" s="712">
        <f t="shared" si="29"/>
        <v>365.98187395238728</v>
      </c>
    </row>
    <row r="135" spans="2:20">
      <c r="B135" s="582">
        <v>61</v>
      </c>
      <c r="C135" s="712">
        <f t="shared" si="12"/>
        <v>0.90557272209667916</v>
      </c>
      <c r="D135" s="712">
        <f t="shared" si="19"/>
        <v>1196.629836727257</v>
      </c>
      <c r="E135" s="712">
        <f t="shared" si="20"/>
        <v>434.08149876440115</v>
      </c>
      <c r="F135" s="712">
        <f t="shared" si="21"/>
        <v>311.04734305862297</v>
      </c>
      <c r="G135" s="712">
        <f t="shared" si="22"/>
        <v>298.90556057749717</v>
      </c>
      <c r="H135" s="719">
        <f t="shared" si="23"/>
        <v>298.01115412992232</v>
      </c>
      <c r="I135" s="712">
        <f t="shared" si="24"/>
        <v>298.00643975782339</v>
      </c>
      <c r="J135" s="712">
        <f t="shared" si="25"/>
        <v>298.00378114333222</v>
      </c>
      <c r="K135" s="712">
        <f t="shared" si="26"/>
        <v>298.00244415371725</v>
      </c>
      <c r="L135" s="712">
        <f t="shared" si="27"/>
        <v>298.00203886819338</v>
      </c>
      <c r="N135" s="582">
        <v>61</v>
      </c>
      <c r="O135" s="712">
        <f t="shared" si="13"/>
        <v>0.90557272209667916</v>
      </c>
      <c r="P135" s="712">
        <f t="shared" si="28"/>
        <v>411.1723699637833</v>
      </c>
      <c r="Q135" s="712">
        <f t="shared" si="30"/>
        <v>392.06358920716059</v>
      </c>
      <c r="R135" s="712">
        <f t="shared" si="17"/>
        <v>378.35261528524802</v>
      </c>
      <c r="S135" s="712">
        <f t="shared" si="18"/>
        <v>370.09810903243624</v>
      </c>
      <c r="T135" s="712">
        <f t="shared" si="29"/>
        <v>367.33475301547628</v>
      </c>
    </row>
    <row r="136" spans="2:20">
      <c r="B136" s="582">
        <v>62</v>
      </c>
      <c r="C136" s="712">
        <f t="shared" si="12"/>
        <v>0.92041817655728042</v>
      </c>
      <c r="D136" s="712">
        <f t="shared" si="19"/>
        <v>1201.1111594761885</v>
      </c>
      <c r="E136" s="712">
        <f t="shared" si="20"/>
        <v>437.02338237162741</v>
      </c>
      <c r="F136" s="712">
        <f t="shared" si="21"/>
        <v>311.55746850072751</v>
      </c>
      <c r="G136" s="712">
        <f t="shared" si="22"/>
        <v>298.95730058904877</v>
      </c>
      <c r="H136" s="719">
        <f t="shared" si="23"/>
        <v>298.01195699717124</v>
      </c>
      <c r="I136" s="712">
        <f t="shared" si="24"/>
        <v>298.00694470909275</v>
      </c>
      <c r="J136" s="712">
        <f t="shared" si="25"/>
        <v>298.00410577117566</v>
      </c>
      <c r="K136" s="712">
        <f t="shared" si="26"/>
        <v>298.00267300616645</v>
      </c>
      <c r="L136" s="712">
        <f t="shared" si="27"/>
        <v>298.00223778871083</v>
      </c>
      <c r="N136" s="582">
        <v>62</v>
      </c>
      <c r="O136" s="712">
        <f t="shared" si="13"/>
        <v>0.92041817655728042</v>
      </c>
      <c r="P136" s="712">
        <f t="shared" si="28"/>
        <v>412.47790693471183</v>
      </c>
      <c r="Q136" s="712">
        <f t="shared" si="30"/>
        <v>393.38944075822911</v>
      </c>
      <c r="R136" s="712">
        <f t="shared" si="17"/>
        <v>379.69287556946421</v>
      </c>
      <c r="S136" s="712">
        <f t="shared" si="18"/>
        <v>371.44688832007915</v>
      </c>
      <c r="T136" s="712">
        <f t="shared" si="29"/>
        <v>368.68620439635816</v>
      </c>
    </row>
    <row r="137" spans="2:20">
      <c r="B137" s="582">
        <v>63</v>
      </c>
      <c r="C137" s="712">
        <f t="shared" si="12"/>
        <v>0.93526363101788179</v>
      </c>
      <c r="D137" s="712">
        <f t="shared" si="19"/>
        <v>1205.4605193059911</v>
      </c>
      <c r="E137" s="712">
        <f t="shared" si="20"/>
        <v>439.96116114618508</v>
      </c>
      <c r="F137" s="712">
        <f t="shared" si="21"/>
        <v>312.07667182266624</v>
      </c>
      <c r="G137" s="712">
        <f t="shared" si="22"/>
        <v>299.01091493813249</v>
      </c>
      <c r="H137" s="719">
        <f t="shared" si="23"/>
        <v>298.01280104814276</v>
      </c>
      <c r="I137" s="712">
        <f t="shared" si="24"/>
        <v>298.00747854436526</v>
      </c>
      <c r="J137" s="712">
        <f t="shared" si="25"/>
        <v>298.0044511663682</v>
      </c>
      <c r="K137" s="712">
        <f t="shared" si="26"/>
        <v>298.00291803160212</v>
      </c>
      <c r="L137" s="712">
        <f t="shared" si="27"/>
        <v>298.00245139606454</v>
      </c>
      <c r="N137" s="582">
        <v>63</v>
      </c>
      <c r="O137" s="712">
        <f t="shared" si="13"/>
        <v>0.93526363101788179</v>
      </c>
      <c r="P137" s="712">
        <f t="shared" si="28"/>
        <v>413.78200748495721</v>
      </c>
      <c r="Q137" s="712">
        <f t="shared" si="30"/>
        <v>394.71384166894779</v>
      </c>
      <c r="R137" s="712">
        <f t="shared" si="17"/>
        <v>381.03168917218085</v>
      </c>
      <c r="S137" s="712">
        <f t="shared" si="18"/>
        <v>372.79423144389131</v>
      </c>
      <c r="T137" s="712">
        <f t="shared" si="29"/>
        <v>370.03622492069422</v>
      </c>
    </row>
    <row r="138" spans="2:20">
      <c r="B138" s="582">
        <v>64</v>
      </c>
      <c r="C138" s="712">
        <f t="shared" si="12"/>
        <v>0.95010908547848305</v>
      </c>
      <c r="D138" s="712">
        <f t="shared" si="19"/>
        <v>1209.6825614375525</v>
      </c>
      <c r="E138" s="712">
        <f t="shared" si="20"/>
        <v>442.89430756012837</v>
      </c>
      <c r="F138" s="712">
        <f t="shared" si="21"/>
        <v>312.60485924389366</v>
      </c>
      <c r="G138" s="712">
        <f t="shared" si="22"/>
        <v>299.06642832952934</v>
      </c>
      <c r="H138" s="719">
        <f t="shared" si="23"/>
        <v>298.0136875215058</v>
      </c>
      <c r="I138" s="712">
        <f t="shared" si="24"/>
        <v>298.00804229111822</v>
      </c>
      <c r="J138" s="712">
        <f t="shared" si="25"/>
        <v>298.00481819408265</v>
      </c>
      <c r="K138" s="712">
        <f t="shared" si="26"/>
        <v>298.00317999348772</v>
      </c>
      <c r="L138" s="712">
        <f t="shared" si="27"/>
        <v>298.00268041904991</v>
      </c>
      <c r="N138" s="582">
        <v>64</v>
      </c>
      <c r="O138" s="712">
        <f t="shared" si="13"/>
        <v>0.95010908547848305</v>
      </c>
      <c r="P138" s="712">
        <f t="shared" si="28"/>
        <v>415.08467718959389</v>
      </c>
      <c r="Q138" s="712">
        <f t="shared" si="30"/>
        <v>396.0367964044662</v>
      </c>
      <c r="R138" s="712">
        <f t="shared" si="17"/>
        <v>382.36905770442627</v>
      </c>
      <c r="S138" s="712">
        <f t="shared" si="18"/>
        <v>374.14013712405745</v>
      </c>
      <c r="T138" s="712">
        <f t="shared" si="29"/>
        <v>371.38481210636979</v>
      </c>
    </row>
    <row r="139" spans="2:20">
      <c r="B139" s="582">
        <v>65</v>
      </c>
      <c r="C139" s="712">
        <f t="shared" si="12"/>
        <v>0.96495453993908431</v>
      </c>
      <c r="D139" s="712">
        <f t="shared" ref="D139:D170" si="31">(1-2*FoAb-2*FoAb*BiCombAb)*D138+2*FoAb*E138+2*FoAb*BiCombAb*Tcomb</f>
        <v>1213.7817613926943</v>
      </c>
      <c r="E139" s="712">
        <f t="shared" ref="E139:E170" si="32">FoAb*D138+(1-2*FoAb)*E138+FoAb*F138</f>
        <v>445.82231987643206</v>
      </c>
      <c r="F139" s="712">
        <f t="shared" ref="F139:F170" si="33">FoAb*E138+(1-2*FoAb)*F138+FoAb*G138</f>
        <v>313.14193553360047</v>
      </c>
      <c r="G139" s="712">
        <f t="shared" ref="G139:G170" si="34">FoAb*F138+(1-2*FoAb)*G138+FoAb*H138</f>
        <v>299.12386481501761</v>
      </c>
      <c r="H139" s="719">
        <f t="shared" ref="H139:H170" si="35">_FoN1*G138+(1-_FoN1-_FoN2)*H138+_FoN2*I138</f>
        <v>298.01461766349411</v>
      </c>
      <c r="I139" s="712">
        <f t="shared" ref="I139:I170" si="36">FoCase*H138+(1-2*FoCase)*I138+FoCase*J138</f>
        <v>298.00863698883683</v>
      </c>
      <c r="J139" s="712">
        <f t="shared" ref="J139:J170" si="37">FoCase*I138+(1-2*FoCase)*J138+FoCase*K138</f>
        <v>298.00520773437563</v>
      </c>
      <c r="K139" s="712">
        <f t="shared" ref="K139:K170" si="38">FoCase*J138+(1-2*FoCase)*K138+FoCase*L138</f>
        <v>298.00345967175383</v>
      </c>
      <c r="L139" s="712">
        <f t="shared" ref="L139:L170" si="39">(1-2*FoCase-2*FoCase*BiAtmCase)*L138+2*FoCase*K138+2*FoCase*BiAtmCase*Tatm</f>
        <v>298.00292560342956</v>
      </c>
      <c r="N139" s="582">
        <v>65</v>
      </c>
      <c r="O139" s="712">
        <f t="shared" si="13"/>
        <v>0.96495453993908431</v>
      </c>
      <c r="P139" s="712">
        <f t="shared" ref="P139:P170" si="40">(1-2*FoCase-2*FoCase*BiCombCase)*P138+2*FoCase*Q138+2*FoCase*BiCombCase*Tcomb</f>
        <v>416.38592102968903</v>
      </c>
      <c r="Q139" s="712">
        <f t="shared" si="30"/>
        <v>397.35830900151075</v>
      </c>
      <c r="R139" s="712">
        <f t="shared" si="17"/>
        <v>383.70498276820877</v>
      </c>
      <c r="S139" s="712">
        <f t="shared" si="18"/>
        <v>375.48460449551578</v>
      </c>
      <c r="T139" s="712">
        <f t="shared" ref="T139:T170" si="41">(1-2*FoCase-2*FoCase*BiAtmCase)*T138+2*FoCase*S138+2*FoCase*BiAtmCase*Tatm</f>
        <v>372.73196406212372</v>
      </c>
    </row>
    <row r="140" spans="2:20">
      <c r="B140" s="582">
        <v>66</v>
      </c>
      <c r="C140" s="712">
        <f t="shared" ref="C140:C202" si="42">$C$73*B140</f>
        <v>0.97979999439968568</v>
      </c>
      <c r="D140" s="712">
        <f t="shared" si="31"/>
        <v>1217.7624312535927</v>
      </c>
      <c r="E140" s="712">
        <f t="shared" si="32"/>
        <v>448.74472112438661</v>
      </c>
      <c r="F140" s="712">
        <f t="shared" si="33"/>
        <v>313.68780413969552</v>
      </c>
      <c r="G140" s="712">
        <f t="shared" si="34"/>
        <v>299.18324779274371</v>
      </c>
      <c r="H140" s="719">
        <f t="shared" si="35"/>
        <v>298.01559272746135</v>
      </c>
      <c r="I140" s="712">
        <f t="shared" si="36"/>
        <v>298.00926368862952</v>
      </c>
      <c r="J140" s="712">
        <f t="shared" si="37"/>
        <v>298.00562068187008</v>
      </c>
      <c r="K140" s="712">
        <f t="shared" si="38"/>
        <v>298.00375786253238</v>
      </c>
      <c r="L140" s="712">
        <f t="shared" si="39"/>
        <v>298.00318771168605</v>
      </c>
      <c r="N140" s="582">
        <v>66</v>
      </c>
      <c r="O140" s="712">
        <f t="shared" ref="O140:O200" si="43">$O$73*N140</f>
        <v>0.97979999439968568</v>
      </c>
      <c r="P140" s="712">
        <f t="shared" si="40"/>
        <v>417.68574347884083</v>
      </c>
      <c r="Q140" s="712">
        <f t="shared" ref="Q140:Q171" si="44">FoCase*P139+(1-2*FoCase)*Q139+FoCase*R139</f>
        <v>398.67838313072974</v>
      </c>
      <c r="R140" s="712">
        <f t="shared" si="17"/>
        <v>385.0394659575901</v>
      </c>
      <c r="S140" s="712">
        <f t="shared" si="18"/>
        <v>376.82763304712245</v>
      </c>
      <c r="T140" s="712">
        <f t="shared" si="41"/>
        <v>374.07767940098648</v>
      </c>
    </row>
    <row r="141" spans="2:20">
      <c r="B141" s="582">
        <v>67</v>
      </c>
      <c r="C141" s="712">
        <f t="shared" si="42"/>
        <v>0.99464544886028694</v>
      </c>
      <c r="D141" s="712">
        <f t="shared" si="31"/>
        <v>1221.6287256906437</v>
      </c>
      <c r="E141" s="712">
        <f t="shared" si="32"/>
        <v>451.66105811380828</v>
      </c>
      <c r="F141" s="712">
        <f t="shared" si="33"/>
        <v>314.24236731188495</v>
      </c>
      <c r="G141" s="712">
        <f t="shared" si="34"/>
        <v>299.24460000719074</v>
      </c>
      <c r="H141" s="719">
        <f t="shared" si="35"/>
        <v>298.01661397344571</v>
      </c>
      <c r="I141" s="712">
        <f t="shared" si="36"/>
        <v>298.00992345284459</v>
      </c>
      <c r="J141" s="712">
        <f t="shared" si="37"/>
        <v>298.00605794543407</v>
      </c>
      <c r="K141" s="712">
        <f t="shared" si="38"/>
        <v>298.00407537788197</v>
      </c>
      <c r="L141" s="712">
        <f t="shared" si="39"/>
        <v>298.00346752276567</v>
      </c>
      <c r="N141" s="582">
        <v>67</v>
      </c>
      <c r="O141" s="712">
        <f t="shared" si="43"/>
        <v>0.99464544886028694</v>
      </c>
      <c r="P141" s="712">
        <f t="shared" si="40"/>
        <v>418.98414857707508</v>
      </c>
      <c r="Q141" s="712">
        <f t="shared" si="44"/>
        <v>399.99702214993079</v>
      </c>
      <c r="R141" s="712">
        <f t="shared" si="17"/>
        <v>386.37250885960225</v>
      </c>
      <c r="S141" s="712">
        <f t="shared" si="18"/>
        <v>378.16922256970344</v>
      </c>
      <c r="T141" s="712">
        <f t="shared" si="41"/>
        <v>375.42195716636405</v>
      </c>
    </row>
    <row r="142" spans="2:20">
      <c r="B142" s="582">
        <v>68</v>
      </c>
      <c r="C142" s="712">
        <f t="shared" si="42"/>
        <v>1.0094909033208883</v>
      </c>
      <c r="D142" s="712">
        <f t="shared" si="31"/>
        <v>1225.3846477673469</v>
      </c>
      <c r="E142" s="712">
        <f t="shared" si="32"/>
        <v>454.57090048661411</v>
      </c>
      <c r="F142" s="712">
        <f t="shared" si="33"/>
        <v>314.80552621908373</v>
      </c>
      <c r="G142" s="712">
        <f t="shared" si="34"/>
        <v>299.30794354971101</v>
      </c>
      <c r="H142" s="719">
        <f t="shared" si="35"/>
        <v>298.0176826677428</v>
      </c>
      <c r="I142" s="712">
        <f t="shared" si="36"/>
        <v>298.01061735468943</v>
      </c>
      <c r="J142" s="712">
        <f t="shared" si="37"/>
        <v>298.00652044785562</v>
      </c>
      <c r="K142" s="712">
        <f t="shared" si="38"/>
        <v>298.00441304550719</v>
      </c>
      <c r="L142" s="712">
        <f t="shared" si="39"/>
        <v>298.00376583181327</v>
      </c>
      <c r="N142" s="582">
        <v>68</v>
      </c>
      <c r="O142" s="712">
        <f t="shared" si="43"/>
        <v>1.0094909033208883</v>
      </c>
      <c r="P142" s="712">
        <f t="shared" si="40"/>
        <v>420.28113999394674</v>
      </c>
      <c r="Q142" s="712">
        <f t="shared" si="44"/>
        <v>401.31422914954163</v>
      </c>
      <c r="R142" s="712">
        <f t="shared" si="17"/>
        <v>387.70411305503103</v>
      </c>
      <c r="S142" s="712">
        <f t="shared" si="18"/>
        <v>379.50937311169582</v>
      </c>
      <c r="T142" s="712">
        <f t="shared" si="41"/>
        <v>376.76479676892046</v>
      </c>
    </row>
    <row r="143" spans="2:20">
      <c r="B143" s="582">
        <v>69</v>
      </c>
      <c r="C143" s="712">
        <f t="shared" si="42"/>
        <v>1.0243363577814895</v>
      </c>
      <c r="D143" s="712">
        <f t="shared" si="31"/>
        <v>1229.0340545304648</v>
      </c>
      <c r="E143" s="712">
        <f t="shared" si="32"/>
        <v>457.47383980436649</v>
      </c>
      <c r="F143" s="712">
        <f t="shared" si="33"/>
        <v>315.37718106138698</v>
      </c>
      <c r="G143" s="712">
        <f t="shared" si="34"/>
        <v>299.37329985959212</v>
      </c>
      <c r="H143" s="719">
        <f t="shared" si="35"/>
        <v>298.01880008248742</v>
      </c>
      <c r="I143" s="712">
        <f t="shared" si="36"/>
        <v>298.01134647785204</v>
      </c>
      <c r="J143" s="712">
        <f t="shared" si="37"/>
        <v>298.00700912551468</v>
      </c>
      <c r="K143" s="712">
        <f t="shared" si="38"/>
        <v>298.00477170847012</v>
      </c>
      <c r="L143" s="712">
        <f t="shared" si="39"/>
        <v>298.00408344989927</v>
      </c>
      <c r="N143" s="582">
        <v>69</v>
      </c>
      <c r="O143" s="712">
        <f t="shared" si="43"/>
        <v>1.0243363577814895</v>
      </c>
      <c r="P143" s="712">
        <f t="shared" si="40"/>
        <v>421.57672108242326</v>
      </c>
      <c r="Q143" s="712">
        <f t="shared" si="44"/>
        <v>402.6300069914297</v>
      </c>
      <c r="R143" s="712">
        <f t="shared" si="17"/>
        <v>389.03428011908471</v>
      </c>
      <c r="S143" s="712">
        <f t="shared" si="18"/>
        <v>380.84808494126935</v>
      </c>
      <c r="T143" s="712">
        <f t="shared" si="41"/>
        <v>378.1061979326808</v>
      </c>
    </row>
    <row r="144" spans="2:20">
      <c r="B144" s="582">
        <v>70</v>
      </c>
      <c r="C144" s="712">
        <f t="shared" si="42"/>
        <v>1.0391818122420908</v>
      </c>
      <c r="D144" s="712">
        <f t="shared" si="31"/>
        <v>1232.5806623934086</v>
      </c>
      <c r="E144" s="712">
        <f t="shared" si="32"/>
        <v>460.36948867044384</v>
      </c>
      <c r="F144" s="712">
        <f t="shared" si="33"/>
        <v>315.95723117681808</v>
      </c>
      <c r="G144" s="712">
        <f t="shared" si="34"/>
        <v>299.44068972562633</v>
      </c>
      <c r="H144" s="719">
        <f t="shared" si="35"/>
        <v>298.0199674952442</v>
      </c>
      <c r="I144" s="712">
        <f t="shared" si="36"/>
        <v>298.01211191612526</v>
      </c>
      <c r="J144" s="712">
        <f t="shared" si="37"/>
        <v>298.0075249280527</v>
      </c>
      <c r="K144" s="712">
        <f t="shared" si="38"/>
        <v>298.00515222489616</v>
      </c>
      <c r="L144" s="712">
        <f t="shared" si="39"/>
        <v>298.0044212037393</v>
      </c>
      <c r="N144" s="582">
        <v>70</v>
      </c>
      <c r="O144" s="712">
        <f t="shared" si="43"/>
        <v>1.0391818122420908</v>
      </c>
      <c r="P144" s="712">
        <f t="shared" si="40"/>
        <v>422.87089492489696</v>
      </c>
      <c r="Q144" s="712">
        <f t="shared" si="44"/>
        <v>403.9443583420508</v>
      </c>
      <c r="R144" s="712">
        <f t="shared" si="17"/>
        <v>390.36301162196582</v>
      </c>
      <c r="S144" s="712">
        <f t="shared" si="18"/>
        <v>382.18535851398178</v>
      </c>
      <c r="T144" s="712">
        <f t="shared" si="41"/>
        <v>379.44616064900845</v>
      </c>
    </row>
    <row r="145" spans="2:20">
      <c r="B145" s="582">
        <v>71</v>
      </c>
      <c r="C145" s="712">
        <f t="shared" si="42"/>
        <v>1.0540272667026922</v>
      </c>
      <c r="D145" s="712">
        <f t="shared" si="31"/>
        <v>1236.028052320506</v>
      </c>
      <c r="E145" s="712">
        <f t="shared" si="32"/>
        <v>463.25747988554269</v>
      </c>
      <c r="F145" s="712">
        <f t="shared" si="33"/>
        <v>316.54557514306413</v>
      </c>
      <c r="G145" s="712">
        <f t="shared" si="34"/>
        <v>299.51013328815469</v>
      </c>
      <c r="H145" s="719">
        <f t="shared" si="35"/>
        <v>298.02118618860652</v>
      </c>
      <c r="I145" s="712">
        <f t="shared" si="36"/>
        <v>298.01291477303391</v>
      </c>
      <c r="J145" s="712">
        <f t="shared" si="37"/>
        <v>298.00806881803993</v>
      </c>
      <c r="K145" s="712">
        <f t="shared" si="38"/>
        <v>298.00555546767464</v>
      </c>
      <c r="L145" s="712">
        <f t="shared" si="39"/>
        <v>298.00477993540693</v>
      </c>
      <c r="N145" s="582">
        <v>71</v>
      </c>
      <c r="O145" s="712">
        <f t="shared" si="43"/>
        <v>1.0540272667026922</v>
      </c>
      <c r="P145" s="712">
        <f t="shared" si="40"/>
        <v>424.16366437247547</v>
      </c>
      <c r="Q145" s="712">
        <f t="shared" si="44"/>
        <v>405.25728570075614</v>
      </c>
      <c r="R145" s="712">
        <f t="shared" si="17"/>
        <v>391.69030912935949</v>
      </c>
      <c r="S145" s="712">
        <f t="shared" si="18"/>
        <v>383.52119444515955</v>
      </c>
      <c r="T145" s="712">
        <f t="shared" si="41"/>
        <v>380.78468513730564</v>
      </c>
    </row>
    <row r="146" spans="2:20">
      <c r="B146" s="582">
        <v>72</v>
      </c>
      <c r="C146" s="712">
        <f t="shared" si="42"/>
        <v>1.0688727211632933</v>
      </c>
      <c r="D146" s="712">
        <f t="shared" si="31"/>
        <v>1239.3796748195252</v>
      </c>
      <c r="E146" s="712">
        <f t="shared" si="32"/>
        <v>466.13746563526627</v>
      </c>
      <c r="F146" s="712">
        <f t="shared" si="33"/>
        <v>317.14211087439946</v>
      </c>
      <c r="G146" s="712">
        <f t="shared" si="34"/>
        <v>299.58165004155842</v>
      </c>
      <c r="H146" s="719">
        <f t="shared" si="35"/>
        <v>298.02245744980428</v>
      </c>
      <c r="I146" s="712">
        <f t="shared" si="36"/>
        <v>298.01375616146453</v>
      </c>
      <c r="J146" s="712">
        <f t="shared" si="37"/>
        <v>298.00864177064079</v>
      </c>
      <c r="K146" s="712">
        <f t="shared" si="38"/>
        <v>298.00598232415371</v>
      </c>
      <c r="L146" s="712">
        <f t="shared" si="39"/>
        <v>298.0051605020405</v>
      </c>
      <c r="N146" s="582">
        <v>72</v>
      </c>
      <c r="O146" s="712">
        <f t="shared" si="43"/>
        <v>1.0688727211632933</v>
      </c>
      <c r="P146" s="712">
        <f t="shared" si="40"/>
        <v>425.45503207853301</v>
      </c>
      <c r="Q146" s="712">
        <f t="shared" si="44"/>
        <v>406.56879142396377</v>
      </c>
      <c r="R146" s="712">
        <f t="shared" ref="R146:R202" si="45">FoCase*Q145+(1-2*FoCase)*R145+FoCase*S145</f>
        <v>393.01617420285055</v>
      </c>
      <c r="S146" s="712">
        <f t="shared" ref="S146:S202" si="46">FoCase*R145+(1-2*FoCase)*S145+FoCase*T145</f>
        <v>384.85559348631352</v>
      </c>
      <c r="T146" s="712">
        <f t="shared" si="41"/>
        <v>382.12177181145552</v>
      </c>
    </row>
    <row r="147" spans="2:20">
      <c r="B147" s="582">
        <v>73</v>
      </c>
      <c r="C147" s="712">
        <f t="shared" si="42"/>
        <v>1.0837181756238947</v>
      </c>
      <c r="D147" s="712">
        <f t="shared" si="31"/>
        <v>1242.6388547495535</v>
      </c>
      <c r="E147" s="712">
        <f t="shared" si="32"/>
        <v>469.00911670860012</v>
      </c>
      <c r="F147" s="712">
        <f t="shared" si="33"/>
        <v>317.74673571399211</v>
      </c>
      <c r="G147" s="712">
        <f t="shared" si="34"/>
        <v>299.65525883717123</v>
      </c>
      <c r="H147" s="719">
        <f t="shared" si="35"/>
        <v>298.02378257031961</v>
      </c>
      <c r="I147" s="712">
        <f t="shared" si="36"/>
        <v>298.01463720329889</v>
      </c>
      <c r="J147" s="712">
        <f t="shared" si="37"/>
        <v>298.00924477327806</v>
      </c>
      <c r="K147" s="712">
        <f t="shared" si="38"/>
        <v>298.00643369583133</v>
      </c>
      <c r="L147" s="712">
        <f t="shared" si="39"/>
        <v>298.00556377554409</v>
      </c>
      <c r="N147" s="582">
        <v>73</v>
      </c>
      <c r="O147" s="712">
        <f t="shared" si="43"/>
        <v>1.0837181756238947</v>
      </c>
      <c r="P147" s="712">
        <f t="shared" si="40"/>
        <v>426.74500052736033</v>
      </c>
      <c r="Q147" s="712">
        <f t="shared" si="44"/>
        <v>407.87887774579906</v>
      </c>
      <c r="R147" s="712">
        <f t="shared" si="45"/>
        <v>394.34060840028042</v>
      </c>
      <c r="S147" s="712">
        <f t="shared" si="46"/>
        <v>386.18855650500069</v>
      </c>
      <c r="T147" s="712">
        <f t="shared" si="41"/>
        <v>383.45742125116647</v>
      </c>
    </row>
    <row r="148" spans="2:20">
      <c r="B148" s="582">
        <v>74</v>
      </c>
      <c r="C148" s="712">
        <f t="shared" si="42"/>
        <v>1.0985636300844961</v>
      </c>
      <c r="D148" s="712">
        <f t="shared" si="31"/>
        <v>1245.8087959510683</v>
      </c>
      <c r="E148" s="712">
        <f t="shared" si="32"/>
        <v>471.87212174612</v>
      </c>
      <c r="F148" s="712">
        <f t="shared" si="33"/>
        <v>318.35934652177889</v>
      </c>
      <c r="G148" s="712">
        <f t="shared" si="34"/>
        <v>299.73097788658856</v>
      </c>
      <c r="H148" s="719">
        <f t="shared" si="35"/>
        <v>298.02516284551143</v>
      </c>
      <c r="I148" s="712">
        <f t="shared" si="36"/>
        <v>298.01555902905045</v>
      </c>
      <c r="J148" s="712">
        <f t="shared" si="37"/>
        <v>298.00987882529569</v>
      </c>
      <c r="K148" s="712">
        <f t="shared" si="38"/>
        <v>298.00691049804186</v>
      </c>
      <c r="L148" s="712">
        <f t="shared" si="39"/>
        <v>298.00599064228373</v>
      </c>
      <c r="N148" s="582">
        <v>74</v>
      </c>
      <c r="O148" s="712">
        <f t="shared" si="43"/>
        <v>1.0985636300844961</v>
      </c>
      <c r="P148" s="712">
        <f t="shared" si="40"/>
        <v>428.03357205862966</v>
      </c>
      <c r="Q148" s="712">
        <f t="shared" si="44"/>
        <v>409.18754679572112</v>
      </c>
      <c r="R148" s="712">
        <f t="shared" si="45"/>
        <v>395.66361327605148</v>
      </c>
      <c r="S148" s="712">
        <f t="shared" si="46"/>
        <v>387.52008446762733</v>
      </c>
      <c r="T148" s="712">
        <f t="shared" si="41"/>
        <v>384.79163417750345</v>
      </c>
    </row>
    <row r="149" spans="2:20">
      <c r="B149" s="582">
        <v>75</v>
      </c>
      <c r="C149" s="712">
        <f t="shared" si="42"/>
        <v>1.1134090845450972</v>
      </c>
      <c r="D149" s="712">
        <f t="shared" si="31"/>
        <v>1248.8925857047821</v>
      </c>
      <c r="E149" s="712">
        <f t="shared" si="32"/>
        <v>474.72618651681927</v>
      </c>
      <c r="F149" s="712">
        <f t="shared" si="33"/>
        <v>318.97983975808927</v>
      </c>
      <c r="G149" s="712">
        <f t="shared" si="34"/>
        <v>299.80882476534771</v>
      </c>
      <c r="H149" s="719">
        <f t="shared" si="35"/>
        <v>298.02659957424771</v>
      </c>
      <c r="I149" s="712">
        <f t="shared" si="36"/>
        <v>298.01652277750452</v>
      </c>
      <c r="J149" s="712">
        <f t="shared" si="37"/>
        <v>298.01054493762155</v>
      </c>
      <c r="K149" s="712">
        <f t="shared" si="38"/>
        <v>298.00741365963938</v>
      </c>
      <c r="L149" s="712">
        <f t="shared" si="39"/>
        <v>298.00644200277884</v>
      </c>
      <c r="N149" s="582">
        <v>75</v>
      </c>
      <c r="O149" s="712">
        <f t="shared" si="43"/>
        <v>1.1134090845450972</v>
      </c>
      <c r="P149" s="712">
        <f t="shared" si="40"/>
        <v>429.32074888828578</v>
      </c>
      <c r="Q149" s="712">
        <f t="shared" si="44"/>
        <v>410.49480061357309</v>
      </c>
      <c r="R149" s="712">
        <f t="shared" si="45"/>
        <v>396.98519038138789</v>
      </c>
      <c r="S149" s="712">
        <f t="shared" si="46"/>
        <v>388.85017842476537</v>
      </c>
      <c r="T149" s="712">
        <f t="shared" si="41"/>
        <v>386.12441143199368</v>
      </c>
    </row>
    <row r="150" spans="2:20">
      <c r="B150" s="582">
        <v>76</v>
      </c>
      <c r="C150" s="712">
        <f t="shared" si="42"/>
        <v>1.1282545390056986</v>
      </c>
      <c r="D150" s="712">
        <f t="shared" si="31"/>
        <v>1251.893199025604</v>
      </c>
      <c r="E150" s="712">
        <f t="shared" si="32"/>
        <v>477.57103322248662</v>
      </c>
      <c r="F150" s="712">
        <f t="shared" si="33"/>
        <v>319.60811156318948</v>
      </c>
      <c r="G150" s="712">
        <f t="shared" si="34"/>
        <v>299.88881641695798</v>
      </c>
      <c r="H150" s="719">
        <f t="shared" si="35"/>
        <v>298.028094058546</v>
      </c>
      <c r="I150" s="712">
        <f t="shared" si="36"/>
        <v>298.01752959536179</v>
      </c>
      <c r="J150" s="712">
        <f t="shared" si="37"/>
        <v>298.01124413242923</v>
      </c>
      <c r="K150" s="712">
        <f t="shared" si="38"/>
        <v>298.00794412267771</v>
      </c>
      <c r="L150" s="712">
        <f t="shared" si="39"/>
        <v>298.00691877138962</v>
      </c>
      <c r="N150" s="582">
        <v>76</v>
      </c>
      <c r="O150" s="712">
        <f t="shared" si="43"/>
        <v>1.1282545390056986</v>
      </c>
      <c r="P150" s="712">
        <f t="shared" si="40"/>
        <v>430.60653312638556</v>
      </c>
      <c r="Q150" s="712">
        <f t="shared" si="44"/>
        <v>411.80064116243523</v>
      </c>
      <c r="R150" s="712">
        <f t="shared" si="45"/>
        <v>398.30534126455814</v>
      </c>
      <c r="S150" s="712">
        <f t="shared" si="46"/>
        <v>390.17883949861357</v>
      </c>
      <c r="T150" s="712">
        <f t="shared" si="41"/>
        <v>387.45575395878524</v>
      </c>
    </row>
    <row r="151" spans="2:20">
      <c r="B151" s="582">
        <v>77</v>
      </c>
      <c r="C151" s="712">
        <f t="shared" si="42"/>
        <v>1.1430999934663</v>
      </c>
      <c r="D151" s="712">
        <f t="shared" si="31"/>
        <v>1254.8135027978199</v>
      </c>
      <c r="E151" s="712">
        <f t="shared" si="32"/>
        <v>480.40639982860233</v>
      </c>
      <c r="F151" s="712">
        <f t="shared" si="33"/>
        <v>320.244057832914</v>
      </c>
      <c r="G151" s="712">
        <f t="shared" si="34"/>
        <v>299.97096915725768</v>
      </c>
      <c r="H151" s="719">
        <f t="shared" si="35"/>
        <v>298.02964760322226</v>
      </c>
      <c r="I151" s="712">
        <f t="shared" si="36"/>
        <v>298.01858063688564</v>
      </c>
      <c r="J151" s="712">
        <f t="shared" si="37"/>
        <v>298.01197744279989</v>
      </c>
      <c r="K151" s="712">
        <f t="shared" si="38"/>
        <v>298.00850284208809</v>
      </c>
      <c r="L151" s="712">
        <f t="shared" si="39"/>
        <v>298.00742187600093</v>
      </c>
      <c r="N151" s="582">
        <v>77</v>
      </c>
      <c r="O151" s="712">
        <f t="shared" si="43"/>
        <v>1.1430999934663</v>
      </c>
      <c r="P151" s="712">
        <f t="shared" si="40"/>
        <v>431.89092679233175</v>
      </c>
      <c r="Q151" s="712">
        <f t="shared" si="44"/>
        <v>413.10507033960005</v>
      </c>
      <c r="R151" s="712">
        <f t="shared" si="45"/>
        <v>399.62406747106547</v>
      </c>
      <c r="S151" s="712">
        <f t="shared" si="46"/>
        <v>391.50606887229117</v>
      </c>
      <c r="T151" s="712">
        <f t="shared" si="41"/>
        <v>388.7856627894119</v>
      </c>
    </row>
    <row r="152" spans="2:20">
      <c r="B152" s="582">
        <v>78</v>
      </c>
      <c r="C152" s="712">
        <f t="shared" si="42"/>
        <v>1.1579454479269011</v>
      </c>
      <c r="D152" s="712">
        <f t="shared" si="31"/>
        <v>1257.6562597573709</v>
      </c>
      <c r="E152" s="712">
        <f t="shared" si="32"/>
        <v>483.23203942076117</v>
      </c>
      <c r="F152" s="712">
        <f t="shared" si="33"/>
        <v>320.8875742905426</v>
      </c>
      <c r="G152" s="712">
        <f t="shared" si="34"/>
        <v>300.05529867907728</v>
      </c>
      <c r="H152" s="719">
        <f t="shared" si="35"/>
        <v>298.03126151554699</v>
      </c>
      <c r="I152" s="712">
        <f t="shared" si="36"/>
        <v>298.01967706355367</v>
      </c>
      <c r="J152" s="712">
        <f t="shared" si="37"/>
        <v>298.01274591238479</v>
      </c>
      <c r="K152" s="712">
        <f t="shared" si="38"/>
        <v>298.00909078535415</v>
      </c>
      <c r="L152" s="712">
        <f t="shared" si="39"/>
        <v>298.00795225770327</v>
      </c>
      <c r="N152" s="582">
        <v>78</v>
      </c>
      <c r="O152" s="712">
        <f t="shared" si="43"/>
        <v>1.1579454479269011</v>
      </c>
      <c r="P152" s="712">
        <f t="shared" si="40"/>
        <v>433.1739318278814</v>
      </c>
      <c r="Q152" s="712">
        <f t="shared" si="44"/>
        <v>414.4080899859444</v>
      </c>
      <c r="R152" s="712">
        <f t="shared" si="45"/>
        <v>400.94137054381071</v>
      </c>
      <c r="S152" s="712">
        <f t="shared" si="46"/>
        <v>392.83186778069535</v>
      </c>
      <c r="T152" s="712">
        <f t="shared" si="41"/>
        <v>390.11413902978467</v>
      </c>
    </row>
    <row r="153" spans="2:20">
      <c r="B153" s="582">
        <v>79</v>
      </c>
      <c r="C153" s="712">
        <f t="shared" si="42"/>
        <v>1.1727909023875025</v>
      </c>
      <c r="D153" s="712">
        <f t="shared" si="31"/>
        <v>1260.4241323268909</v>
      </c>
      <c r="E153" s="712">
        <f t="shared" si="32"/>
        <v>486.0477195856663</v>
      </c>
      <c r="F153" s="712">
        <f t="shared" si="33"/>
        <v>321.53855655507755</v>
      </c>
      <c r="G153" s="712">
        <f t="shared" si="34"/>
        <v>300.14182005718885</v>
      </c>
      <c r="H153" s="719">
        <f t="shared" si="35"/>
        <v>298.03293710490971</v>
      </c>
      <c r="I153" s="712">
        <f t="shared" si="36"/>
        <v>298.020820043713</v>
      </c>
      <c r="J153" s="712">
        <f t="shared" si="37"/>
        <v>298.01355059506761</v>
      </c>
      <c r="K153" s="712">
        <f t="shared" si="38"/>
        <v>298.0097089321855</v>
      </c>
      <c r="L153" s="712">
        <f t="shared" si="39"/>
        <v>298.0085108704705</v>
      </c>
      <c r="N153" s="582">
        <v>79</v>
      </c>
      <c r="O153" s="712">
        <f t="shared" si="43"/>
        <v>1.1727909023875025</v>
      </c>
      <c r="P153" s="712">
        <f t="shared" si="40"/>
        <v>434.45555010825416</v>
      </c>
      <c r="Q153" s="712">
        <f t="shared" si="44"/>
        <v>415.70970189393307</v>
      </c>
      <c r="R153" s="712">
        <f t="shared" si="45"/>
        <v>402.25725202323162</v>
      </c>
      <c r="S153" s="712">
        <f t="shared" si="46"/>
        <v>394.15623750269498</v>
      </c>
      <c r="T153" s="712">
        <f t="shared" si="41"/>
        <v>391.44118384908285</v>
      </c>
    </row>
    <row r="154" spans="2:20">
      <c r="B154" s="582">
        <v>80</v>
      </c>
      <c r="C154" s="712">
        <f t="shared" si="42"/>
        <v>1.1876363568481039</v>
      </c>
      <c r="D154" s="712">
        <f t="shared" si="31"/>
        <v>1263.1196863089556</v>
      </c>
      <c r="E154" s="712">
        <f t="shared" si="32"/>
        <v>488.85322181577425</v>
      </c>
      <c r="F154" s="712">
        <f t="shared" si="33"/>
        <v>322.19690020606743</v>
      </c>
      <c r="G154" s="712">
        <f t="shared" si="34"/>
        <v>300.23054775352256</v>
      </c>
      <c r="H154" s="719">
        <f t="shared" si="35"/>
        <v>298.03467568249056</v>
      </c>
      <c r="I154" s="712">
        <f t="shared" si="36"/>
        <v>298.02201075223905</v>
      </c>
      <c r="J154" s="712">
        <f t="shared" si="37"/>
        <v>298.01439255462822</v>
      </c>
      <c r="K154" s="712">
        <f t="shared" si="38"/>
        <v>298.01035827418963</v>
      </c>
      <c r="L154" s="712">
        <f t="shared" si="39"/>
        <v>298.00909868083608</v>
      </c>
      <c r="N154" s="582">
        <v>80</v>
      </c>
      <c r="O154" s="712">
        <f t="shared" si="43"/>
        <v>1.1876363568481039</v>
      </c>
      <c r="P154" s="712">
        <f t="shared" si="40"/>
        <v>435.73578345161832</v>
      </c>
      <c r="Q154" s="712">
        <f t="shared" si="44"/>
        <v>417.00990781445279</v>
      </c>
      <c r="R154" s="712">
        <f t="shared" si="45"/>
        <v>403.57171344742221</v>
      </c>
      <c r="S154" s="712">
        <f t="shared" si="46"/>
        <v>395.47917935446469</v>
      </c>
      <c r="T154" s="712">
        <f t="shared" si="41"/>
        <v>392.76679847026924</v>
      </c>
    </row>
    <row r="155" spans="2:20">
      <c r="B155" s="582">
        <v>81</v>
      </c>
      <c r="C155" s="712">
        <f t="shared" si="42"/>
        <v>1.202481811308705</v>
      </c>
      <c r="D155" s="712">
        <f t="shared" si="31"/>
        <v>1265.7453944427891</v>
      </c>
      <c r="E155" s="712">
        <f t="shared" si="32"/>
        <v>491.64834093670532</v>
      </c>
      <c r="F155" s="712">
        <f t="shared" si="33"/>
        <v>322.86250084512005</v>
      </c>
      <c r="G155" s="712">
        <f t="shared" si="34"/>
        <v>300.32149562263174</v>
      </c>
      <c r="H155" s="719">
        <f t="shared" si="35"/>
        <v>298.03647856093994</v>
      </c>
      <c r="I155" s="712">
        <f t="shared" si="36"/>
        <v>298.02325037019955</v>
      </c>
      <c r="J155" s="712">
        <f t="shared" si="37"/>
        <v>298.01527286440722</v>
      </c>
      <c r="K155" s="712">
        <f t="shared" si="38"/>
        <v>298.01103981454264</v>
      </c>
      <c r="L155" s="712">
        <f t="shared" si="39"/>
        <v>298.00971666756647</v>
      </c>
      <c r="N155" s="582">
        <v>81</v>
      </c>
      <c r="O155" s="712">
        <f t="shared" si="43"/>
        <v>1.202481811308705</v>
      </c>
      <c r="P155" s="712">
        <f t="shared" si="40"/>
        <v>437.01463362719102</v>
      </c>
      <c r="Q155" s="712">
        <f t="shared" si="44"/>
        <v>418.30870946264866</v>
      </c>
      <c r="R155" s="712">
        <f t="shared" si="45"/>
        <v>404.88475635223483</v>
      </c>
      <c r="S155" s="712">
        <f t="shared" si="46"/>
        <v>396.80069468379321</v>
      </c>
      <c r="T155" s="712">
        <f t="shared" si="41"/>
        <v>394.09098416199049</v>
      </c>
    </row>
    <row r="156" spans="2:20">
      <c r="B156" s="582">
        <v>82</v>
      </c>
      <c r="C156" s="712">
        <f t="shared" si="42"/>
        <v>1.2173272657693064</v>
      </c>
      <c r="D156" s="712">
        <f t="shared" si="31"/>
        <v>1268.3036398294871</v>
      </c>
      <c r="E156" s="712">
        <f t="shared" si="32"/>
        <v>494.43288455656602</v>
      </c>
      <c r="F156" s="712">
        <f t="shared" si="33"/>
        <v>323.53525415424053</v>
      </c>
      <c r="G156" s="712">
        <f t="shared" si="34"/>
        <v>300.4146769173891</v>
      </c>
      <c r="H156" s="719">
        <f t="shared" si="35"/>
        <v>298.03834705406518</v>
      </c>
      <c r="I156" s="712">
        <f t="shared" si="36"/>
        <v>298.02454008452162</v>
      </c>
      <c r="J156" s="712">
        <f t="shared" si="37"/>
        <v>298.01619260697157</v>
      </c>
      <c r="K156" s="712">
        <f t="shared" si="38"/>
        <v>298.0117545676593</v>
      </c>
      <c r="L156" s="712">
        <f t="shared" si="39"/>
        <v>298.01036582133412</v>
      </c>
      <c r="N156" s="582">
        <v>82</v>
      </c>
      <c r="O156" s="712">
        <f t="shared" si="43"/>
        <v>1.2173272657693064</v>
      </c>
      <c r="P156" s="712">
        <f t="shared" si="40"/>
        <v>438.2921023621555</v>
      </c>
      <c r="Q156" s="712">
        <f t="shared" si="44"/>
        <v>419.60610852290824</v>
      </c>
      <c r="R156" s="712">
        <f t="shared" si="45"/>
        <v>406.19638227136738</v>
      </c>
      <c r="S156" s="712">
        <f t="shared" si="46"/>
        <v>398.12078486522353</v>
      </c>
      <c r="T156" s="712">
        <f t="shared" si="41"/>
        <v>395.41374223166133</v>
      </c>
    </row>
    <row r="157" spans="2:20">
      <c r="B157" s="582">
        <v>83</v>
      </c>
      <c r="C157" s="712">
        <f t="shared" si="42"/>
        <v>1.2321727202299078</v>
      </c>
      <c r="D157" s="712">
        <f t="shared" si="31"/>
        <v>1270.7967192306216</v>
      </c>
      <c r="E157" s="712">
        <f t="shared" si="32"/>
        <v>497.20667253636373</v>
      </c>
      <c r="F157" s="712">
        <f t="shared" si="33"/>
        <v>324.21505595112541</v>
      </c>
      <c r="G157" s="712">
        <f t="shared" si="34"/>
        <v>300.51010429489776</v>
      </c>
      <c r="H157" s="719">
        <f t="shared" si="35"/>
        <v>298.04028247652479</v>
      </c>
      <c r="I157" s="712">
        <f t="shared" si="36"/>
        <v>298.02588108766406</v>
      </c>
      <c r="J157" s="712">
        <f t="shared" si="37"/>
        <v>298.01715287378181</v>
      </c>
      <c r="K157" s="712">
        <f t="shared" si="38"/>
        <v>298.0125035588627</v>
      </c>
      <c r="L157" s="712">
        <f t="shared" si="39"/>
        <v>298.01104714438827</v>
      </c>
      <c r="N157" s="582">
        <v>83</v>
      </c>
      <c r="O157" s="712">
        <f t="shared" si="43"/>
        <v>1.2321727202299078</v>
      </c>
      <c r="P157" s="712">
        <f t="shared" si="40"/>
        <v>439.56819134756842</v>
      </c>
      <c r="Q157" s="712">
        <f t="shared" si="44"/>
        <v>420.90210665311719</v>
      </c>
      <c r="R157" s="712">
        <f t="shared" si="45"/>
        <v>407.50659273643839</v>
      </c>
      <c r="S157" s="712">
        <f t="shared" si="46"/>
        <v>399.43945129590287</v>
      </c>
      <c r="T157" s="712">
        <f t="shared" si="41"/>
        <v>396.73507401955925</v>
      </c>
    </row>
    <row r="158" spans="2:20">
      <c r="B158" s="582">
        <v>84</v>
      </c>
      <c r="C158" s="712">
        <f t="shared" si="42"/>
        <v>1.2470181746905089</v>
      </c>
      <c r="D158" s="712">
        <f t="shared" si="31"/>
        <v>1273.2268462449144</v>
      </c>
      <c r="E158" s="712">
        <f t="shared" si="32"/>
        <v>499.96953648072156</v>
      </c>
      <c r="F158" s="712">
        <f t="shared" si="33"/>
        <v>324.90180224153931</v>
      </c>
      <c r="G158" s="712">
        <f t="shared" si="34"/>
        <v>300.60778982260069</v>
      </c>
      <c r="H158" s="719">
        <f t="shared" si="35"/>
        <v>298.04228614352968</v>
      </c>
      <c r="I158" s="712">
        <f t="shared" si="36"/>
        <v>298.02727457729333</v>
      </c>
      <c r="J158" s="712">
        <f t="shared" si="37"/>
        <v>298.01815476486138</v>
      </c>
      <c r="K158" s="712">
        <f t="shared" si="38"/>
        <v>298.01328782405346</v>
      </c>
      <c r="L158" s="712">
        <f t="shared" si="39"/>
        <v>298.01176165022576</v>
      </c>
      <c r="N158" s="582">
        <v>84</v>
      </c>
      <c r="O158" s="712">
        <f t="shared" si="43"/>
        <v>1.2470181746905089</v>
      </c>
      <c r="P158" s="712">
        <f t="shared" si="40"/>
        <v>440.84290224340367</v>
      </c>
      <c r="Q158" s="712">
        <f t="shared" si="44"/>
        <v>422.19670548829413</v>
      </c>
      <c r="R158" s="712">
        <f t="shared" si="45"/>
        <v>408.81538927705128</v>
      </c>
      <c r="S158" s="712">
        <f t="shared" si="46"/>
        <v>400.75669539203966</v>
      </c>
      <c r="T158" s="712">
        <f t="shared" si="41"/>
        <v>398.05498089378221</v>
      </c>
    </row>
    <row r="159" spans="2:20">
      <c r="B159" s="582">
        <v>85</v>
      </c>
      <c r="C159" s="712">
        <f t="shared" si="42"/>
        <v>1.2618636291511103</v>
      </c>
      <c r="D159" s="712">
        <f t="shared" si="31"/>
        <v>1275.5961543674955</v>
      </c>
      <c r="E159" s="712">
        <f t="shared" si="32"/>
        <v>502.72131924813374</v>
      </c>
      <c r="F159" s="712">
        <f t="shared" si="33"/>
        <v>325.59538926889496</v>
      </c>
      <c r="G159" s="712">
        <f t="shared" si="34"/>
        <v>300.70774498457331</v>
      </c>
      <c r="H159" s="719">
        <f t="shared" si="35"/>
        <v>298.04435937055183</v>
      </c>
      <c r="I159" s="712">
        <f t="shared" si="36"/>
        <v>298.02872175596406</v>
      </c>
      <c r="J159" s="712">
        <f t="shared" si="37"/>
        <v>298.0191993884672</v>
      </c>
      <c r="K159" s="712">
        <f t="shared" si="38"/>
        <v>298.01410840937967</v>
      </c>
      <c r="L159" s="712">
        <f t="shared" si="39"/>
        <v>298.01251036326073</v>
      </c>
      <c r="N159" s="582">
        <v>85</v>
      </c>
      <c r="O159" s="712">
        <f t="shared" si="43"/>
        <v>1.2618636291511103</v>
      </c>
      <c r="P159" s="712">
        <f t="shared" si="40"/>
        <v>442.11623668286035</v>
      </c>
      <c r="Q159" s="712">
        <f t="shared" si="44"/>
        <v>423.48990664369467</v>
      </c>
      <c r="R159" s="712">
        <f t="shared" si="45"/>
        <v>410.12277342084951</v>
      </c>
      <c r="S159" s="712">
        <f t="shared" si="46"/>
        <v>402.0725185858779</v>
      </c>
      <c r="T159" s="712">
        <f t="shared" si="41"/>
        <v>399.3734642459429</v>
      </c>
    </row>
    <row r="160" spans="2:20">
      <c r="B160" s="582">
        <v>86</v>
      </c>
      <c r="C160" s="712">
        <f t="shared" si="42"/>
        <v>1.2767090836117116</v>
      </c>
      <c r="D160" s="712">
        <f t="shared" si="31"/>
        <v>1277.9066999360896</v>
      </c>
      <c r="E160" s="712">
        <f t="shared" si="32"/>
        <v>505.46187448002729</v>
      </c>
      <c r="F160" s="712">
        <f t="shared" si="33"/>
        <v>326.29571356115287</v>
      </c>
      <c r="G160" s="712">
        <f t="shared" si="34"/>
        <v>300.80998068798516</v>
      </c>
      <c r="H160" s="719">
        <f t="shared" si="35"/>
        <v>298.04650347303937</v>
      </c>
      <c r="I160" s="712">
        <f t="shared" si="36"/>
        <v>298.03022383080463</v>
      </c>
      <c r="J160" s="712">
        <f t="shared" si="37"/>
        <v>298.02028786076272</v>
      </c>
      <c r="K160" s="712">
        <f t="shared" si="38"/>
        <v>298.01496637090668</v>
      </c>
      <c r="L160" s="712">
        <f t="shared" si="39"/>
        <v>298.01329431849473</v>
      </c>
      <c r="N160" s="582">
        <v>86</v>
      </c>
      <c r="O160" s="712">
        <f t="shared" si="43"/>
        <v>1.2767090836117116</v>
      </c>
      <c r="P160" s="712">
        <f t="shared" si="40"/>
        <v>443.38819627604147</v>
      </c>
      <c r="Q160" s="712">
        <f t="shared" si="44"/>
        <v>424.78171171746175</v>
      </c>
      <c r="R160" s="712">
        <f t="shared" si="45"/>
        <v>411.4287466935636</v>
      </c>
      <c r="S160" s="712">
        <f t="shared" si="46"/>
        <v>403.38692232311428</v>
      </c>
      <c r="T160" s="712">
        <f t="shared" si="41"/>
        <v>400.69052548749295</v>
      </c>
    </row>
    <row r="161" spans="2:20">
      <c r="B161" s="582">
        <v>87</v>
      </c>
      <c r="C161" s="712">
        <f t="shared" si="42"/>
        <v>1.2915545380723128</v>
      </c>
      <c r="D161" s="712">
        <f t="shared" si="31"/>
        <v>1280.1604649683193</v>
      </c>
      <c r="E161" s="712">
        <f t="shared" si="32"/>
        <v>508.19106614792599</v>
      </c>
      <c r="F161" s="712">
        <f t="shared" si="33"/>
        <v>327.00267197515319</v>
      </c>
      <c r="G161" s="712">
        <f t="shared" si="34"/>
        <v>300.91450726971658</v>
      </c>
      <c r="H161" s="719">
        <f t="shared" si="35"/>
        <v>298.04871976613924</v>
      </c>
      <c r="I161" s="712">
        <f t="shared" si="36"/>
        <v>298.03178201320611</v>
      </c>
      <c r="J161" s="712">
        <f t="shared" si="37"/>
        <v>298.02142130549299</v>
      </c>
      <c r="K161" s="712">
        <f t="shared" si="38"/>
        <v>298.01586277428754</v>
      </c>
      <c r="L161" s="712">
        <f t="shared" si="39"/>
        <v>298.01411456118643</v>
      </c>
      <c r="N161" s="582">
        <v>87</v>
      </c>
      <c r="O161" s="712">
        <f t="shared" si="43"/>
        <v>1.2915545380723128</v>
      </c>
      <c r="P161" s="712">
        <f t="shared" si="40"/>
        <v>444.6587826130953</v>
      </c>
      <c r="Q161" s="712">
        <f t="shared" si="44"/>
        <v>426.07212229288956</v>
      </c>
      <c r="R161" s="712">
        <f t="shared" si="45"/>
        <v>412.73331061905208</v>
      </c>
      <c r="S161" s="712">
        <f t="shared" si="46"/>
        <v>404.69990806069239</v>
      </c>
      <c r="T161" s="712">
        <f t="shared" si="41"/>
        <v>402.00616604658347</v>
      </c>
    </row>
    <row r="162" spans="2:20">
      <c r="B162" s="582">
        <v>88</v>
      </c>
      <c r="C162" s="712">
        <f t="shared" si="42"/>
        <v>1.3063999925329142</v>
      </c>
      <c r="D162" s="712">
        <f t="shared" si="31"/>
        <v>1282.3593598941538</v>
      </c>
      <c r="E162" s="712">
        <f t="shared" si="32"/>
        <v>510.90876811803633</v>
      </c>
      <c r="F162" s="712">
        <f t="shared" si="33"/>
        <v>327.71616173848668</v>
      </c>
      <c r="G162" s="712">
        <f t="shared" si="34"/>
        <v>301.02133450311715</v>
      </c>
      <c r="H162" s="719">
        <f t="shared" si="35"/>
        <v>298.05100956442584</v>
      </c>
      <c r="I162" s="712">
        <f t="shared" si="36"/>
        <v>298.03339751851661</v>
      </c>
      <c r="J162" s="712">
        <f t="shared" si="37"/>
        <v>298.02260085366248</v>
      </c>
      <c r="K162" s="712">
        <f t="shared" si="38"/>
        <v>298.01679869443501</v>
      </c>
      <c r="L162" s="712">
        <f t="shared" si="39"/>
        <v>298.0149721465221</v>
      </c>
      <c r="N162" s="582">
        <v>88</v>
      </c>
      <c r="O162" s="712">
        <f t="shared" si="43"/>
        <v>1.3063999925329142</v>
      </c>
      <c r="P162" s="712">
        <f t="shared" si="40"/>
        <v>445.92799726689822</v>
      </c>
      <c r="Q162" s="712">
        <f t="shared" si="44"/>
        <v>427.36113994035674</v>
      </c>
      <c r="R162" s="712">
        <f t="shared" si="45"/>
        <v>414.03646671933643</v>
      </c>
      <c r="S162" s="712">
        <f t="shared" si="46"/>
        <v>406.0114772649199</v>
      </c>
      <c r="T162" s="712">
        <f t="shared" si="41"/>
        <v>403.3203873653851</v>
      </c>
    </row>
    <row r="163" spans="2:20">
      <c r="B163" s="582">
        <v>89</v>
      </c>
      <c r="C163" s="712">
        <f t="shared" si="42"/>
        <v>1.3212454469935155</v>
      </c>
      <c r="D163" s="712">
        <f t="shared" si="31"/>
        <v>1284.505226187385</v>
      </c>
      <c r="E163" s="712">
        <f t="shared" si="32"/>
        <v>513.61486373260152</v>
      </c>
      <c r="F163" s="712">
        <f t="shared" si="33"/>
        <v>328.43608048900859</v>
      </c>
      <c r="G163" s="712">
        <f t="shared" si="34"/>
        <v>301.13047160489316</v>
      </c>
      <c r="H163" s="719">
        <f t="shared" si="35"/>
        <v>298.05337418163685</v>
      </c>
      <c r="I163" s="712">
        <f t="shared" si="36"/>
        <v>298.03507156573983</v>
      </c>
      <c r="J163" s="712">
        <f t="shared" si="37"/>
        <v>298.02382764321516</v>
      </c>
      <c r="K163" s="712">
        <f t="shared" si="38"/>
        <v>298.01777521519415</v>
      </c>
      <c r="L163" s="712">
        <f t="shared" si="39"/>
        <v>298.01586813928628</v>
      </c>
      <c r="N163" s="582">
        <v>89</v>
      </c>
      <c r="O163" s="712">
        <f t="shared" si="43"/>
        <v>1.3212454469935155</v>
      </c>
      <c r="P163" s="712">
        <f t="shared" si="40"/>
        <v>447.19584179534576</v>
      </c>
      <c r="Q163" s="712">
        <f t="shared" si="44"/>
        <v>428.64876621897758</v>
      </c>
      <c r="R163" s="712">
        <f t="shared" si="45"/>
        <v>415.33821651463114</v>
      </c>
      <c r="S163" s="712">
        <f t="shared" si="46"/>
        <v>407.32163140986046</v>
      </c>
      <c r="T163" s="712">
        <f t="shared" si="41"/>
        <v>404.63319089780003</v>
      </c>
    </row>
    <row r="164" spans="2:20">
      <c r="B164" s="582">
        <v>90</v>
      </c>
      <c r="C164" s="712">
        <f t="shared" si="42"/>
        <v>1.3360909014541167</v>
      </c>
      <c r="D164" s="712">
        <f t="shared" si="31"/>
        <v>1286.599838899868</v>
      </c>
      <c r="E164" s="712">
        <f t="shared" si="32"/>
        <v>516.309245407395</v>
      </c>
      <c r="F164" s="712">
        <f t="shared" si="33"/>
        <v>329.16232631209533</v>
      </c>
      <c r="G164" s="712">
        <f t="shared" si="34"/>
        <v>301.24192724211235</v>
      </c>
      <c r="H164" s="719">
        <f t="shared" si="35"/>
        <v>298.05581493041552</v>
      </c>
      <c r="I164" s="712">
        <f t="shared" si="36"/>
        <v>298.03680537723824</v>
      </c>
      <c r="J164" s="712">
        <f t="shared" si="37"/>
        <v>298.02510281871719</v>
      </c>
      <c r="K164" s="712">
        <f t="shared" si="38"/>
        <v>298.0187934290164</v>
      </c>
      <c r="L164" s="712">
        <f t="shared" si="39"/>
        <v>298.01680361353425</v>
      </c>
      <c r="N164" s="582">
        <v>90</v>
      </c>
      <c r="O164" s="712">
        <f t="shared" si="43"/>
        <v>1.3360909014541167</v>
      </c>
      <c r="P164" s="712">
        <f t="shared" si="40"/>
        <v>448.46231774330937</v>
      </c>
      <c r="Q164" s="712">
        <f t="shared" si="44"/>
        <v>429.93500267801221</v>
      </c>
      <c r="R164" s="712">
        <f t="shared" si="45"/>
        <v>416.6385615233695</v>
      </c>
      <c r="S164" s="712">
        <f t="shared" si="46"/>
        <v>408.63037197596145</v>
      </c>
      <c r="T164" s="712">
        <f t="shared" si="41"/>
        <v>405.94457810750754</v>
      </c>
    </row>
    <row r="165" spans="2:20">
      <c r="B165" s="582">
        <v>91</v>
      </c>
      <c r="C165" s="712">
        <f t="shared" si="42"/>
        <v>1.3509363559147181</v>
      </c>
      <c r="D165" s="712">
        <f t="shared" si="31"/>
        <v>1288.6449091021252</v>
      </c>
      <c r="E165" s="712">
        <f t="shared" si="32"/>
        <v>518.9918142447458</v>
      </c>
      <c r="F165" s="712">
        <f t="shared" si="33"/>
        <v>329.89479777573814</v>
      </c>
      <c r="G165" s="712">
        <f t="shared" si="34"/>
        <v>301.3557095393146</v>
      </c>
      <c r="H165" s="719">
        <f t="shared" si="35"/>
        <v>298.05833312205891</v>
      </c>
      <c r="I165" s="712">
        <f t="shared" si="36"/>
        <v>298.0386001784409</v>
      </c>
      <c r="J165" s="712">
        <f t="shared" si="37"/>
        <v>298.02642753104288</v>
      </c>
      <c r="K165" s="712">
        <f t="shared" si="38"/>
        <v>298.01985443663546</v>
      </c>
      <c r="L165" s="712">
        <f t="shared" si="39"/>
        <v>298.01777965226432</v>
      </c>
      <c r="N165" s="582">
        <v>91</v>
      </c>
      <c r="O165" s="712">
        <f t="shared" si="43"/>
        <v>1.3509363559147181</v>
      </c>
      <c r="P165" s="712">
        <f t="shared" si="40"/>
        <v>449.72742664430763</v>
      </c>
      <c r="Q165" s="712">
        <f t="shared" si="44"/>
        <v>431.2198508580708</v>
      </c>
      <c r="R165" s="712">
        <f t="shared" si="45"/>
        <v>417.93750326222658</v>
      </c>
      <c r="S165" s="712">
        <f t="shared" si="46"/>
        <v>409.93770044888197</v>
      </c>
      <c r="T165" s="712">
        <f t="shared" si="41"/>
        <v>407.25455046629651</v>
      </c>
    </row>
    <row r="166" spans="2:20">
      <c r="B166" s="582">
        <v>92</v>
      </c>
      <c r="C166" s="712">
        <f t="shared" si="42"/>
        <v>1.3657818103753194</v>
      </c>
      <c r="D166" s="712">
        <f t="shared" si="31"/>
        <v>1290.6420862337818</v>
      </c>
      <c r="E166" s="712">
        <f t="shared" si="32"/>
        <v>521.66247966151332</v>
      </c>
      <c r="F166" s="712">
        <f t="shared" si="33"/>
        <v>330.63339396356713</v>
      </c>
      <c r="G166" s="712">
        <f t="shared" si="34"/>
        <v>301.47182608571717</v>
      </c>
      <c r="H166" s="719">
        <f t="shared" si="35"/>
        <v>298.0609300662731</v>
      </c>
      <c r="I166" s="712">
        <f t="shared" si="36"/>
        <v>298.04045719755567</v>
      </c>
      <c r="J166" s="712">
        <f t="shared" si="37"/>
        <v>298.02780293706337</v>
      </c>
      <c r="K166" s="712">
        <f t="shared" si="38"/>
        <v>298.02095934674458</v>
      </c>
      <c r="L166" s="712">
        <f t="shared" si="39"/>
        <v>298.01879734709286</v>
      </c>
      <c r="N166" s="582">
        <v>92</v>
      </c>
      <c r="O166" s="712">
        <f t="shared" si="43"/>
        <v>1.3657818103753194</v>
      </c>
      <c r="P166" s="712">
        <f t="shared" si="40"/>
        <v>450.99117002193321</v>
      </c>
      <c r="Q166" s="712">
        <f t="shared" si="44"/>
        <v>432.50331229214254</v>
      </c>
      <c r="R166" s="712">
        <f t="shared" si="45"/>
        <v>419.23504324613788</v>
      </c>
      <c r="S166" s="712">
        <f t="shared" si="46"/>
        <v>411.24361831849274</v>
      </c>
      <c r="T166" s="712">
        <f t="shared" si="41"/>
        <v>408.56310945264084</v>
      </c>
    </row>
    <row r="167" spans="2:20">
      <c r="B167" s="582">
        <v>93</v>
      </c>
      <c r="C167" s="712">
        <f t="shared" si="42"/>
        <v>1.3806272648359206</v>
      </c>
      <c r="D167" s="712">
        <f t="shared" si="31"/>
        <v>1292.5929603671657</v>
      </c>
      <c r="E167" s="712">
        <f t="shared" si="32"/>
        <v>524.32115903144881</v>
      </c>
      <c r="F167" s="712">
        <f t="shared" si="33"/>
        <v>331.37801450589296</v>
      </c>
      <c r="G167" s="712">
        <f t="shared" si="34"/>
        <v>301.59028394250453</v>
      </c>
      <c r="H167" s="719">
        <f t="shared" si="35"/>
        <v>298.0636070709341</v>
      </c>
      <c r="I167" s="712">
        <f t="shared" si="36"/>
        <v>298.04237766528638</v>
      </c>
      <c r="J167" s="712">
        <f t="shared" si="37"/>
        <v>298.02923019933826</v>
      </c>
      <c r="K167" s="712">
        <f t="shared" si="38"/>
        <v>298.02210927567637</v>
      </c>
      <c r="L167" s="712">
        <f t="shared" si="39"/>
        <v>298.01985779792994</v>
      </c>
      <c r="N167" s="582">
        <v>93</v>
      </c>
      <c r="O167" s="712">
        <f t="shared" si="43"/>
        <v>1.3806272648359206</v>
      </c>
      <c r="P167" s="712">
        <f t="shared" si="40"/>
        <v>452.25354939107206</v>
      </c>
      <c r="Q167" s="712">
        <f t="shared" si="44"/>
        <v>433.78538850647396</v>
      </c>
      <c r="R167" s="712">
        <f t="shared" si="45"/>
        <v>420.53118298831703</v>
      </c>
      <c r="S167" s="712">
        <f t="shared" si="46"/>
        <v>412.54812707802142</v>
      </c>
      <c r="T167" s="712">
        <f t="shared" si="41"/>
        <v>409.87025655048393</v>
      </c>
    </row>
    <row r="168" spans="2:20">
      <c r="B168" s="582">
        <v>94</v>
      </c>
      <c r="C168" s="712">
        <f t="shared" si="42"/>
        <v>1.3954727192965219</v>
      </c>
      <c r="D168" s="712">
        <f t="shared" si="31"/>
        <v>1294.49906438729</v>
      </c>
      <c r="E168" s="712">
        <f t="shared" si="32"/>
        <v>526.96777734140358</v>
      </c>
      <c r="F168" s="712">
        <f t="shared" si="33"/>
        <v>332.12855960885139</v>
      </c>
      <c r="G168" s="712">
        <f t="shared" si="34"/>
        <v>301.71108965019306</v>
      </c>
      <c r="H168" s="719">
        <f t="shared" si="35"/>
        <v>298.06636544185494</v>
      </c>
      <c r="I168" s="712">
        <f t="shared" si="36"/>
        <v>298.04436281455435</v>
      </c>
      <c r="J168" s="712">
        <f t="shared" si="37"/>
        <v>298.03071048581063</v>
      </c>
      <c r="K168" s="712">
        <f t="shared" si="38"/>
        <v>298.0233053470842</v>
      </c>
      <c r="L168" s="712">
        <f t="shared" si="39"/>
        <v>298.020962112657</v>
      </c>
      <c r="N168" s="582">
        <v>94</v>
      </c>
      <c r="O168" s="712">
        <f t="shared" si="43"/>
        <v>1.3954727192965219</v>
      </c>
      <c r="P168" s="712">
        <f t="shared" si="40"/>
        <v>453.5145662589444</v>
      </c>
      <c r="Q168" s="712">
        <f t="shared" si="44"/>
        <v>435.06608102131997</v>
      </c>
      <c r="R168" s="712">
        <f t="shared" si="45"/>
        <v>421.82592400026965</v>
      </c>
      <c r="S168" s="712">
        <f t="shared" si="46"/>
        <v>413.85122822332454</v>
      </c>
      <c r="T168" s="712">
        <f t="shared" si="41"/>
        <v>411.17599324820031</v>
      </c>
    </row>
    <row r="169" spans="2:20">
      <c r="B169" s="582">
        <v>95</v>
      </c>
      <c r="C169" s="712">
        <f t="shared" si="42"/>
        <v>1.4103181737571233</v>
      </c>
      <c r="D169" s="712">
        <f t="shared" si="31"/>
        <v>1296.3618760913109</v>
      </c>
      <c r="E169" s="712">
        <f t="shared" si="32"/>
        <v>529.60226686086207</v>
      </c>
      <c r="F169" s="712">
        <f t="shared" si="33"/>
        <v>332.88493008173185</v>
      </c>
      <c r="G169" s="712">
        <f t="shared" si="34"/>
        <v>301.83424923606077</v>
      </c>
      <c r="H169" s="719">
        <f t="shared" si="35"/>
        <v>298.06920648255891</v>
      </c>
      <c r="I169" s="712">
        <f t="shared" si="36"/>
        <v>298.04641388022469</v>
      </c>
      <c r="J169" s="712">
        <f t="shared" si="37"/>
        <v>298.0322449695052</v>
      </c>
      <c r="K169" s="712">
        <f t="shared" si="38"/>
        <v>298.02454869162619</v>
      </c>
      <c r="L169" s="712">
        <f t="shared" si="39"/>
        <v>298.02211140680674</v>
      </c>
      <c r="N169" s="582">
        <v>95</v>
      </c>
      <c r="O169" s="712">
        <f t="shared" si="43"/>
        <v>1.4103181737571233</v>
      </c>
      <c r="P169" s="712">
        <f t="shared" si="40"/>
        <v>454.77422212599419</v>
      </c>
      <c r="Q169" s="712">
        <f t="shared" si="44"/>
        <v>436.34539135158479</v>
      </c>
      <c r="R169" s="712">
        <f t="shared" si="45"/>
        <v>423.11926779180664</v>
      </c>
      <c r="S169" s="712">
        <f t="shared" si="46"/>
        <v>415.15292325226466</v>
      </c>
      <c r="T169" s="712">
        <f t="shared" si="41"/>
        <v>412.4803210377101</v>
      </c>
    </row>
    <row r="170" spans="2:20">
      <c r="B170" s="582">
        <v>96</v>
      </c>
      <c r="C170" s="712">
        <f t="shared" si="42"/>
        <v>1.4251636282177245</v>
      </c>
      <c r="D170" s="712">
        <f t="shared" si="31"/>
        <v>1298.1828202104409</v>
      </c>
      <c r="E170" s="712">
        <f t="shared" si="32"/>
        <v>532.2245668242997</v>
      </c>
      <c r="F170" s="712">
        <f t="shared" si="33"/>
        <v>333.64702736256856</v>
      </c>
      <c r="G170" s="712">
        <f t="shared" si="34"/>
        <v>301.95976822163317</v>
      </c>
      <c r="H170" s="719">
        <f t="shared" si="35"/>
        <v>298.07213149405851</v>
      </c>
      <c r="I170" s="712">
        <f t="shared" si="36"/>
        <v>298.04853209883709</v>
      </c>
      <c r="J170" s="712">
        <f t="shared" si="37"/>
        <v>298.03383482823</v>
      </c>
      <c r="K170" s="712">
        <f t="shared" si="38"/>
        <v>298.02584044665161</v>
      </c>
      <c r="L170" s="712">
        <f t="shared" si="39"/>
        <v>298.02330680324468</v>
      </c>
      <c r="N170" s="582">
        <v>96</v>
      </c>
      <c r="O170" s="712">
        <f t="shared" si="43"/>
        <v>1.4251636282177245</v>
      </c>
      <c r="P170" s="712">
        <f t="shared" si="40"/>
        <v>456.03251848664854</v>
      </c>
      <c r="Q170" s="712">
        <f t="shared" si="44"/>
        <v>437.62332100736967</v>
      </c>
      <c r="R170" s="712">
        <f t="shared" si="45"/>
        <v>424.41121587105511</v>
      </c>
      <c r="S170" s="712">
        <f t="shared" si="46"/>
        <v>416.45321366417943</v>
      </c>
      <c r="T170" s="712">
        <f t="shared" si="41"/>
        <v>413.78324141372201</v>
      </c>
    </row>
    <row r="171" spans="2:20">
      <c r="B171" s="582">
        <v>97</v>
      </c>
      <c r="C171" s="712">
        <f t="shared" si="42"/>
        <v>1.4400090826783258</v>
      </c>
      <c r="D171" s="712">
        <f t="shared" ref="D171:D202" si="47">(1-2*FoAb-2*FoAb*BiCombAb)*D170+2*FoAb*E170+2*FoAb*BiCombAb*Tcomb</f>
        <v>1299.9632703571881</v>
      </c>
      <c r="E171" s="712">
        <f t="shared" ref="E171:E202" si="48">FoAb*D170+(1-2*FoAb)*E170+FoAb*F170</f>
        <v>534.83462312588074</v>
      </c>
      <c r="F171" s="712">
        <f t="shared" ref="F171:F202" si="49">FoAb*E170+(1-2*FoAb)*F170+FoAb*G170</f>
        <v>334.41475354206995</v>
      </c>
      <c r="G171" s="712">
        <f t="shared" ref="G171:G202" si="50">FoAb*F170+(1-2*FoAb)*G170+FoAb*H170</f>
        <v>302.08765163021735</v>
      </c>
      <c r="H171" s="719">
        <f t="shared" ref="H171:H202" si="51">_FoN1*G170+(1-_FoN1-_FoN2)*H170+_FoN2*I170</f>
        <v>298.0751417746402</v>
      </c>
      <c r="I171" s="712">
        <f t="shared" ref="I171:I202" si="52">FoCase*H170+(1-2*FoCase)*I170+FoCase*J170</f>
        <v>298.05071870834149</v>
      </c>
      <c r="J171" s="712">
        <f t="shared" ref="J171:J202" si="53">FoCase*I170+(1-2*FoCase)*J170+FoCase*K170</f>
        <v>298.03548124428147</v>
      </c>
      <c r="K171" s="712">
        <f t="shared" ref="K171:K202" si="54">FoCase*J170+(1-2*FoCase)*K170+FoCase*L170</f>
        <v>298.02718175589007</v>
      </c>
      <c r="L171" s="712">
        <f t="shared" ref="L171:L202" si="55">(1-2*FoCase-2*FoCase*BiAtmCase)*L170+2*FoCase*K170+2*FoCase*BiAtmCase*Tatm</f>
        <v>298.02454943185347</v>
      </c>
      <c r="N171" s="582">
        <v>97</v>
      </c>
      <c r="O171" s="712">
        <f t="shared" si="43"/>
        <v>1.4400090826783258</v>
      </c>
      <c r="P171" s="712">
        <f t="shared" ref="P171:P202" si="56">(1-2*FoCase-2*FoCase*BiCombCase)*P170+2*FoCase*Q170+2*FoCase*BiCombCase*Tcomb</f>
        <v>457.28945682996692</v>
      </c>
      <c r="Q171" s="712">
        <f t="shared" si="44"/>
        <v>438.89987149444084</v>
      </c>
      <c r="R171" s="712">
        <f t="shared" si="45"/>
        <v>425.70176974446804</v>
      </c>
      <c r="S171" s="712">
        <f t="shared" si="46"/>
        <v>417.75210095942856</v>
      </c>
      <c r="T171" s="712">
        <f t="shared" ref="T171:T202" si="57">(1-2*FoCase-2*FoCase*BiAtmCase)*T170+2*FoCase*S170+2*FoCase*BiAtmCase*Tatm</f>
        <v>415.08475587308823</v>
      </c>
    </row>
    <row r="172" spans="2:20">
      <c r="B172" s="582">
        <v>98</v>
      </c>
      <c r="C172" s="712">
        <f t="shared" si="42"/>
        <v>1.4548545371389272</v>
      </c>
      <c r="D172" s="712">
        <f t="shared" si="47"/>
        <v>1301.7045509006848</v>
      </c>
      <c r="E172" s="712">
        <f t="shared" si="48"/>
        <v>537.43238802603446</v>
      </c>
      <c r="F172" s="712">
        <f t="shared" si="49"/>
        <v>335.18801138595722</v>
      </c>
      <c r="G172" s="712">
        <f t="shared" si="50"/>
        <v>302.21790399447559</v>
      </c>
      <c r="H172" s="719">
        <f t="shared" si="51"/>
        <v>298.07823861965483</v>
      </c>
      <c r="I172" s="712">
        <f t="shared" si="52"/>
        <v>298.05297494783815</v>
      </c>
      <c r="J172" s="712">
        <f t="shared" si="53"/>
        <v>298.03718540415292</v>
      </c>
      <c r="K172" s="712">
        <f t="shared" si="54"/>
        <v>298.02857376914289</v>
      </c>
      <c r="L172" s="712">
        <f t="shared" si="55"/>
        <v>298.02584042921922</v>
      </c>
      <c r="N172" s="582">
        <v>98</v>
      </c>
      <c r="O172" s="712">
        <f t="shared" si="43"/>
        <v>1.4548545371389272</v>
      </c>
      <c r="P172" s="712">
        <f t="shared" si="56"/>
        <v>458.54503864019517</v>
      </c>
      <c r="Q172" s="712">
        <f t="shared" ref="Q172:Q202" si="58">FoCase*P171+(1-2*FoCase)*Q171+FoCase*R171</f>
        <v>440.17504431462982</v>
      </c>
      <c r="R172" s="712">
        <f t="shared" si="45"/>
        <v>426.99093091683329</v>
      </c>
      <c r="S172" s="712">
        <f t="shared" si="46"/>
        <v>419.04958663900686</v>
      </c>
      <c r="T172" s="712">
        <f t="shared" si="57"/>
        <v>416.384865914253</v>
      </c>
    </row>
    <row r="173" spans="2:20">
      <c r="B173" s="582">
        <v>99</v>
      </c>
      <c r="C173" s="712">
        <f t="shared" si="42"/>
        <v>1.4696999915995286</v>
      </c>
      <c r="D173" s="712">
        <f t="shared" si="47"/>
        <v>1303.4079387727656</v>
      </c>
      <c r="E173" s="712">
        <f t="shared" si="48"/>
        <v>540.01781986945912</v>
      </c>
      <c r="F173" s="712">
        <f t="shared" si="49"/>
        <v>335.96670435578329</v>
      </c>
      <c r="G173" s="712">
        <f t="shared" si="50"/>
        <v>302.35052936403116</v>
      </c>
      <c r="H173" s="719">
        <f t="shared" si="51"/>
        <v>298.08142332131348</v>
      </c>
      <c r="I173" s="712">
        <f t="shared" si="52"/>
        <v>298.05530205732219</v>
      </c>
      <c r="J173" s="712">
        <f t="shared" si="53"/>
        <v>298.03894849824684</v>
      </c>
      <c r="K173" s="712">
        <f t="shared" si="54"/>
        <v>298.03001764197802</v>
      </c>
      <c r="L173" s="712">
        <f t="shared" si="55"/>
        <v>298.02718093832084</v>
      </c>
      <c r="N173" s="582">
        <v>99</v>
      </c>
      <c r="O173" s="712">
        <f t="shared" si="43"/>
        <v>1.4696999915995286</v>
      </c>
      <c r="P173" s="712">
        <f t="shared" si="56"/>
        <v>459.79926539723942</v>
      </c>
      <c r="Q173" s="712">
        <f t="shared" si="58"/>
        <v>441.44884096617454</v>
      </c>
      <c r="R173" s="712">
        <f t="shared" si="45"/>
        <v>428.27870089128066</v>
      </c>
      <c r="S173" s="712">
        <f t="shared" si="46"/>
        <v>420.34567220421434</v>
      </c>
      <c r="T173" s="712">
        <f t="shared" si="57"/>
        <v>417.68357303678255</v>
      </c>
    </row>
    <row r="174" spans="2:20">
      <c r="B174" s="582">
        <v>100</v>
      </c>
      <c r="C174" s="712">
        <f t="shared" si="42"/>
        <v>1.4845454460601297</v>
      </c>
      <c r="D174" s="712">
        <f t="shared" si="47"/>
        <v>1305.0746652073597</v>
      </c>
      <c r="E174" s="712">
        <f t="shared" si="48"/>
        <v>542.59088281412551</v>
      </c>
      <c r="F174" s="712">
        <f t="shared" si="49"/>
        <v>336.75073662829743</v>
      </c>
      <c r="G174" s="712">
        <f t="shared" si="50"/>
        <v>302.4855313130991</v>
      </c>
      <c r="H174" s="719">
        <f t="shared" si="51"/>
        <v>298.08469716848919</v>
      </c>
      <c r="I174" s="712">
        <f t="shared" si="52"/>
        <v>298.05770127743324</v>
      </c>
      <c r="J174" s="712">
        <f t="shared" si="53"/>
        <v>298.04077172059078</v>
      </c>
      <c r="K174" s="712">
        <f t="shared" si="54"/>
        <v>298.03151453542756</v>
      </c>
      <c r="L174" s="712">
        <f t="shared" si="55"/>
        <v>298.02857210822168</v>
      </c>
      <c r="N174" s="582">
        <v>100</v>
      </c>
      <c r="O174" s="712">
        <f t="shared" si="43"/>
        <v>1.4845454460601297</v>
      </c>
      <c r="P174" s="712">
        <f t="shared" si="56"/>
        <v>461.05213857707059</v>
      </c>
      <c r="Q174" s="712">
        <f t="shared" si="58"/>
        <v>442.72126294401176</v>
      </c>
      <c r="R174" s="712">
        <f t="shared" si="45"/>
        <v>429.56508116928904</v>
      </c>
      <c r="S174" s="712">
        <f t="shared" si="46"/>
        <v>421.64035915637459</v>
      </c>
      <c r="T174" s="712">
        <f t="shared" si="57"/>
        <v>418.98087874096376</v>
      </c>
    </row>
    <row r="175" spans="2:20">
      <c r="B175" s="582">
        <v>101</v>
      </c>
      <c r="C175" s="712">
        <f t="shared" si="42"/>
        <v>1.4993909005207311</v>
      </c>
      <c r="D175" s="712">
        <f t="shared" si="47"/>
        <v>1306.7059174156627</v>
      </c>
      <c r="E175" s="712">
        <f t="shared" si="48"/>
        <v>545.15154657086316</v>
      </c>
      <c r="F175" s="712">
        <f t="shared" si="49"/>
        <v>337.54001311342034</v>
      </c>
      <c r="G175" s="712">
        <f t="shared" si="50"/>
        <v>302.62291294813457</v>
      </c>
      <c r="H175" s="719">
        <f t="shared" si="51"/>
        <v>298.08806144652334</v>
      </c>
      <c r="I175" s="712">
        <f t="shared" si="52"/>
        <v>298.06017384920904</v>
      </c>
      <c r="J175" s="712">
        <f t="shared" si="53"/>
        <v>298.04265626855681</v>
      </c>
      <c r="K175" s="712">
        <f t="shared" si="54"/>
        <v>298.03306561568826</v>
      </c>
      <c r="L175" s="712">
        <f t="shared" si="55"/>
        <v>298.03001509376435</v>
      </c>
      <c r="N175" s="582">
        <v>101</v>
      </c>
      <c r="O175" s="712">
        <f t="shared" si="43"/>
        <v>1.4993909005207311</v>
      </c>
      <c r="P175" s="712">
        <f t="shared" si="56"/>
        <v>462.30365965207028</v>
      </c>
      <c r="Q175" s="712">
        <f t="shared" si="58"/>
        <v>443.99231174002676</v>
      </c>
      <c r="R175" s="712">
        <f t="shared" si="45"/>
        <v>430.85007325069216</v>
      </c>
      <c r="S175" s="712">
        <f t="shared" si="46"/>
        <v>422.93364899659463</v>
      </c>
      <c r="T175" s="712">
        <f t="shared" si="57"/>
        <v>420.27678452746159</v>
      </c>
    </row>
    <row r="176" spans="2:20">
      <c r="B176" s="582">
        <v>102</v>
      </c>
      <c r="C176" s="712">
        <f t="shared" si="42"/>
        <v>1.5142363549813325</v>
      </c>
      <c r="D176" s="712">
        <f t="shared" si="47"/>
        <v>1308.3028401994663</v>
      </c>
      <c r="E176" s="712">
        <f t="shared" si="48"/>
        <v>547.69978615313278</v>
      </c>
      <c r="F176" s="712">
        <f t="shared" si="49"/>
        <v>338.33443947089114</v>
      </c>
      <c r="G176" s="712">
        <f t="shared" si="50"/>
        <v>302.7626769154931</v>
      </c>
      <c r="H176" s="719">
        <f t="shared" si="51"/>
        <v>298.09151743703802</v>
      </c>
      <c r="I176" s="712">
        <f t="shared" si="52"/>
        <v>298.06272101384405</v>
      </c>
      <c r="J176" s="712">
        <f t="shared" si="53"/>
        <v>298.04460334258511</v>
      </c>
      <c r="K176" s="712">
        <f t="shared" si="54"/>
        <v>298.0346720538256</v>
      </c>
      <c r="L176" s="712">
        <f t="shared" si="55"/>
        <v>298.0315110552682</v>
      </c>
      <c r="N176" s="582">
        <v>102</v>
      </c>
      <c r="O176" s="712">
        <f t="shared" si="43"/>
        <v>1.5142363549813325</v>
      </c>
      <c r="P176" s="712">
        <f t="shared" si="56"/>
        <v>463.5538300913264</v>
      </c>
      <c r="Q176" s="712">
        <f t="shared" si="58"/>
        <v>445.26198884326635</v>
      </c>
      <c r="R176" s="712">
        <f t="shared" si="45"/>
        <v>432.13367863368421</v>
      </c>
      <c r="S176" s="712">
        <f t="shared" si="46"/>
        <v>424.22554322556016</v>
      </c>
      <c r="T176" s="712">
        <f t="shared" si="57"/>
        <v>421.57129189702692</v>
      </c>
    </row>
    <row r="177" spans="2:20">
      <c r="B177" s="582">
        <v>103</v>
      </c>
      <c r="C177" s="712">
        <f t="shared" si="42"/>
        <v>1.5290818094419336</v>
      </c>
      <c r="D177" s="712">
        <f t="shared" si="47"/>
        <v>1309.8665375049331</v>
      </c>
      <c r="E177" s="712">
        <f t="shared" si="48"/>
        <v>550.235581636598</v>
      </c>
      <c r="F177" s="712">
        <f t="shared" si="49"/>
        <v>339.13392212564531</v>
      </c>
      <c r="G177" s="712">
        <f t="shared" si="50"/>
        <v>302.90482540909591</v>
      </c>
      <c r="H177" s="719">
        <f t="shared" si="51"/>
        <v>298.09506641775306</v>
      </c>
      <c r="I177" s="712">
        <f t="shared" si="52"/>
        <v>298.06534401245261</v>
      </c>
      <c r="J177" s="712">
        <f t="shared" si="53"/>
        <v>298.04661414591078</v>
      </c>
      <c r="K177" s="712">
        <f t="shared" si="54"/>
        <v>298.0363350254807</v>
      </c>
      <c r="L177" s="712">
        <f t="shared" si="55"/>
        <v>298.03306115823028</v>
      </c>
      <c r="N177" s="582">
        <v>103</v>
      </c>
      <c r="O177" s="712">
        <f t="shared" si="43"/>
        <v>1.5290818094419336</v>
      </c>
      <c r="P177" s="712">
        <f t="shared" si="56"/>
        <v>464.80265136088548</v>
      </c>
      <c r="Q177" s="712">
        <f t="shared" si="58"/>
        <v>446.53029574012186</v>
      </c>
      <c r="R177" s="712">
        <f t="shared" si="45"/>
        <v>433.41589881482446</v>
      </c>
      <c r="S177" s="712">
        <f t="shared" si="46"/>
        <v>425.51604334336105</v>
      </c>
      <c r="T177" s="712">
        <f t="shared" si="57"/>
        <v>422.86440235024742</v>
      </c>
    </row>
    <row r="178" spans="2:20">
      <c r="B178" s="582">
        <v>104</v>
      </c>
      <c r="C178" s="712">
        <f t="shared" si="42"/>
        <v>1.543927263902535</v>
      </c>
      <c r="D178" s="712">
        <f t="shared" si="47"/>
        <v>1311.3980739190197</v>
      </c>
      <c r="E178" s="712">
        <f t="shared" si="48"/>
        <v>552.75891792812752</v>
      </c>
      <c r="F178" s="712">
        <f t="shared" si="49"/>
        <v>339.93836828198044</v>
      </c>
      <c r="G178" s="712">
        <f t="shared" si="50"/>
        <v>303.04936017809422</v>
      </c>
      <c r="H178" s="719">
        <f t="shared" si="51"/>
        <v>298.09870966230841</v>
      </c>
      <c r="I178" s="712">
        <f t="shared" si="52"/>
        <v>298.06804408583605</v>
      </c>
      <c r="J178" s="712">
        <f t="shared" si="53"/>
        <v>298.04868988429553</v>
      </c>
      <c r="K178" s="712">
        <f t="shared" si="54"/>
        <v>298.03805571058086</v>
      </c>
      <c r="L178" s="712">
        <f t="shared" si="55"/>
        <v>298.03466657302903</v>
      </c>
      <c r="N178" s="582">
        <v>104</v>
      </c>
      <c r="O178" s="712">
        <f t="shared" si="43"/>
        <v>1.543927263902535</v>
      </c>
      <c r="P178" s="712">
        <f t="shared" si="56"/>
        <v>466.05012492396895</v>
      </c>
      <c r="Q178" s="712">
        <f t="shared" si="58"/>
        <v>447.79723391448476</v>
      </c>
      <c r="R178" s="712">
        <f t="shared" si="45"/>
        <v>434.69673528904195</v>
      </c>
      <c r="S178" s="712">
        <f t="shared" si="46"/>
        <v>426.80515084934211</v>
      </c>
      <c r="T178" s="712">
        <f t="shared" si="57"/>
        <v>424.15611738733492</v>
      </c>
    </row>
    <row r="179" spans="2:20">
      <c r="B179" s="582">
        <v>105</v>
      </c>
      <c r="C179" s="712">
        <f t="shared" si="42"/>
        <v>1.5587727183631364</v>
      </c>
      <c r="D179" s="712">
        <f t="shared" si="47"/>
        <v>1312.8984761106715</v>
      </c>
      <c r="E179" s="712">
        <f t="shared" si="48"/>
        <v>555.26978454387245</v>
      </c>
      <c r="F179" s="712">
        <f t="shared" si="49"/>
        <v>340.74768593656404</v>
      </c>
      <c r="G179" s="712">
        <f t="shared" si="50"/>
        <v>303.19628253452822</v>
      </c>
      <c r="H179" s="719">
        <f t="shared" si="51"/>
        <v>298.10244844009128</v>
      </c>
      <c r="I179" s="712">
        <f t="shared" si="52"/>
        <v>298.07082247425512</v>
      </c>
      <c r="J179" s="712">
        <f t="shared" si="53"/>
        <v>298.05083176576193</v>
      </c>
      <c r="K179" s="712">
        <f t="shared" si="54"/>
        <v>298.03983529305356</v>
      </c>
      <c r="L179" s="712">
        <f t="shared" si="55"/>
        <v>298.03632847463143</v>
      </c>
      <c r="N179" s="582">
        <v>105</v>
      </c>
      <c r="O179" s="712">
        <f t="shared" si="43"/>
        <v>1.5587727183631364</v>
      </c>
      <c r="P179" s="712">
        <f t="shared" si="56"/>
        <v>467.29625224115762</v>
      </c>
      <c r="Q179" s="712">
        <f t="shared" si="58"/>
        <v>449.06280484788067</v>
      </c>
      <c r="R179" s="712">
        <f t="shared" si="45"/>
        <v>435.97618954963912</v>
      </c>
      <c r="S179" s="712">
        <f t="shared" si="46"/>
        <v>428.09286724197642</v>
      </c>
      <c r="T179" s="712">
        <f t="shared" si="57"/>
        <v>425.44643850794421</v>
      </c>
    </row>
    <row r="180" spans="2:20">
      <c r="B180" s="582">
        <v>106</v>
      </c>
      <c r="C180" s="712">
        <f t="shared" si="42"/>
        <v>1.5736181728237375</v>
      </c>
      <c r="D180" s="712">
        <f t="shared" si="47"/>
        <v>1314.3687342188323</v>
      </c>
      <c r="E180" s="712">
        <f t="shared" si="48"/>
        <v>557.76817539607373</v>
      </c>
      <c r="F180" s="712">
        <f t="shared" si="49"/>
        <v>341.5617838903363</v>
      </c>
      <c r="G180" s="712">
        <f t="shared" si="50"/>
        <v>303.34559336097368</v>
      </c>
      <c r="H180" s="719">
        <f t="shared" si="51"/>
        <v>298.10628401606834</v>
      </c>
      <c r="I180" s="712">
        <f t="shared" si="52"/>
        <v>298.07368041720633</v>
      </c>
      <c r="J180" s="712">
        <f t="shared" si="53"/>
        <v>298.05304100033277</v>
      </c>
      <c r="K180" s="712">
        <f t="shared" si="54"/>
        <v>298.04167496054384</v>
      </c>
      <c r="L180" s="712">
        <f t="shared" si="55"/>
        <v>298.03804804230373</v>
      </c>
      <c r="N180" s="582">
        <v>106</v>
      </c>
      <c r="O180" s="712">
        <f t="shared" si="43"/>
        <v>1.5736181728237375</v>
      </c>
      <c r="P180" s="712">
        <f t="shared" si="56"/>
        <v>468.54103477054974</v>
      </c>
      <c r="Q180" s="712">
        <f t="shared" si="58"/>
        <v>450.32701001958327</v>
      </c>
      <c r="R180" s="712">
        <f t="shared" si="45"/>
        <v>437.25426308829577</v>
      </c>
      <c r="S180" s="712">
        <f t="shared" si="46"/>
        <v>429.37919401875735</v>
      </c>
      <c r="T180" s="712">
        <f t="shared" si="57"/>
        <v>426.7353672110184</v>
      </c>
    </row>
    <row r="181" spans="2:20">
      <c r="B181" s="582">
        <v>107</v>
      </c>
      <c r="C181" s="712">
        <f t="shared" si="42"/>
        <v>1.5884636272843389</v>
      </c>
      <c r="D181" s="712">
        <f t="shared" si="47"/>
        <v>1315.8098031892343</v>
      </c>
      <c r="E181" s="712">
        <f t="shared" si="48"/>
        <v>560.25408858827177</v>
      </c>
      <c r="F181" s="712">
        <f t="shared" si="49"/>
        <v>342.38057175935785</v>
      </c>
      <c r="G181" s="712">
        <f t="shared" si="50"/>
        <v>303.49729311817316</v>
      </c>
      <c r="H181" s="719">
        <f t="shared" si="51"/>
        <v>298.11021765062253</v>
      </c>
      <c r="I181" s="712">
        <f t="shared" si="52"/>
        <v>298.07661915320273</v>
      </c>
      <c r="J181" s="712">
        <f t="shared" si="53"/>
        <v>298.05531879977389</v>
      </c>
      <c r="K181" s="712">
        <f t="shared" si="54"/>
        <v>298.04357590413514</v>
      </c>
      <c r="L181" s="712">
        <f t="shared" si="55"/>
        <v>298.03982645932507</v>
      </c>
      <c r="N181" s="582">
        <v>107</v>
      </c>
      <c r="O181" s="712">
        <f t="shared" si="43"/>
        <v>1.5884636272843389</v>
      </c>
      <c r="P181" s="712">
        <f t="shared" si="56"/>
        <v>469.78447396789591</v>
      </c>
      <c r="Q181" s="712">
        <f t="shared" si="58"/>
        <v>451.58985090671212</v>
      </c>
      <c r="R181" s="712">
        <f t="shared" si="45"/>
        <v>438.53095739507239</v>
      </c>
      <c r="S181" s="712">
        <f t="shared" si="46"/>
        <v>430.66413267610642</v>
      </c>
      <c r="T181" s="712">
        <f t="shared" si="57"/>
        <v>428.02290499465738</v>
      </c>
    </row>
    <row r="182" spans="2:20">
      <c r="B182" s="582">
        <v>108</v>
      </c>
      <c r="C182" s="712">
        <f t="shared" si="42"/>
        <v>1.6033090817449402</v>
      </c>
      <c r="D182" s="712">
        <f t="shared" si="47"/>
        <v>1317.2226040618673</v>
      </c>
      <c r="E182" s="712">
        <f t="shared" si="48"/>
        <v>562.72752621859956</v>
      </c>
      <c r="F182" s="712">
        <f t="shared" si="49"/>
        <v>343.20395998465028</v>
      </c>
      <c r="G182" s="712">
        <f t="shared" si="50"/>
        <v>303.6513818526451</v>
      </c>
      <c r="H182" s="719">
        <f t="shared" si="51"/>
        <v>298.11425059939472</v>
      </c>
      <c r="I182" s="712">
        <f t="shared" si="52"/>
        <v>298.07963991955933</v>
      </c>
      <c r="J182" s="712">
        <f t="shared" si="53"/>
        <v>298.05766637734075</v>
      </c>
      <c r="K182" s="712">
        <f t="shared" si="54"/>
        <v>298.04553931807425</v>
      </c>
      <c r="L182" s="712">
        <f t="shared" si="55"/>
        <v>298.04166491270507</v>
      </c>
      <c r="N182" s="582">
        <v>108</v>
      </c>
      <c r="O182" s="712">
        <f t="shared" si="43"/>
        <v>1.6033090817449402</v>
      </c>
      <c r="P182" s="712">
        <f t="shared" si="56"/>
        <v>471.02657128671484</v>
      </c>
      <c r="Q182" s="712">
        <f t="shared" si="58"/>
        <v>452.85132898431681</v>
      </c>
      <c r="R182" s="712">
        <f t="shared" si="45"/>
        <v>439.80627395841339</v>
      </c>
      <c r="S182" s="712">
        <f t="shared" si="46"/>
        <v>431.94768470929495</v>
      </c>
      <c r="T182" s="712">
        <f t="shared" si="57"/>
        <v>429.30905335600539</v>
      </c>
    </row>
    <row r="183" spans="2:20">
      <c r="B183" s="582">
        <v>109</v>
      </c>
      <c r="C183" s="712">
        <f t="shared" si="42"/>
        <v>1.6181545362055414</v>
      </c>
      <c r="D183" s="712">
        <f t="shared" si="47"/>
        <v>1318.6080252109473</v>
      </c>
      <c r="E183" s="712">
        <f t="shared" si="48"/>
        <v>565.18849419085302</v>
      </c>
      <c r="F183" s="712">
        <f t="shared" si="49"/>
        <v>344.03185984107688</v>
      </c>
      <c r="G183" s="712">
        <f t="shared" si="50"/>
        <v>303.80785920426831</v>
      </c>
      <c r="H183" s="719">
        <f t="shared" si="51"/>
        <v>298.11838411312993</v>
      </c>
      <c r="I183" s="712">
        <f t="shared" si="52"/>
        <v>298.08274395218285</v>
      </c>
      <c r="J183" s="712">
        <f t="shared" si="53"/>
        <v>298.06008494752939</v>
      </c>
      <c r="K183" s="712">
        <f t="shared" si="54"/>
        <v>298.04756639949926</v>
      </c>
      <c r="L183" s="712">
        <f t="shared" si="55"/>
        <v>298.04356459290483</v>
      </c>
      <c r="N183" s="582">
        <v>109</v>
      </c>
      <c r="O183" s="712">
        <f t="shared" si="43"/>
        <v>1.6181545362055414</v>
      </c>
      <c r="P183" s="712">
        <f t="shared" si="56"/>
        <v>472.26732817839223</v>
      </c>
      <c r="Q183" s="712">
        <f t="shared" si="58"/>
        <v>454.11144572544833</v>
      </c>
      <c r="R183" s="712">
        <f t="shared" si="45"/>
        <v>441.08021426514972</v>
      </c>
      <c r="S183" s="712">
        <f t="shared" si="46"/>
        <v>433.22985161237733</v>
      </c>
      <c r="T183" s="712">
        <f t="shared" si="57"/>
        <v>430.59381379115581</v>
      </c>
    </row>
    <row r="184" spans="2:20">
      <c r="B184" s="582">
        <v>110</v>
      </c>
      <c r="C184" s="712">
        <f t="shared" si="42"/>
        <v>1.6329999906661428</v>
      </c>
      <c r="D184" s="712">
        <f t="shared" si="47"/>
        <v>1319.9669235391452</v>
      </c>
      <c r="E184" s="712">
        <f t="shared" si="48"/>
        <v>567.6370020330445</v>
      </c>
      <c r="F184" s="712">
        <f t="shared" si="49"/>
        <v>344.86418344530699</v>
      </c>
      <c r="G184" s="712">
        <f t="shared" si="50"/>
        <v>303.96672441383657</v>
      </c>
      <c r="H184" s="719">
        <f t="shared" si="51"/>
        <v>298.12261943752799</v>
      </c>
      <c r="I184" s="712">
        <f t="shared" si="52"/>
        <v>298.08593248536562</v>
      </c>
      <c r="J184" s="712">
        <f t="shared" si="53"/>
        <v>298.06257572583144</v>
      </c>
      <c r="K184" s="712">
        <f t="shared" si="54"/>
        <v>298.04965834817182</v>
      </c>
      <c r="L184" s="712">
        <f t="shared" si="55"/>
        <v>298.04552669356161</v>
      </c>
      <c r="N184" s="582">
        <v>110</v>
      </c>
      <c r="O184" s="712">
        <f t="shared" si="43"/>
        <v>1.6329999906661428</v>
      </c>
      <c r="P184" s="712">
        <f t="shared" si="56"/>
        <v>473.5067460922657</v>
      </c>
      <c r="Q184" s="712">
        <f t="shared" si="58"/>
        <v>455.37020260122091</v>
      </c>
      <c r="R184" s="712">
        <f t="shared" si="45"/>
        <v>442.35277980050205</v>
      </c>
      <c r="S184" s="712">
        <f t="shared" si="46"/>
        <v>434.51063487813462</v>
      </c>
      <c r="T184" s="712">
        <f t="shared" si="57"/>
        <v>431.87718779506946</v>
      </c>
    </row>
    <row r="185" spans="2:20">
      <c r="B185" s="582">
        <v>111</v>
      </c>
      <c r="C185" s="712">
        <f t="shared" si="42"/>
        <v>1.6478454451267441</v>
      </c>
      <c r="D185" s="712">
        <f t="shared" si="47"/>
        <v>1321.3001256277664</v>
      </c>
      <c r="E185" s="712">
        <f t="shared" si="48"/>
        <v>570.0730627231568</v>
      </c>
      <c r="F185" s="712">
        <f t="shared" si="49"/>
        <v>345.70084376290703</v>
      </c>
      <c r="G185" s="712">
        <f t="shared" si="50"/>
        <v>304.12797633057943</v>
      </c>
      <c r="H185" s="719">
        <f t="shared" si="51"/>
        <v>298.12695781309878</v>
      </c>
      <c r="I185" s="712">
        <f t="shared" si="52"/>
        <v>298.08920675158402</v>
      </c>
      <c r="J185" s="712">
        <f t="shared" si="53"/>
        <v>298.06513992849273</v>
      </c>
      <c r="K185" s="712">
        <f t="shared" si="54"/>
        <v>298.05181636621307</v>
      </c>
      <c r="L185" s="712">
        <f t="shared" si="55"/>
        <v>298.04755241121671</v>
      </c>
      <c r="N185" s="582">
        <v>111</v>
      </c>
      <c r="O185" s="712">
        <f t="shared" si="43"/>
        <v>1.6478454451267441</v>
      </c>
      <c r="P185" s="712">
        <f t="shared" si="56"/>
        <v>474.74482647569715</v>
      </c>
      <c r="Q185" s="712">
        <f t="shared" si="58"/>
        <v>456.62760108086474</v>
      </c>
      <c r="R185" s="712">
        <f t="shared" si="45"/>
        <v>443.62397204808298</v>
      </c>
      <c r="S185" s="712">
        <f t="shared" si="46"/>
        <v>435.79003599802616</v>
      </c>
      <c r="T185" s="712">
        <f t="shared" si="57"/>
        <v>433.15917686150573</v>
      </c>
    </row>
    <row r="186" spans="2:20">
      <c r="B186" s="582">
        <v>112</v>
      </c>
      <c r="C186" s="712">
        <f t="shared" si="42"/>
        <v>1.6626908995873453</v>
      </c>
      <c r="D186" s="712">
        <f t="shared" si="47"/>
        <v>1322.6084288445104</v>
      </c>
      <c r="E186" s="712">
        <f t="shared" si="48"/>
        <v>572.49669252182264</v>
      </c>
      <c r="F186" s="712">
        <f t="shared" si="49"/>
        <v>346.54175461460011</v>
      </c>
      <c r="G186" s="712">
        <f t="shared" si="50"/>
        <v>304.29161341964601</v>
      </c>
      <c r="H186" s="719">
        <f t="shared" si="51"/>
        <v>298.13140047502174</v>
      </c>
      <c r="I186" s="712">
        <f t="shared" si="52"/>
        <v>298.09256798130093</v>
      </c>
      <c r="J186" s="712">
        <f t="shared" si="53"/>
        <v>298.06777877227626</v>
      </c>
      <c r="K186" s="712">
        <f t="shared" si="54"/>
        <v>298.05404165784284</v>
      </c>
      <c r="L186" s="712">
        <f t="shared" si="55"/>
        <v>298.04964294504811</v>
      </c>
      <c r="N186" s="582">
        <v>112</v>
      </c>
      <c r="O186" s="712">
        <f t="shared" si="43"/>
        <v>1.6626908995873453</v>
      </c>
      <c r="P186" s="712">
        <f t="shared" si="56"/>
        <v>475.98157077413509</v>
      </c>
      <c r="Q186" s="712">
        <f t="shared" si="58"/>
        <v>457.88364263177129</v>
      </c>
      <c r="R186" s="712">
        <f t="shared" si="45"/>
        <v>444.89379248989991</v>
      </c>
      <c r="S186" s="712">
        <f t="shared" si="46"/>
        <v>437.06805646214889</v>
      </c>
      <c r="T186" s="712">
        <f t="shared" si="57"/>
        <v>434.43978248296338</v>
      </c>
    </row>
    <row r="187" spans="2:20">
      <c r="B187" s="582">
        <v>113</v>
      </c>
      <c r="C187" s="712">
        <f t="shared" si="42"/>
        <v>1.6775363540479467</v>
      </c>
      <c r="D187" s="712">
        <f t="shared" si="47"/>
        <v>1323.8926024103796</v>
      </c>
      <c r="E187" s="712">
        <f t="shared" si="48"/>
        <v>574.90791081166947</v>
      </c>
      <c r="F187" s="712">
        <f t="shared" si="49"/>
        <v>347.38683068173162</v>
      </c>
      <c r="G187" s="712">
        <f t="shared" si="50"/>
        <v>304.45763376954801</v>
      </c>
      <c r="H187" s="719">
        <f t="shared" si="51"/>
        <v>298.13594865300945</v>
      </c>
      <c r="I187" s="712">
        <f t="shared" si="52"/>
        <v>298.09601740277282</v>
      </c>
      <c r="J187" s="712">
        <f t="shared" si="53"/>
        <v>298.07049347422935</v>
      </c>
      <c r="K187" s="712">
        <f t="shared" si="54"/>
        <v>298.05633542912375</v>
      </c>
      <c r="L187" s="712">
        <f t="shared" si="55"/>
        <v>298.05179949660567</v>
      </c>
      <c r="N187" s="582">
        <v>113</v>
      </c>
      <c r="O187" s="712">
        <f t="shared" si="43"/>
        <v>1.6775363540479467</v>
      </c>
      <c r="P187" s="712">
        <f t="shared" si="56"/>
        <v>477.21698043116822</v>
      </c>
      <c r="Q187" s="712">
        <f t="shared" si="58"/>
        <v>459.1383287195323</v>
      </c>
      <c r="R187" s="712">
        <f t="shared" si="45"/>
        <v>446.1622426063571</v>
      </c>
      <c r="S187" s="712">
        <f t="shared" si="46"/>
        <v>438.34469775920275</v>
      </c>
      <c r="T187" s="712">
        <f t="shared" si="57"/>
        <v>435.71900615063072</v>
      </c>
    </row>
    <row r="188" spans="2:20">
      <c r="B188" s="582">
        <v>114</v>
      </c>
      <c r="C188" s="712">
        <f t="shared" si="42"/>
        <v>1.692381808508548</v>
      </c>
      <c r="D188" s="712">
        <f t="shared" si="47"/>
        <v>1325.1533884272485</v>
      </c>
      <c r="E188" s="712">
        <f t="shared" si="48"/>
        <v>577.3067399430746</v>
      </c>
      <c r="F188" s="712">
        <f t="shared" si="49"/>
        <v>348.23598751098086</v>
      </c>
      <c r="G188" s="712">
        <f t="shared" si="50"/>
        <v>304.62603509955892</v>
      </c>
      <c r="H188" s="719">
        <f t="shared" si="51"/>
        <v>298.14060357117586</v>
      </c>
      <c r="I188" s="712">
        <f t="shared" si="52"/>
        <v>298.09955624186034</v>
      </c>
      <c r="J188" s="712">
        <f t="shared" si="53"/>
        <v>298.07328525145425</v>
      </c>
      <c r="K188" s="712">
        <f t="shared" si="54"/>
        <v>298.05869888770786</v>
      </c>
      <c r="L188" s="712">
        <f t="shared" si="55"/>
        <v>298.05402326955112</v>
      </c>
      <c r="N188" s="582">
        <v>114</v>
      </c>
      <c r="O188" s="712">
        <f t="shared" si="43"/>
        <v>1.692381808508548</v>
      </c>
      <c r="P188" s="712">
        <f t="shared" si="56"/>
        <v>478.45105688857115</v>
      </c>
      <c r="Q188" s="712">
        <f t="shared" si="58"/>
        <v>460.39166080797327</v>
      </c>
      <c r="R188" s="712">
        <f t="shared" si="45"/>
        <v>447.42932387625814</v>
      </c>
      <c r="S188" s="712">
        <f t="shared" si="46"/>
        <v>439.61996137646116</v>
      </c>
      <c r="T188" s="712">
        <f t="shared" si="57"/>
        <v>436.99684935434328</v>
      </c>
    </row>
    <row r="189" spans="2:20">
      <c r="B189" s="582">
        <v>115</v>
      </c>
      <c r="C189" s="712">
        <f t="shared" si="42"/>
        <v>1.7072272629691492</v>
      </c>
      <c r="D189" s="712">
        <f t="shared" si="47"/>
        <v>1326.3915028675485</v>
      </c>
      <c r="E189" s="712">
        <f t="shared" si="48"/>
        <v>579.69320508608882</v>
      </c>
      <c r="F189" s="712">
        <f t="shared" si="49"/>
        <v>349.08914151835296</v>
      </c>
      <c r="G189" s="712">
        <f t="shared" si="50"/>
        <v>304.796814767066</v>
      </c>
      <c r="H189" s="719">
        <f t="shared" si="51"/>
        <v>298.14536644790809</v>
      </c>
      <c r="I189" s="712">
        <f t="shared" si="52"/>
        <v>298.103185721844</v>
      </c>
      <c r="J189" s="712">
        <f t="shared" si="53"/>
        <v>298.07615532088334</v>
      </c>
      <c r="K189" s="712">
        <f t="shared" si="54"/>
        <v>298.06113324258843</v>
      </c>
      <c r="L189" s="712">
        <f t="shared" si="55"/>
        <v>298.05631546940117</v>
      </c>
      <c r="N189" s="582">
        <v>115</v>
      </c>
      <c r="O189" s="712">
        <f t="shared" si="43"/>
        <v>1.7072272629691492</v>
      </c>
      <c r="P189" s="712">
        <f t="shared" si="56"/>
        <v>479.68380158634363</v>
      </c>
      <c r="Q189" s="712">
        <f t="shared" si="58"/>
        <v>461.64364035918243</v>
      </c>
      <c r="R189" s="712">
        <f t="shared" si="45"/>
        <v>448.69503777680791</v>
      </c>
      <c r="S189" s="712">
        <f t="shared" si="46"/>
        <v>440.89384879974648</v>
      </c>
      <c r="T189" s="712">
        <f t="shared" si="57"/>
        <v>438.27331358254764</v>
      </c>
    </row>
    <row r="190" spans="2:20">
      <c r="B190" s="582">
        <v>116</v>
      </c>
      <c r="C190" s="712">
        <f t="shared" si="42"/>
        <v>1.7220727174297505</v>
      </c>
      <c r="D190" s="712">
        <f t="shared" si="47"/>
        <v>1327.60763652747</v>
      </c>
      <c r="E190" s="712">
        <f t="shared" si="48"/>
        <v>582.06733408829291</v>
      </c>
      <c r="F190" s="712">
        <f t="shared" si="49"/>
        <v>349.94620999248707</v>
      </c>
      <c r="G190" s="712">
        <f t="shared" si="50"/>
        <v>304.96996977487242</v>
      </c>
      <c r="H190" s="719">
        <f t="shared" si="51"/>
        <v>298.15023849574277</v>
      </c>
      <c r="I190" s="712">
        <f t="shared" si="52"/>
        <v>298.106907063243</v>
      </c>
      <c r="J190" s="712">
        <f t="shared" si="53"/>
        <v>298.07910489905828</v>
      </c>
      <c r="K190" s="712">
        <f t="shared" si="54"/>
        <v>298.06363970385485</v>
      </c>
      <c r="L190" s="712">
        <f t="shared" si="55"/>
        <v>298.05867730327509</v>
      </c>
      <c r="N190" s="582">
        <v>116</v>
      </c>
      <c r="O190" s="712">
        <f t="shared" si="43"/>
        <v>1.7220727174297505</v>
      </c>
      <c r="P190" s="712">
        <f t="shared" si="56"/>
        <v>480.9152159627447</v>
      </c>
      <c r="Q190" s="712">
        <f t="shared" si="58"/>
        <v>462.89426883353565</v>
      </c>
      <c r="R190" s="712">
        <f t="shared" si="45"/>
        <v>449.95938578361501</v>
      </c>
      <c r="S190" s="712">
        <f t="shared" si="46"/>
        <v>442.16636151340896</v>
      </c>
      <c r="T190" s="712">
        <f t="shared" si="57"/>
        <v>439.54840032227111</v>
      </c>
    </row>
    <row r="191" spans="2:20">
      <c r="B191" s="582">
        <v>117</v>
      </c>
      <c r="C191" s="712">
        <f t="shared" si="42"/>
        <v>1.7369181718903519</v>
      </c>
      <c r="D191" s="712">
        <f t="shared" si="47"/>
        <v>1328.8024559450284</v>
      </c>
      <c r="E191" s="712">
        <f t="shared" si="48"/>
        <v>584.42915733836242</v>
      </c>
      <c r="F191" s="712">
        <f t="shared" si="49"/>
        <v>350.80711109731385</v>
      </c>
      <c r="G191" s="712">
        <f t="shared" si="50"/>
        <v>305.14549677844713</v>
      </c>
      <c r="H191" s="719">
        <f t="shared" si="51"/>
        <v>298.15522092124564</v>
      </c>
      <c r="I191" s="712">
        <f t="shared" si="52"/>
        <v>298.11072148363871</v>
      </c>
      <c r="J191" s="712">
        <f t="shared" si="53"/>
        <v>298.08213520191282</v>
      </c>
      <c r="K191" s="712">
        <f t="shared" si="54"/>
        <v>298.06621948245174</v>
      </c>
      <c r="L191" s="712">
        <f t="shared" si="55"/>
        <v>298.06110997964555</v>
      </c>
      <c r="N191" s="582">
        <v>117</v>
      </c>
      <c r="O191" s="712">
        <f t="shared" si="43"/>
        <v>1.7369181718903519</v>
      </c>
      <c r="P191" s="712">
        <f t="shared" si="56"/>
        <v>482.14530145432173</v>
      </c>
      <c r="Q191" s="712">
        <f t="shared" si="58"/>
        <v>464.14354768971771</v>
      </c>
      <c r="R191" s="712">
        <f t="shared" si="45"/>
        <v>451.22236937069368</v>
      </c>
      <c r="S191" s="712">
        <f t="shared" si="46"/>
        <v>443.43750100030923</v>
      </c>
      <c r="T191" s="712">
        <f t="shared" si="57"/>
        <v>440.8221110590959</v>
      </c>
    </row>
    <row r="192" spans="2:20">
      <c r="B192" s="582">
        <v>118</v>
      </c>
      <c r="C192" s="712">
        <f t="shared" si="42"/>
        <v>1.7517636263509531</v>
      </c>
      <c r="D192" s="712">
        <f t="shared" si="47"/>
        <v>1329.9766042842971</v>
      </c>
      <c r="E192" s="712">
        <f t="shared" si="48"/>
        <v>586.77870763512294</v>
      </c>
      <c r="F192" s="712">
        <f t="shared" si="49"/>
        <v>351.67176387409432</v>
      </c>
      <c r="G192" s="712">
        <f t="shared" si="50"/>
        <v>305.3233920931192</v>
      </c>
      <c r="H192" s="719">
        <f t="shared" si="51"/>
        <v>298.16031492489594</v>
      </c>
      <c r="I192" s="712">
        <f t="shared" si="52"/>
        <v>298.11463019750221</v>
      </c>
      <c r="J192" s="712">
        <f t="shared" si="53"/>
        <v>298.08524744455997</v>
      </c>
      <c r="K192" s="712">
        <f t="shared" si="54"/>
        <v>298.06887378994213</v>
      </c>
      <c r="L192" s="712">
        <f t="shared" si="55"/>
        <v>298.06361470809412</v>
      </c>
      <c r="N192" s="582">
        <v>118</v>
      </c>
      <c r="O192" s="712">
        <f t="shared" si="43"/>
        <v>1.7517636263509531</v>
      </c>
      <c r="P192" s="712">
        <f t="shared" si="56"/>
        <v>483.37405949593557</v>
      </c>
      <c r="Q192" s="712">
        <f t="shared" si="58"/>
        <v>465.39147838474133</v>
      </c>
      <c r="R192" s="712">
        <f t="shared" si="45"/>
        <v>452.48399001046562</v>
      </c>
      <c r="S192" s="712">
        <f t="shared" si="46"/>
        <v>444.70726874180343</v>
      </c>
      <c r="T192" s="712">
        <f t="shared" si="57"/>
        <v>442.09444727713719</v>
      </c>
    </row>
    <row r="193" spans="2:20">
      <c r="B193" s="582">
        <v>119</v>
      </c>
      <c r="C193" s="712">
        <f t="shared" si="42"/>
        <v>1.7666090808115544</v>
      </c>
      <c r="D193" s="712">
        <f t="shared" si="47"/>
        <v>1331.1307021870557</v>
      </c>
      <c r="E193" s="712">
        <f t="shared" si="48"/>
        <v>589.11602006188753</v>
      </c>
      <c r="F193" s="712">
        <f t="shared" si="49"/>
        <v>352.54008824287013</v>
      </c>
      <c r="G193" s="712">
        <f t="shared" si="50"/>
        <v>305.50365170121535</v>
      </c>
      <c r="H193" s="719">
        <f t="shared" si="51"/>
        <v>298.16552170097367</v>
      </c>
      <c r="I193" s="712">
        <f t="shared" si="52"/>
        <v>298.11863441602537</v>
      </c>
      <c r="J193" s="712">
        <f t="shared" si="53"/>
        <v>298.08844284108295</v>
      </c>
      <c r="K193" s="712">
        <f t="shared" si="54"/>
        <v>298.07160383827431</v>
      </c>
      <c r="L193" s="712">
        <f t="shared" si="55"/>
        <v>298.06619269906975</v>
      </c>
      <c r="N193" s="582">
        <v>119</v>
      </c>
      <c r="O193" s="712">
        <f t="shared" si="43"/>
        <v>1.7666090808115544</v>
      </c>
      <c r="P193" s="712">
        <f t="shared" si="56"/>
        <v>484.60149152078242</v>
      </c>
      <c r="Q193" s="712">
        <f t="shared" si="58"/>
        <v>466.63806237396284</v>
      </c>
      <c r="R193" s="712">
        <f t="shared" si="45"/>
        <v>453.74424917376234</v>
      </c>
      <c r="S193" s="712">
        <f t="shared" si="46"/>
        <v>445.97566621773092</v>
      </c>
      <c r="T193" s="712">
        <f t="shared" si="57"/>
        <v>443.36541045902504</v>
      </c>
    </row>
    <row r="194" spans="2:20">
      <c r="B194" s="582">
        <v>120</v>
      </c>
      <c r="C194" s="712">
        <f t="shared" si="42"/>
        <v>1.7814545352721558</v>
      </c>
      <c r="D194" s="712">
        <f t="shared" si="47"/>
        <v>1332.26534859306</v>
      </c>
      <c r="E194" s="712">
        <f t="shared" si="48"/>
        <v>591.4411318658739</v>
      </c>
      <c r="F194" s="712">
        <f t="shared" si="49"/>
        <v>353.41200500335611</v>
      </c>
      <c r="G194" s="712">
        <f t="shared" si="50"/>
        <v>305.68627125913764</v>
      </c>
      <c r="H194" s="719">
        <f t="shared" si="51"/>
        <v>298.17084243745126</v>
      </c>
      <c r="I194" s="712">
        <f t="shared" si="52"/>
        <v>298.12273534695629</v>
      </c>
      <c r="J194" s="712">
        <f t="shared" si="53"/>
        <v>298.09172260433064</v>
      </c>
      <c r="K194" s="712">
        <f t="shared" si="54"/>
        <v>298.07441083955257</v>
      </c>
      <c r="L194" s="712">
        <f t="shared" si="55"/>
        <v>298.06884516365227</v>
      </c>
      <c r="N194" s="582">
        <v>120</v>
      </c>
      <c r="O194" s="712">
        <f t="shared" si="43"/>
        <v>1.7814545352721558</v>
      </c>
      <c r="P194" s="712">
        <f t="shared" si="56"/>
        <v>485.82759896041233</v>
      </c>
      <c r="Q194" s="712">
        <f t="shared" si="58"/>
        <v>467.88330111109667</v>
      </c>
      <c r="R194" s="712">
        <f t="shared" si="45"/>
        <v>455.00314832982667</v>
      </c>
      <c r="S194" s="712">
        <f t="shared" si="46"/>
        <v>447.24269490640398</v>
      </c>
      <c r="T194" s="712">
        <f t="shared" si="57"/>
        <v>444.63500208588897</v>
      </c>
    </row>
    <row r="195" spans="2:20">
      <c r="B195" s="582">
        <v>121</v>
      </c>
      <c r="C195" s="712">
        <f t="shared" si="42"/>
        <v>1.796299989732757</v>
      </c>
      <c r="D195" s="712">
        <f t="shared" si="47"/>
        <v>1333.3811215300943</v>
      </c>
      <c r="E195" s="712">
        <f t="shared" si="48"/>
        <v>593.75408234250949</v>
      </c>
      <c r="F195" s="712">
        <f t="shared" si="49"/>
        <v>354.28743583530161</v>
      </c>
      <c r="G195" s="712">
        <f t="shared" si="50"/>
        <v>305.87124610437985</v>
      </c>
      <c r="H195" s="719">
        <f t="shared" si="51"/>
        <v>298.17627831588823</v>
      </c>
      <c r="I195" s="712">
        <f t="shared" si="52"/>
        <v>298.12693419443843</v>
      </c>
      <c r="J195" s="712">
        <f t="shared" si="53"/>
        <v>298.09508794571593</v>
      </c>
      <c r="K195" s="712">
        <f t="shared" si="54"/>
        <v>298.07729600581263</v>
      </c>
      <c r="L195" s="712">
        <f t="shared" si="55"/>
        <v>298.07157331331877</v>
      </c>
      <c r="N195" s="582">
        <v>121</v>
      </c>
      <c r="O195" s="712">
        <f t="shared" si="43"/>
        <v>1.796299989732757</v>
      </c>
      <c r="P195" s="712">
        <f t="shared" si="56"/>
        <v>487.05238324474573</v>
      </c>
      <c r="Q195" s="712">
        <f t="shared" si="58"/>
        <v>469.12719604822718</v>
      </c>
      <c r="R195" s="712">
        <f t="shared" si="45"/>
        <v>456.26068894631499</v>
      </c>
      <c r="S195" s="712">
        <f t="shared" si="46"/>
        <v>448.50835628459907</v>
      </c>
      <c r="T195" s="712">
        <f t="shared" si="57"/>
        <v>445.90322363734492</v>
      </c>
    </row>
    <row r="196" spans="2:20">
      <c r="B196" s="582">
        <v>122</v>
      </c>
      <c r="C196" s="712">
        <f t="shared" si="42"/>
        <v>1.8111454441933583</v>
      </c>
      <c r="D196" s="712">
        <f t="shared" si="47"/>
        <v>1334.4785788749214</v>
      </c>
      <c r="E196" s="712">
        <f t="shared" si="48"/>
        <v>596.05491272443646</v>
      </c>
      <c r="F196" s="712">
        <f t="shared" si="49"/>
        <v>355.16630329834925</v>
      </c>
      <c r="G196" s="712">
        <f t="shared" si="50"/>
        <v>306.05857126248009</v>
      </c>
      <c r="H196" s="719">
        <f t="shared" si="51"/>
        <v>298.18183051133019</v>
      </c>
      <c r="I196" s="712">
        <f t="shared" si="52"/>
        <v>298.13123215885366</v>
      </c>
      <c r="J196" s="712">
        <f t="shared" si="53"/>
        <v>298.09854007501917</v>
      </c>
      <c r="K196" s="712">
        <f t="shared" si="54"/>
        <v>298.08026054879986</v>
      </c>
      <c r="L196" s="712">
        <f t="shared" si="55"/>
        <v>298.07437835971496</v>
      </c>
      <c r="N196" s="582">
        <v>122</v>
      </c>
      <c r="O196" s="712">
        <f t="shared" si="43"/>
        <v>1.8111454441933583</v>
      </c>
      <c r="P196" s="712">
        <f t="shared" si="56"/>
        <v>488.27584580208759</v>
      </c>
      <c r="Q196" s="712">
        <f t="shared" si="58"/>
        <v>470.36974863581963</v>
      </c>
      <c r="R196" s="712">
        <f t="shared" si="45"/>
        <v>457.51687248929898</v>
      </c>
      <c r="S196" s="712">
        <f t="shared" si="46"/>
        <v>449.77265182755002</v>
      </c>
      <c r="T196" s="712">
        <f t="shared" si="57"/>
        <v>447.17007659148459</v>
      </c>
    </row>
    <row r="197" spans="2:20">
      <c r="B197" s="582">
        <v>123</v>
      </c>
      <c r="C197" s="712">
        <f t="shared" si="42"/>
        <v>1.8259908986539597</v>
      </c>
      <c r="D197" s="712">
        <f t="shared" si="47"/>
        <v>1335.5582590862068</v>
      </c>
      <c r="E197" s="712">
        <f t="shared" si="48"/>
        <v>598.34366607503773</v>
      </c>
      <c r="F197" s="712">
        <f t="shared" si="49"/>
        <v>356.0485308314158</v>
      </c>
      <c r="G197" s="712">
        <f t="shared" si="50"/>
        <v>306.24824145390903</v>
      </c>
      <c r="H197" s="719">
        <f t="shared" si="51"/>
        <v>298.18750019221068</v>
      </c>
      <c r="I197" s="712">
        <f t="shared" si="52"/>
        <v>298.13563043666909</v>
      </c>
      <c r="J197" s="712">
        <f t="shared" si="53"/>
        <v>298.10208020019485</v>
      </c>
      <c r="K197" s="712">
        <f t="shared" si="54"/>
        <v>298.08330567975247</v>
      </c>
      <c r="L197" s="712">
        <f t="shared" si="55"/>
        <v>298.07726151442949</v>
      </c>
      <c r="N197" s="582">
        <v>123</v>
      </c>
      <c r="O197" s="712">
        <f t="shared" si="43"/>
        <v>1.8259908986539597</v>
      </c>
      <c r="P197" s="712">
        <f t="shared" si="56"/>
        <v>489.49798805913957</v>
      </c>
      <c r="Q197" s="712">
        <f t="shared" si="58"/>
        <v>471.61096032272945</v>
      </c>
      <c r="R197" s="712">
        <f t="shared" si="45"/>
        <v>458.77170042326725</v>
      </c>
      <c r="S197" s="712">
        <f t="shared" si="46"/>
        <v>451.03558300894213</v>
      </c>
      <c r="T197" s="712">
        <f t="shared" si="57"/>
        <v>448.43556242486653</v>
      </c>
    </row>
    <row r="198" spans="2:20">
      <c r="B198" s="582">
        <v>124</v>
      </c>
      <c r="C198" s="712">
        <f t="shared" si="42"/>
        <v>1.8408363531145608</v>
      </c>
      <c r="D198" s="712">
        <f t="shared" si="47"/>
        <v>1336.6206819104564</v>
      </c>
      <c r="E198" s="712">
        <f t="shared" si="48"/>
        <v>600.62038718631152</v>
      </c>
      <c r="F198" s="712">
        <f t="shared" si="49"/>
        <v>356.93404275162123</v>
      </c>
      <c r="G198" s="712">
        <f t="shared" si="50"/>
        <v>306.44025110089069</v>
      </c>
      <c r="H198" s="719">
        <f t="shared" si="51"/>
        <v>298.19328852025671</v>
      </c>
      <c r="I198" s="712">
        <f t="shared" si="52"/>
        <v>298.14013022028752</v>
      </c>
      <c r="J198" s="712">
        <f t="shared" si="53"/>
        <v>298.10570952718246</v>
      </c>
      <c r="K198" s="712">
        <f t="shared" si="54"/>
        <v>298.08643260918836</v>
      </c>
      <c r="L198" s="712">
        <f t="shared" si="55"/>
        <v>298.0802239887729</v>
      </c>
      <c r="N198" s="582">
        <v>124</v>
      </c>
      <c r="O198" s="712">
        <f t="shared" si="43"/>
        <v>1.8408363531145608</v>
      </c>
      <c r="P198" s="712">
        <f t="shared" si="56"/>
        <v>490.71881144101093</v>
      </c>
      <c r="Q198" s="712">
        <f t="shared" si="58"/>
        <v>472.85083255621049</v>
      </c>
      <c r="R198" s="712">
        <f t="shared" si="45"/>
        <v>460.02517421112765</v>
      </c>
      <c r="S198" s="712">
        <f t="shared" si="46"/>
        <v>452.29715130090756</v>
      </c>
      <c r="T198" s="712">
        <f t="shared" si="57"/>
        <v>449.69968261250852</v>
      </c>
    </row>
    <row r="199" spans="2:20">
      <c r="B199" s="582">
        <v>125</v>
      </c>
      <c r="C199" s="712">
        <f t="shared" si="42"/>
        <v>1.8556818075751622</v>
      </c>
      <c r="D199" s="712">
        <f t="shared" si="47"/>
        <v>1337.666349061961</v>
      </c>
      <c r="E199" s="712">
        <f t="shared" si="48"/>
        <v>602.88512248092798</v>
      </c>
      <c r="F199" s="712">
        <f t="shared" si="49"/>
        <v>357.8227642527886</v>
      </c>
      <c r="G199" s="712">
        <f t="shared" si="50"/>
        <v>306.63459433415562</v>
      </c>
      <c r="H199" s="719">
        <f t="shared" si="51"/>
        <v>298.19919665039771</v>
      </c>
      <c r="I199" s="712">
        <f t="shared" si="52"/>
        <v>298.14473269790204</v>
      </c>
      <c r="J199" s="712">
        <f t="shared" si="53"/>
        <v>298.10942925972103</v>
      </c>
      <c r="K199" s="712">
        <f t="shared" si="54"/>
        <v>298.08964254669542</v>
      </c>
      <c r="L199" s="712">
        <f t="shared" si="55"/>
        <v>298.08326699356041</v>
      </c>
      <c r="N199" s="582">
        <v>125</v>
      </c>
      <c r="O199" s="712">
        <f t="shared" si="43"/>
        <v>1.8556818075751622</v>
      </c>
      <c r="P199" s="712">
        <f t="shared" si="56"/>
        <v>491.93831737122792</v>
      </c>
      <c r="Q199" s="712">
        <f t="shared" si="58"/>
        <v>474.08936678192219</v>
      </c>
      <c r="R199" s="712">
        <f t="shared" si="45"/>
        <v>461.27729531420852</v>
      </c>
      <c r="S199" s="712">
        <f t="shared" si="46"/>
        <v>453.55735817402137</v>
      </c>
      <c r="T199" s="712">
        <f t="shared" si="57"/>
        <v>450.96243862788191</v>
      </c>
    </row>
    <row r="200" spans="2:20">
      <c r="B200" s="582">
        <v>126</v>
      </c>
      <c r="C200" s="712">
        <f t="shared" si="42"/>
        <v>1.8705272620357636</v>
      </c>
      <c r="D200" s="712">
        <f t="shared" si="47"/>
        <v>1338.6957448777107</v>
      </c>
      <c r="E200" s="712">
        <f t="shared" si="48"/>
        <v>605.13791991830783</v>
      </c>
      <c r="F200" s="712">
        <f t="shared" si="49"/>
        <v>358.71462140353862</v>
      </c>
      <c r="G200" s="712">
        <f t="shared" si="50"/>
        <v>306.83126499962447</v>
      </c>
      <c r="H200" s="719">
        <f t="shared" si="51"/>
        <v>298.20522573067757</v>
      </c>
      <c r="I200" s="712">
        <f t="shared" si="52"/>
        <v>298.14943905335366</v>
      </c>
      <c r="J200" s="712">
        <f t="shared" si="53"/>
        <v>298.11324059916774</v>
      </c>
      <c r="K200" s="712">
        <f t="shared" si="54"/>
        <v>298.09293670072634</v>
      </c>
      <c r="L200" s="712">
        <f t="shared" si="55"/>
        <v>298.0863917388985</v>
      </c>
      <c r="N200" s="582">
        <v>126</v>
      </c>
      <c r="O200" s="712">
        <f t="shared" si="43"/>
        <v>1.8705272620357636</v>
      </c>
      <c r="P200" s="712">
        <f t="shared" si="56"/>
        <v>493.15650727174204</v>
      </c>
      <c r="Q200" s="712">
        <f t="shared" si="58"/>
        <v>475.32656444393638</v>
      </c>
      <c r="R200" s="712">
        <f t="shared" si="45"/>
        <v>462.52806519226084</v>
      </c>
      <c r="S200" s="712">
        <f t="shared" si="46"/>
        <v>454.81620509729896</v>
      </c>
      <c r="T200" s="712">
        <f t="shared" si="57"/>
        <v>452.22383194290632</v>
      </c>
    </row>
    <row r="201" spans="2:20">
      <c r="B201" s="582">
        <v>127</v>
      </c>
      <c r="C201" s="712">
        <f t="shared" si="42"/>
        <v>1.8853727164963647</v>
      </c>
      <c r="D201" s="712">
        <f t="shared" si="47"/>
        <v>1339.7093369482045</v>
      </c>
      <c r="E201" s="712">
        <f t="shared" si="48"/>
        <v>607.3788289045691</v>
      </c>
      <c r="F201" s="712">
        <f t="shared" si="49"/>
        <v>359.60954114500043</v>
      </c>
      <c r="G201" s="712">
        <f t="shared" si="50"/>
        <v>307.03025666502083</v>
      </c>
      <c r="H201" s="719">
        <f t="shared" si="51"/>
        <v>298.21137690217017</v>
      </c>
      <c r="I201" s="712">
        <f t="shared" si="52"/>
        <v>298.15425046599319</v>
      </c>
      <c r="J201" s="712">
        <f t="shared" si="53"/>
        <v>298.11714474432017</v>
      </c>
      <c r="K201" s="712">
        <f t="shared" si="54"/>
        <v>298.09631627839724</v>
      </c>
      <c r="L201" s="712">
        <f t="shared" si="55"/>
        <v>298.08959943397525</v>
      </c>
      <c r="N201" s="582">
        <v>127</v>
      </c>
      <c r="O201" s="712">
        <f>$O$73*N201</f>
        <v>1.8853727164963647</v>
      </c>
      <c r="P201" s="712">
        <f t="shared" si="56"/>
        <v>494.37338256293748</v>
      </c>
      <c r="Q201" s="712">
        <f t="shared" si="58"/>
        <v>476.56242698474261</v>
      </c>
      <c r="R201" s="712">
        <f t="shared" si="45"/>
        <v>463.77748530345997</v>
      </c>
      <c r="S201" s="712">
        <f t="shared" si="46"/>
        <v>456.07369353819337</v>
      </c>
      <c r="T201" s="712">
        <f t="shared" si="57"/>
        <v>453.48386402794603</v>
      </c>
    </row>
    <row r="202" spans="2:20">
      <c r="B202" s="582">
        <v>128</v>
      </c>
      <c r="C202" s="712">
        <f t="shared" si="42"/>
        <v>1.9002181709569661</v>
      </c>
      <c r="D202" s="712">
        <f t="shared" si="47"/>
        <v>1340.7075767250451</v>
      </c>
      <c r="E202" s="712">
        <f t="shared" si="48"/>
        <v>609.6079002061939</v>
      </c>
      <c r="F202" s="712">
        <f t="shared" si="49"/>
        <v>360.50745128815947</v>
      </c>
      <c r="G202" s="712">
        <f t="shared" si="50"/>
        <v>307.2315626264126</v>
      </c>
      <c r="H202" s="719">
        <f t="shared" si="51"/>
        <v>298.21765129889775</v>
      </c>
      <c r="I202" s="712">
        <f t="shared" si="52"/>
        <v>298.15916811054615</v>
      </c>
      <c r="J202" s="712">
        <f t="shared" si="53"/>
        <v>298.12114289124247</v>
      </c>
      <c r="K202" s="712">
        <f t="shared" si="54"/>
        <v>298.09978248528984</v>
      </c>
      <c r="L202" s="712">
        <f t="shared" si="55"/>
        <v>298.09289128685538</v>
      </c>
      <c r="N202" s="582">
        <v>128</v>
      </c>
      <c r="O202" s="712">
        <f>$O$73*N202</f>
        <v>1.9002181709569661</v>
      </c>
      <c r="P202" s="712">
        <f t="shared" si="56"/>
        <v>495.58894466363751</v>
      </c>
      <c r="Q202" s="712">
        <f t="shared" si="58"/>
        <v>477.79695584525359</v>
      </c>
      <c r="R202" s="712">
        <f t="shared" si="45"/>
        <v>465.0255571044072</v>
      </c>
      <c r="S202" s="712">
        <f t="shared" si="46"/>
        <v>457.32982496259388</v>
      </c>
      <c r="T202" s="712">
        <f t="shared" si="57"/>
        <v>454.74253635180656</v>
      </c>
    </row>
    <row r="203" spans="2:20">
      <c r="B203" s="582">
        <v>129</v>
      </c>
      <c r="C203" s="712">
        <f t="shared" ref="C203:C266" si="59">$C$73*B203</f>
        <v>1.9150636254175675</v>
      </c>
      <c r="D203" s="712">
        <f t="shared" ref="D203:D266" si="60">(1-2*FoAb-2*FoAb*BiCombAb)*D202+2*FoAb*E202+2*FoAb*BiCombAb*Tcomb</f>
        <v>1341.690900106179</v>
      </c>
      <c r="E203" s="712">
        <f t="shared" ref="E203:E266" si="61">FoAb*D202+(1-2*FoAb)*E202+FoAb*F202</f>
        <v>611.82518586727178</v>
      </c>
      <c r="F203" s="712">
        <f t="shared" ref="F203:F266" si="62">FoAb*E202+(1-2*FoAb)*F202+FoAb*G202</f>
        <v>361.4082805108626</v>
      </c>
      <c r="G203" s="712">
        <f t="shared" ref="G203:G266" si="63">FoAb*F202+(1-2*FoAb)*G202+FoAb*H202</f>
        <v>307.43517591467997</v>
      </c>
      <c r="H203" s="719">
        <f t="shared" ref="H203:H266" si="64">_FoN1*G202+(1-_FoN1-_FoN2)*H202+_FoN2*I202</f>
        <v>298.22405004775271</v>
      </c>
      <c r="I203" s="712">
        <f t="shared" ref="I203:I266" si="65">FoCase*H202+(1-2*FoCase)*I202+FoCase*J202</f>
        <v>298.16419315698158</v>
      </c>
      <c r="J203" s="712">
        <f t="shared" ref="J203:J266" si="66">FoCase*I202+(1-2*FoCase)*J202+FoCase*K202</f>
        <v>298.12523623309528</v>
      </c>
      <c r="K203" s="712">
        <f t="shared" ref="K203:K266" si="67">FoCase*J202+(1-2*FoCase)*K202+FoCase*L202</f>
        <v>298.10333652525799</v>
      </c>
      <c r="L203" s="712">
        <f t="shared" ref="L203:L266" si="68">(1-2*FoCase-2*FoCase*BiAtmCase)*L202+2*FoCase*K202+2*FoCase*BiAtmCase*Tatm</f>
        <v>298.09626850427799</v>
      </c>
      <c r="N203" s="582">
        <v>129</v>
      </c>
      <c r="O203" s="712">
        <f t="shared" ref="O203:O266" si="69">$O$73*N203</f>
        <v>1.9150636254175675</v>
      </c>
      <c r="P203" s="712">
        <f t="shared" ref="P203:P266" si="70">(1-2*FoCase-2*FoCase*BiCombCase)*P202+2*FoCase*Q202+2*FoCase*BiCombCase*Tcomb</f>
        <v>496.80319499111022</v>
      </c>
      <c r="Q203" s="712">
        <f t="shared" ref="Q203:Q266" si="71">FoCase*P202+(1-2*FoCase)*Q202+FoCase*R202</f>
        <v>479.03015246480987</v>
      </c>
      <c r="R203" s="712">
        <f t="shared" ref="R203:R266" si="72">FoCase*Q202+(1-2*FoCase)*R202+FoCase*S202</f>
        <v>466.27228205013159</v>
      </c>
      <c r="S203" s="712">
        <f t="shared" ref="S203:S266" si="73">FoCase*R202+(1-2*FoCase)*S202+FoCase*T202</f>
        <v>458.5846008348247</v>
      </c>
      <c r="T203" s="712">
        <f t="shared" ref="T203:T266" si="74">(1-2*FoCase-2*FoCase*BiAtmCase)*T202+2*FoCase*S202+2*FoCase*BiAtmCase*Tatm</f>
        <v>455.99985038173224</v>
      </c>
    </row>
    <row r="204" spans="2:20">
      <c r="B204" s="582">
        <v>130</v>
      </c>
      <c r="C204" s="712">
        <f t="shared" si="59"/>
        <v>1.9299090798781686</v>
      </c>
      <c r="D204" s="712">
        <f t="shared" si="60"/>
        <v>1342.6597279996051</v>
      </c>
      <c r="E204" s="712">
        <f t="shared" si="61"/>
        <v>614.03073913018363</v>
      </c>
      <c r="F204" s="712">
        <f t="shared" si="62"/>
        <v>362.31195835450018</v>
      </c>
      <c r="G204" s="712">
        <f t="shared" si="63"/>
        <v>307.64108930191065</v>
      </c>
      <c r="H204" s="719">
        <f t="shared" si="64"/>
        <v>298.23057426842217</v>
      </c>
      <c r="I204" s="712">
        <f t="shared" si="65"/>
        <v>298.16932677038426</v>
      </c>
      <c r="J204" s="712">
        <f t="shared" si="66"/>
        <v>298.12942595996918</v>
      </c>
      <c r="K204" s="712">
        <f t="shared" si="67"/>
        <v>298.10697960023765</v>
      </c>
      <c r="L204" s="712">
        <f t="shared" si="68"/>
        <v>298.09973229145925</v>
      </c>
      <c r="N204" s="582">
        <v>130</v>
      </c>
      <c r="O204" s="712">
        <f t="shared" si="69"/>
        <v>1.9299090798781686</v>
      </c>
      <c r="P204" s="712">
        <f t="shared" si="70"/>
        <v>498.01613496107387</v>
      </c>
      <c r="Q204" s="712">
        <f t="shared" si="71"/>
        <v>480.26201828118394</v>
      </c>
      <c r="R204" s="712">
        <f t="shared" si="72"/>
        <v>467.51766159409203</v>
      </c>
      <c r="S204" s="712">
        <f t="shared" si="73"/>
        <v>459.83802261764413</v>
      </c>
      <c r="T204" s="712">
        <f t="shared" si="74"/>
        <v>457.25580758340476</v>
      </c>
    </row>
    <row r="205" spans="2:20">
      <c r="B205" s="582">
        <v>131</v>
      </c>
      <c r="C205" s="712">
        <f t="shared" si="59"/>
        <v>1.94475453433877</v>
      </c>
      <c r="D205" s="712">
        <f t="shared" si="60"/>
        <v>1343.6144668663494</v>
      </c>
      <c r="E205" s="712">
        <f t="shared" si="61"/>
        <v>616.22461435959303</v>
      </c>
      <c r="F205" s="712">
        <f t="shared" si="62"/>
        <v>363.21841522038295</v>
      </c>
      <c r="G205" s="712">
        <f t="shared" si="63"/>
        <v>307.84929530771979</v>
      </c>
      <c r="H205" s="719">
        <f t="shared" si="64"/>
        <v>298.2372250733157</v>
      </c>
      <c r="I205" s="712">
        <f t="shared" si="65"/>
        <v>298.17457011083002</v>
      </c>
      <c r="J205" s="712">
        <f t="shared" si="66"/>
        <v>298.13371325872231</v>
      </c>
      <c r="K205" s="712">
        <f t="shared" si="67"/>
        <v>298.11071291006112</v>
      </c>
      <c r="L205" s="712">
        <f t="shared" si="68"/>
        <v>298.10328385189865</v>
      </c>
      <c r="N205" s="582">
        <v>131</v>
      </c>
      <c r="O205" s="712">
        <f t="shared" si="69"/>
        <v>1.94475453433877</v>
      </c>
      <c r="P205" s="712">
        <f t="shared" si="70"/>
        <v>499.22776598770139</v>
      </c>
      <c r="Q205" s="712">
        <f t="shared" si="71"/>
        <v>481.49255473058412</v>
      </c>
      <c r="R205" s="712">
        <f t="shared" si="72"/>
        <v>468.76169718817835</v>
      </c>
      <c r="S205" s="712">
        <f t="shared" si="73"/>
        <v>461.09009177224436</v>
      </c>
      <c r="T205" s="712">
        <f t="shared" si="74"/>
        <v>458.51040942094136</v>
      </c>
    </row>
    <row r="206" spans="2:20">
      <c r="B206" s="582">
        <v>132</v>
      </c>
      <c r="C206" s="712">
        <f t="shared" si="59"/>
        <v>1.9595999887993714</v>
      </c>
      <c r="D206" s="712">
        <f t="shared" si="60"/>
        <v>1344.5555092434731</v>
      </c>
      <c r="E206" s="712">
        <f t="shared" si="61"/>
        <v>618.40686696961745</v>
      </c>
      <c r="F206" s="712">
        <f t="shared" si="62"/>
        <v>364.1275823658317</v>
      </c>
      <c r="G206" s="712">
        <f t="shared" si="63"/>
        <v>308.05978620549536</v>
      </c>
      <c r="H206" s="719">
        <f t="shared" si="64"/>
        <v>298.24400356749578</v>
      </c>
      <c r="I206" s="712">
        <f t="shared" si="65"/>
        <v>298.17992433326521</v>
      </c>
      <c r="J206" s="712">
        <f t="shared" si="66"/>
        <v>298.138099312821</v>
      </c>
      <c r="K206" s="712">
        <f t="shared" si="67"/>
        <v>298.11453765227441</v>
      </c>
      <c r="L206" s="712">
        <f t="shared" si="68"/>
        <v>298.10692438718894</v>
      </c>
      <c r="N206" s="582">
        <v>132</v>
      </c>
      <c r="O206" s="712">
        <f t="shared" si="69"/>
        <v>1.9595999887993714</v>
      </c>
      <c r="P206" s="712">
        <f t="shared" si="70"/>
        <v>500.43808948362482</v>
      </c>
      <c r="Q206" s="712">
        <f t="shared" si="71"/>
        <v>482.72176324765809</v>
      </c>
      <c r="R206" s="712">
        <f t="shared" si="72"/>
        <v>470.00439028271359</v>
      </c>
      <c r="S206" s="712">
        <f t="shared" si="73"/>
        <v>462.34080975825123</v>
      </c>
      <c r="T206" s="712">
        <f t="shared" si="74"/>
        <v>459.7636573568945</v>
      </c>
    </row>
    <row r="207" spans="2:20">
      <c r="B207" s="582">
        <v>133</v>
      </c>
      <c r="C207" s="712">
        <f t="shared" si="59"/>
        <v>1.9744454432599725</v>
      </c>
      <c r="D207" s="712">
        <f t="shared" si="60"/>
        <v>1345.4832342478494</v>
      </c>
      <c r="E207" s="712">
        <f t="shared" si="61"/>
        <v>620.57755335405784</v>
      </c>
      <c r="F207" s="712">
        <f t="shared" si="62"/>
        <v>365.0393918999967</v>
      </c>
      <c r="G207" s="712">
        <f t="shared" si="63"/>
        <v>308.27255402856747</v>
      </c>
      <c r="H207" s="719">
        <f t="shared" si="64"/>
        <v>298.25091084861117</v>
      </c>
      <c r="I207" s="712">
        <f t="shared" si="65"/>
        <v>298.18539058738838</v>
      </c>
      <c r="J207" s="712">
        <f t="shared" si="66"/>
        <v>298.14258530218473</v>
      </c>
      <c r="K207" s="712">
        <f t="shared" si="67"/>
        <v>298.11845502195933</v>
      </c>
      <c r="L207" s="712">
        <f t="shared" si="68"/>
        <v>298.11065509682959</v>
      </c>
      <c r="N207" s="582">
        <v>133</v>
      </c>
      <c r="O207" s="712">
        <f t="shared" si="69"/>
        <v>1.9744454432599725</v>
      </c>
      <c r="P207" s="712">
        <f t="shared" si="70"/>
        <v>501.64710685993884</v>
      </c>
      <c r="Q207" s="712">
        <f t="shared" si="71"/>
        <v>483.94964526549614</v>
      </c>
      <c r="R207" s="712">
        <f t="shared" si="72"/>
        <v>471.24574232645551</v>
      </c>
      <c r="S207" s="712">
        <f t="shared" si="73"/>
        <v>463.59017803372427</v>
      </c>
      <c r="T207" s="712">
        <f t="shared" si="74"/>
        <v>461.01555285225078</v>
      </c>
    </row>
    <row r="208" spans="2:20">
      <c r="B208" s="582">
        <v>134</v>
      </c>
      <c r="C208" s="712">
        <f t="shared" si="59"/>
        <v>1.9892908977205739</v>
      </c>
      <c r="D208" s="712">
        <f t="shared" si="60"/>
        <v>1346.398008061421</v>
      </c>
      <c r="E208" s="712">
        <f t="shared" si="61"/>
        <v>622.73673081956895</v>
      </c>
      <c r="F208" s="712">
        <f t="shared" si="62"/>
        <v>365.95377677942281</v>
      </c>
      <c r="G208" s="712">
        <f t="shared" si="63"/>
        <v>308.48759057630139</v>
      </c>
      <c r="H208" s="719">
        <f t="shared" si="64"/>
        <v>298.2579480068332</v>
      </c>
      <c r="I208" s="712">
        <f t="shared" si="65"/>
        <v>298.19097001753653</v>
      </c>
      <c r="J208" s="712">
        <f t="shared" si="66"/>
        <v>298.14717240303418</v>
      </c>
      <c r="K208" s="712">
        <f t="shared" si="67"/>
        <v>298.12246621155839</v>
      </c>
      <c r="L208" s="712">
        <f t="shared" si="68"/>
        <v>298.11447717804521</v>
      </c>
      <c r="N208" s="582">
        <v>134</v>
      </c>
      <c r="O208" s="712">
        <f t="shared" si="69"/>
        <v>1.9892908977205739</v>
      </c>
      <c r="P208" s="712">
        <f t="shared" si="70"/>
        <v>502.85481952620455</v>
      </c>
      <c r="Q208" s="712">
        <f t="shared" si="71"/>
        <v>485.17620221563425</v>
      </c>
      <c r="R208" s="712">
        <f t="shared" si="72"/>
        <v>472.48575476659835</v>
      </c>
      <c r="S208" s="712">
        <f t="shared" si="73"/>
        <v>464.83819805515719</v>
      </c>
      <c r="T208" s="712">
        <f t="shared" si="74"/>
        <v>462.26609736643132</v>
      </c>
    </row>
    <row r="209" spans="2:20">
      <c r="B209" s="582">
        <v>135</v>
      </c>
      <c r="C209" s="712">
        <f t="shared" si="59"/>
        <v>2.0041363521811753</v>
      </c>
      <c r="D209" s="712">
        <f t="shared" si="60"/>
        <v>1347.3001843986222</v>
      </c>
      <c r="E209" s="712">
        <f t="shared" si="61"/>
        <v>624.88445752165524</v>
      </c>
      <c r="F209" s="712">
        <f t="shared" si="62"/>
        <v>366.87067080337641</v>
      </c>
      <c r="G209" s="712">
        <f t="shared" si="63"/>
        <v>308.70488742011406</v>
      </c>
      <c r="H209" s="719">
        <f t="shared" si="64"/>
        <v>298.26511612479453</v>
      </c>
      <c r="I209" s="712">
        <f t="shared" si="65"/>
        <v>298.19666376257345</v>
      </c>
      <c r="J209" s="712">
        <f t="shared" si="66"/>
        <v>298.15186178774303</v>
      </c>
      <c r="K209" s="712">
        <f t="shared" si="67"/>
        <v>298.12657241070428</v>
      </c>
      <c r="L209" s="712">
        <f t="shared" si="68"/>
        <v>298.11839182560635</v>
      </c>
      <c r="N209" s="582">
        <v>135</v>
      </c>
      <c r="O209" s="712">
        <f t="shared" si="69"/>
        <v>2.0041363521811753</v>
      </c>
      <c r="P209" s="712">
        <f t="shared" si="70"/>
        <v>504.06122889045258</v>
      </c>
      <c r="Q209" s="712">
        <f t="shared" si="71"/>
        <v>486.40143552805682</v>
      </c>
      <c r="R209" s="712">
        <f t="shared" si="72"/>
        <v>473.72442904877431</v>
      </c>
      <c r="S209" s="712">
        <f t="shared" si="73"/>
        <v>466.08487127747873</v>
      </c>
      <c r="T209" s="712">
        <f t="shared" si="74"/>
        <v>463.51529235729134</v>
      </c>
    </row>
    <row r="210" spans="2:20">
      <c r="B210" s="582">
        <v>136</v>
      </c>
      <c r="C210" s="712">
        <f t="shared" si="59"/>
        <v>2.0189818066417766</v>
      </c>
      <c r="D210" s="712">
        <f t="shared" si="60"/>
        <v>1348.190104956625</v>
      </c>
      <c r="E210" s="712">
        <f t="shared" si="61"/>
        <v>627.02079240338537</v>
      </c>
      <c r="F210" s="712">
        <f t="shared" si="62"/>
        <v>367.79000860894803</v>
      </c>
      <c r="G210" s="712">
        <f t="shared" si="63"/>
        <v>308.92443590941298</v>
      </c>
      <c r="H210" s="719">
        <f t="shared" si="64"/>
        <v>298.27241627753097</v>
      </c>
      <c r="I210" s="712">
        <f t="shared" si="65"/>
        <v>298.20247295578201</v>
      </c>
      <c r="J210" s="712">
        <f t="shared" si="66"/>
        <v>298.15665462469326</v>
      </c>
      <c r="K210" s="712">
        <f t="shared" si="67"/>
        <v>298.13077480605233</v>
      </c>
      <c r="L210" s="712">
        <f t="shared" si="68"/>
        <v>298.12240023165515</v>
      </c>
      <c r="N210" s="582">
        <v>136</v>
      </c>
      <c r="O210" s="712">
        <f t="shared" si="69"/>
        <v>2.0189818066417766</v>
      </c>
      <c r="P210" s="712">
        <f t="shared" si="70"/>
        <v>505.26633635918625</v>
      </c>
      <c r="Q210" s="712">
        <f t="shared" si="71"/>
        <v>487.62534663119925</v>
      </c>
      <c r="R210" s="712">
        <f t="shared" si="72"/>
        <v>474.96176661705567</v>
      </c>
      <c r="S210" s="712">
        <f t="shared" si="73"/>
        <v>467.33019915405282</v>
      </c>
      <c r="T210" s="712">
        <f t="shared" si="74"/>
        <v>464.76313928112108</v>
      </c>
    </row>
    <row r="211" spans="2:20">
      <c r="B211" s="582">
        <v>137</v>
      </c>
      <c r="C211" s="712">
        <f t="shared" si="59"/>
        <v>2.033827261102378</v>
      </c>
      <c r="D211" s="712">
        <f t="shared" si="60"/>
        <v>1349.0680998490434</v>
      </c>
      <c r="E211" s="712">
        <f t="shared" si="61"/>
        <v>629.14579513671879</v>
      </c>
      <c r="F211" s="712">
        <f t="shared" si="62"/>
        <v>368.71172566594606</v>
      </c>
      <c r="G211" s="712">
        <f t="shared" si="63"/>
        <v>309.1462271774584</v>
      </c>
      <c r="H211" s="719">
        <f t="shared" si="64"/>
        <v>298.27984953242537</v>
      </c>
      <c r="I211" s="712">
        <f t="shared" si="65"/>
        <v>298.20839872475932</v>
      </c>
      <c r="J211" s="712">
        <f t="shared" si="66"/>
        <v>298.16155207813404</v>
      </c>
      <c r="K211" s="712">
        <f t="shared" si="67"/>
        <v>298.13507458111712</v>
      </c>
      <c r="L211" s="712">
        <f t="shared" si="68"/>
        <v>298.12650358553407</v>
      </c>
      <c r="N211" s="582">
        <v>137</v>
      </c>
      <c r="O211" s="712">
        <f t="shared" si="69"/>
        <v>2.033827261102378</v>
      </c>
      <c r="P211" s="712">
        <f t="shared" si="70"/>
        <v>506.47014333738412</v>
      </c>
      <c r="Q211" s="712">
        <f t="shared" si="71"/>
        <v>488.84793695195077</v>
      </c>
      <c r="R211" s="712">
        <f t="shared" si="72"/>
        <v>476.19776891395605</v>
      </c>
      <c r="S211" s="712">
        <f t="shared" si="73"/>
        <v>468.57418313667989</v>
      </c>
      <c r="T211" s="712">
        <f t="shared" si="74"/>
        <v>466.00963959264578</v>
      </c>
    </row>
    <row r="212" spans="2:20">
      <c r="B212" s="582">
        <v>138</v>
      </c>
      <c r="C212" s="712">
        <f t="shared" si="59"/>
        <v>2.0486727155629789</v>
      </c>
      <c r="D212" s="712">
        <f t="shared" si="60"/>
        <v>1349.934488023707</v>
      </c>
      <c r="E212" s="712">
        <f t="shared" si="61"/>
        <v>631.25952606634348</v>
      </c>
      <c r="F212" s="712">
        <f t="shared" si="62"/>
        <v>369.63575827159383</v>
      </c>
      <c r="G212" s="712">
        <f t="shared" si="63"/>
        <v>309.3702521471472</v>
      </c>
      <c r="H212" s="719">
        <f t="shared" si="64"/>
        <v>298.2874169491547</v>
      </c>
      <c r="I212" s="712">
        <f t="shared" si="65"/>
        <v>298.21444219131484</v>
      </c>
      <c r="J212" s="712">
        <f t="shared" si="66"/>
        <v>298.16655530804377</v>
      </c>
      <c r="K212" s="712">
        <f t="shared" si="67"/>
        <v>298.13947291611271</v>
      </c>
      <c r="L212" s="712">
        <f t="shared" si="68"/>
        <v>298.13070307361858</v>
      </c>
      <c r="N212" s="582">
        <v>138</v>
      </c>
      <c r="O212" s="712">
        <f t="shared" si="69"/>
        <v>2.0486727155629789</v>
      </c>
      <c r="P212" s="712">
        <f t="shared" si="70"/>
        <v>507.67265122850284</v>
      </c>
      <c r="Q212" s="712">
        <f t="shared" si="71"/>
        <v>490.06920791565653</v>
      </c>
      <c r="R212" s="712">
        <f t="shared" si="72"/>
        <v>477.43243738043242</v>
      </c>
      <c r="S212" s="712">
        <f t="shared" si="73"/>
        <v>469.81682467559767</v>
      </c>
      <c r="T212" s="712">
        <f t="shared" si="74"/>
        <v>467.25479474502669</v>
      </c>
    </row>
    <row r="213" spans="2:20">
      <c r="B213" s="582">
        <v>139</v>
      </c>
      <c r="C213" s="712">
        <f t="shared" si="59"/>
        <v>2.0635181700235803</v>
      </c>
      <c r="D213" s="712">
        <f t="shared" si="60"/>
        <v>1350.7895776650919</v>
      </c>
      <c r="E213" s="712">
        <f t="shared" si="61"/>
        <v>633.36204615592885</v>
      </c>
      <c r="F213" s="712">
        <f t="shared" si="62"/>
        <v>370.56204354504428</v>
      </c>
      <c r="G213" s="712">
        <f t="shared" si="63"/>
        <v>309.59650153671896</v>
      </c>
      <c r="H213" s="719">
        <f t="shared" si="64"/>
        <v>298.29511957963899</v>
      </c>
      <c r="I213" s="712">
        <f t="shared" si="65"/>
        <v>298.22060447137204</v>
      </c>
      <c r="J213" s="712">
        <f t="shared" si="66"/>
        <v>298.17166546999601</v>
      </c>
      <c r="K213" s="712">
        <f t="shared" si="67"/>
        <v>298.14397098779597</v>
      </c>
      <c r="L213" s="712">
        <f t="shared" si="68"/>
        <v>298.13499987915355</v>
      </c>
      <c r="N213" s="582">
        <v>139</v>
      </c>
      <c r="O213" s="712">
        <f t="shared" si="69"/>
        <v>2.0635181700235803</v>
      </c>
      <c r="P213" s="712">
        <f t="shared" si="70"/>
        <v>508.87386143447969</v>
      </c>
      <c r="Q213" s="712">
        <f t="shared" si="71"/>
        <v>491.28916094611986</v>
      </c>
      <c r="R213" s="712">
        <f t="shared" si="72"/>
        <v>478.66577345588667</v>
      </c>
      <c r="S213" s="712">
        <f t="shared" si="73"/>
        <v>471.05812521948246</v>
      </c>
      <c r="T213" s="712">
        <f t="shared" si="74"/>
        <v>468.49860618986185</v>
      </c>
    </row>
    <row r="214" spans="2:20">
      <c r="B214" s="582">
        <v>140</v>
      </c>
      <c r="C214" s="712">
        <f t="shared" si="59"/>
        <v>2.0783636244841817</v>
      </c>
      <c r="D214" s="712">
        <f t="shared" si="60"/>
        <v>1351.6336665819758</v>
      </c>
      <c r="E214" s="712">
        <f t="shared" si="61"/>
        <v>635.45341693669752</v>
      </c>
      <c r="F214" s="712">
        <f t="shared" si="62"/>
        <v>371.49051942172366</v>
      </c>
      <c r="G214" s="712">
        <f t="shared" si="63"/>
        <v>309.82496586538446</v>
      </c>
      <c r="H214" s="719">
        <f t="shared" si="64"/>
        <v>298.30295846799339</v>
      </c>
      <c r="I214" s="712">
        <f t="shared" si="65"/>
        <v>298.22688667487245</v>
      </c>
      <c r="J214" s="712">
        <f t="shared" si="66"/>
        <v>298.17688371502845</v>
      </c>
      <c r="K214" s="712">
        <f t="shared" si="67"/>
        <v>298.14856996931439</v>
      </c>
      <c r="L214" s="712">
        <f t="shared" si="68"/>
        <v>298.13939518209321</v>
      </c>
      <c r="N214" s="582">
        <v>140</v>
      </c>
      <c r="O214" s="712">
        <f t="shared" si="69"/>
        <v>2.0783636244841817</v>
      </c>
      <c r="P214" s="712">
        <f t="shared" si="70"/>
        <v>510.07377535573465</v>
      </c>
      <c r="Q214" s="712">
        <f t="shared" si="71"/>
        <v>492.50779746560471</v>
      </c>
      <c r="R214" s="712">
        <f t="shared" si="72"/>
        <v>479.89777857816739</v>
      </c>
      <c r="S214" s="712">
        <f t="shared" si="73"/>
        <v>472.29808621545021</v>
      </c>
      <c r="T214" s="712">
        <f t="shared" si="74"/>
        <v>469.74107537718686</v>
      </c>
    </row>
    <row r="215" spans="2:20">
      <c r="B215" s="582">
        <v>141</v>
      </c>
      <c r="C215" s="712">
        <f t="shared" si="59"/>
        <v>2.093209078944783</v>
      </c>
      <c r="D215" s="712">
        <f t="shared" si="60"/>
        <v>1352.4670425808645</v>
      </c>
      <c r="E215" s="712">
        <f t="shared" si="61"/>
        <v>637.53370045822942</v>
      </c>
      <c r="F215" s="712">
        <f t="shared" si="62"/>
        <v>372.42112464751693</v>
      </c>
      <c r="G215" s="712">
        <f t="shared" si="63"/>
        <v>310.05563545887583</v>
      </c>
      <c r="H215" s="719">
        <f t="shared" si="64"/>
        <v>298.31093465048201</v>
      </c>
      <c r="I215" s="712">
        <f t="shared" si="65"/>
        <v>298.23328990568325</v>
      </c>
      <c r="J215" s="712">
        <f t="shared" si="66"/>
        <v>298.1822111895151</v>
      </c>
      <c r="K215" s="712">
        <f t="shared" si="67"/>
        <v>298.15327103005637</v>
      </c>
      <c r="L215" s="712">
        <f t="shared" si="68"/>
        <v>298.14389015894466</v>
      </c>
      <c r="N215" s="582">
        <v>141</v>
      </c>
      <c r="O215" s="712">
        <f t="shared" si="69"/>
        <v>2.093209078944783</v>
      </c>
      <c r="P215" s="712">
        <f t="shared" si="70"/>
        <v>511.2723943911729</v>
      </c>
      <c r="Q215" s="712">
        <f t="shared" si="71"/>
        <v>493.72511889483758</v>
      </c>
      <c r="R215" s="712">
        <f t="shared" si="72"/>
        <v>481.12845418357125</v>
      </c>
      <c r="S215" s="712">
        <f t="shared" si="73"/>
        <v>473.53670910905748</v>
      </c>
      <c r="T215" s="712">
        <f t="shared" si="74"/>
        <v>470.98220375547641</v>
      </c>
    </row>
    <row r="216" spans="2:20">
      <c r="B216" s="582">
        <v>142</v>
      </c>
      <c r="C216" s="712">
        <f t="shared" si="59"/>
        <v>2.1080545334053844</v>
      </c>
      <c r="D216" s="712">
        <f t="shared" si="60"/>
        <v>1353.2899838257119</v>
      </c>
      <c r="E216" s="712">
        <f t="shared" si="61"/>
        <v>639.60295924140848</v>
      </c>
      <c r="F216" s="712">
        <f t="shared" si="62"/>
        <v>373.35379877280565</v>
      </c>
      <c r="G216" s="712">
        <f t="shared" si="63"/>
        <v>310.28850045491879</v>
      </c>
      <c r="H216" s="719">
        <f t="shared" si="64"/>
        <v>298.3190491554746</v>
      </c>
      <c r="I216" s="712">
        <f t="shared" si="65"/>
        <v>298.23981526150726</v>
      </c>
      <c r="J216" s="712">
        <f t="shared" si="66"/>
        <v>298.18764903504211</v>
      </c>
      <c r="K216" s="712">
        <f t="shared" si="67"/>
        <v>298.15807533550611</v>
      </c>
      <c r="L216" s="712">
        <f t="shared" si="68"/>
        <v>298.14848598261506</v>
      </c>
      <c r="N216" s="582">
        <v>142</v>
      </c>
      <c r="O216" s="712">
        <f t="shared" si="69"/>
        <v>2.1080545334053844</v>
      </c>
      <c r="P216" s="712">
        <f t="shared" si="70"/>
        <v>512.46971993818693</v>
      </c>
      <c r="Q216" s="712">
        <f t="shared" si="71"/>
        <v>494.94112665300941</v>
      </c>
      <c r="R216" s="712">
        <f t="shared" si="72"/>
        <v>482.35780170684512</v>
      </c>
      <c r="S216" s="712">
        <f t="shared" si="73"/>
        <v>474.77399534430333</v>
      </c>
      <c r="T216" s="712">
        <f t="shared" si="74"/>
        <v>472.22199277164492</v>
      </c>
    </row>
    <row r="217" spans="2:20">
      <c r="B217" s="582">
        <v>143</v>
      </c>
      <c r="C217" s="712">
        <f t="shared" si="59"/>
        <v>2.1228999878659858</v>
      </c>
      <c r="D217" s="712">
        <f t="shared" si="60"/>
        <v>1354.1027591844443</v>
      </c>
      <c r="E217" s="712">
        <f t="shared" si="61"/>
        <v>641.66125623342907</v>
      </c>
      <c r="F217" s="712">
        <f t="shared" si="62"/>
        <v>374.28848214636969</v>
      </c>
      <c r="G217" s="712">
        <f t="shared" si="63"/>
        <v>310.52355080862696</v>
      </c>
      <c r="H217" s="719">
        <f t="shared" si="64"/>
        <v>298.32730300340529</v>
      </c>
      <c r="I217" s="712">
        <f t="shared" si="65"/>
        <v>298.2464638337961</v>
      </c>
      <c r="J217" s="712">
        <f t="shared" si="66"/>
        <v>298.19319838828665</v>
      </c>
      <c r="K217" s="712">
        <f t="shared" si="67"/>
        <v>298.16298404710096</v>
      </c>
      <c r="L217" s="712">
        <f t="shared" si="68"/>
        <v>298.15318382226241</v>
      </c>
      <c r="N217" s="582">
        <v>143</v>
      </c>
      <c r="O217" s="712">
        <f t="shared" si="69"/>
        <v>2.1228999878659858</v>
      </c>
      <c r="P217" s="712">
        <f t="shared" si="70"/>
        <v>513.66575339265876</v>
      </c>
      <c r="Q217" s="712">
        <f t="shared" si="71"/>
        <v>496.15582215777783</v>
      </c>
      <c r="R217" s="712">
        <f t="shared" si="72"/>
        <v>483.58582258118747</v>
      </c>
      <c r="S217" s="712">
        <f t="shared" si="73"/>
        <v>476.00994636363015</v>
      </c>
      <c r="T217" s="712">
        <f t="shared" si="74"/>
        <v>473.46044387104808</v>
      </c>
    </row>
    <row r="218" spans="2:20">
      <c r="B218" s="582">
        <v>144</v>
      </c>
      <c r="C218" s="712">
        <f t="shared" si="59"/>
        <v>2.1377454423265867</v>
      </c>
      <c r="D218" s="712">
        <f t="shared" si="60"/>
        <v>1354.9056285627703</v>
      </c>
      <c r="E218" s="712">
        <f t="shared" si="61"/>
        <v>643.70865476478423</v>
      </c>
      <c r="F218" s="712">
        <f t="shared" si="62"/>
        <v>375.22511590916264</v>
      </c>
      <c r="G218" s="712">
        <f t="shared" si="63"/>
        <v>310.76077629781798</v>
      </c>
      <c r="H218" s="719">
        <f t="shared" si="64"/>
        <v>298.33569720673347</v>
      </c>
      <c r="I218" s="712">
        <f t="shared" si="65"/>
        <v>298.25323670766613</v>
      </c>
      <c r="J218" s="712">
        <f t="shared" si="66"/>
        <v>298.19886038089908</v>
      </c>
      <c r="K218" s="712">
        <f t="shared" si="67"/>
        <v>298.1679983220929</v>
      </c>
      <c r="L218" s="712">
        <f t="shared" si="68"/>
        <v>298.15798484314973</v>
      </c>
      <c r="N218" s="582">
        <v>144</v>
      </c>
      <c r="O218" s="712">
        <f t="shared" si="69"/>
        <v>2.1377454423265867</v>
      </c>
      <c r="P218" s="712">
        <f t="shared" si="70"/>
        <v>514.86049614896149</v>
      </c>
      <c r="Q218" s="712">
        <f t="shared" si="71"/>
        <v>497.36920682526915</v>
      </c>
      <c r="R218" s="712">
        <f t="shared" si="72"/>
        <v>484.81251823825005</v>
      </c>
      <c r="S218" s="712">
        <f t="shared" si="73"/>
        <v>477.24456360792556</v>
      </c>
      <c r="T218" s="712">
        <f t="shared" si="74"/>
        <v>474.69755849748407</v>
      </c>
    </row>
    <row r="219" spans="2:20">
      <c r="B219" s="582">
        <v>145</v>
      </c>
      <c r="C219" s="712">
        <f t="shared" si="59"/>
        <v>2.1525908967871881</v>
      </c>
      <c r="D219" s="712">
        <f t="shared" si="60"/>
        <v>1355.6988432257524</v>
      </c>
      <c r="E219" s="712">
        <f t="shared" si="61"/>
        <v>645.74521850815449</v>
      </c>
      <c r="F219" s="712">
        <f t="shared" si="62"/>
        <v>376.16364198797118</v>
      </c>
      <c r="G219" s="712">
        <f t="shared" si="63"/>
        <v>311.00016652825258</v>
      </c>
      <c r="H219" s="719">
        <f t="shared" si="64"/>
        <v>298.34423276990731</v>
      </c>
      <c r="I219" s="712">
        <f t="shared" si="65"/>
        <v>298.2601349618173</v>
      </c>
      <c r="J219" s="712">
        <f t="shared" si="66"/>
        <v>298.20463613938819</v>
      </c>
      <c r="K219" s="712">
        <f t="shared" si="67"/>
        <v>298.17311931341317</v>
      </c>
      <c r="L219" s="712">
        <f t="shared" si="68"/>
        <v>298.1628902065026</v>
      </c>
      <c r="N219" s="582">
        <v>145</v>
      </c>
      <c r="O219" s="712">
        <f t="shared" si="69"/>
        <v>2.1525908967871881</v>
      </c>
      <c r="P219" s="712">
        <f t="shared" si="70"/>
        <v>516.05394959996181</v>
      </c>
      <c r="Q219" s="712">
        <f t="shared" si="71"/>
        <v>498.58128207007985</v>
      </c>
      <c r="R219" s="712">
        <f t="shared" si="72"/>
        <v>486.03789010813966</v>
      </c>
      <c r="S219" s="712">
        <f t="shared" si="73"/>
        <v>478.4778485165233</v>
      </c>
      <c r="T219" s="712">
        <f t="shared" si="74"/>
        <v>475.93333809319489</v>
      </c>
    </row>
    <row r="220" spans="2:20">
      <c r="B220" s="582">
        <v>146</v>
      </c>
      <c r="C220" s="712">
        <f t="shared" si="59"/>
        <v>2.1674363512477894</v>
      </c>
      <c r="D220" s="712">
        <f t="shared" si="60"/>
        <v>1356.4826461075859</v>
      </c>
      <c r="E220" s="712">
        <f t="shared" si="61"/>
        <v>647.77101143912637</v>
      </c>
      <c r="F220" s="712">
        <f t="shared" si="62"/>
        <v>377.1040030889676</v>
      </c>
      <c r="G220" s="712">
        <f t="shared" si="63"/>
        <v>311.24171093879539</v>
      </c>
      <c r="H220" s="719">
        <f t="shared" si="64"/>
        <v>298.35291068932889</v>
      </c>
      <c r="I220" s="712">
        <f t="shared" si="65"/>
        <v>298.26715966845444</v>
      </c>
      <c r="J220" s="712">
        <f t="shared" si="66"/>
        <v>298.21052678500968</v>
      </c>
      <c r="K220" s="712">
        <f t="shared" si="67"/>
        <v>298.17834816954024</v>
      </c>
      <c r="L220" s="712">
        <f t="shared" si="68"/>
        <v>298.16790106937043</v>
      </c>
      <c r="N220" s="582">
        <v>146</v>
      </c>
      <c r="O220" s="712">
        <f t="shared" si="69"/>
        <v>2.1674363512477894</v>
      </c>
      <c r="P220" s="712">
        <f t="shared" si="70"/>
        <v>517.24611513702155</v>
      </c>
      <c r="Q220" s="712">
        <f t="shared" si="71"/>
        <v>499.79204930527879</v>
      </c>
      <c r="R220" s="712">
        <f t="shared" si="72"/>
        <v>487.26193961941982</v>
      </c>
      <c r="S220" s="712">
        <f t="shared" si="73"/>
        <v>479.70980252720517</v>
      </c>
      <c r="T220" s="712">
        <f t="shared" si="74"/>
        <v>477.1677840988678</v>
      </c>
    </row>
    <row r="221" spans="2:20">
      <c r="B221" s="582">
        <v>147</v>
      </c>
      <c r="C221" s="712">
        <f t="shared" si="59"/>
        <v>2.1822818057083908</v>
      </c>
      <c r="D221" s="712">
        <f t="shared" si="60"/>
        <v>1357.2572721100248</v>
      </c>
      <c r="E221" s="712">
        <f t="shared" si="61"/>
        <v>649.78609779866758</v>
      </c>
      <c r="F221" s="712">
        <f t="shared" si="62"/>
        <v>378.04614269116513</v>
      </c>
      <c r="G221" s="712">
        <f t="shared" si="63"/>
        <v>311.48539880649861</v>
      </c>
      <c r="H221" s="719">
        <f t="shared" si="64"/>
        <v>298.36173195332185</v>
      </c>
      <c r="I221" s="712">
        <f t="shared" si="65"/>
        <v>298.27431189321123</v>
      </c>
      <c r="J221" s="712">
        <f t="shared" si="66"/>
        <v>298.21653343365762</v>
      </c>
      <c r="K221" s="712">
        <f t="shared" si="67"/>
        <v>298.18368603437119</v>
      </c>
      <c r="L221" s="712">
        <f t="shared" si="68"/>
        <v>298.17301858449099</v>
      </c>
      <c r="N221" s="582">
        <v>147</v>
      </c>
      <c r="O221" s="712">
        <f t="shared" si="69"/>
        <v>2.1822818057083908</v>
      </c>
      <c r="P221" s="712">
        <f t="shared" si="70"/>
        <v>518.43699414999969</v>
      </c>
      <c r="Q221" s="712">
        <f t="shared" si="71"/>
        <v>501.00150994240886</v>
      </c>
      <c r="R221" s="712">
        <f t="shared" si="72"/>
        <v>488.48466819911243</v>
      </c>
      <c r="S221" s="712">
        <f t="shared" si="73"/>
        <v>480.94042707620235</v>
      </c>
      <c r="T221" s="712">
        <f t="shared" si="74"/>
        <v>478.40089795363684</v>
      </c>
    </row>
    <row r="222" spans="2:20">
      <c r="B222" s="582">
        <v>148</v>
      </c>
      <c r="C222" s="712">
        <f t="shared" si="59"/>
        <v>2.1971272601689922</v>
      </c>
      <c r="D222" s="712">
        <f t="shared" si="60"/>
        <v>1358.0229483898718</v>
      </c>
      <c r="E222" s="712">
        <f t="shared" si="61"/>
        <v>651.7905420572896</v>
      </c>
      <c r="F222" s="712">
        <f t="shared" si="62"/>
        <v>378.9900050397838</v>
      </c>
      <c r="G222" s="712">
        <f t="shared" si="63"/>
        <v>311.73121925160928</v>
      </c>
      <c r="H222" s="719">
        <f t="shared" si="64"/>
        <v>298.37069754210086</v>
      </c>
      <c r="I222" s="712">
        <f t="shared" si="65"/>
        <v>298.28159269507728</v>
      </c>
      <c r="J222" s="712">
        <f t="shared" si="66"/>
        <v>298.22265719575904</v>
      </c>
      <c r="K222" s="712">
        <f t="shared" si="67"/>
        <v>298.18913404709622</v>
      </c>
      <c r="L222" s="712">
        <f t="shared" si="68"/>
        <v>298.17824390015818</v>
      </c>
      <c r="N222" s="582">
        <v>148</v>
      </c>
      <c r="O222" s="712">
        <f t="shared" si="69"/>
        <v>2.1971272601689922</v>
      </c>
      <c r="P222" s="712">
        <f t="shared" si="70"/>
        <v>519.62658802725412</v>
      </c>
      <c r="Q222" s="712">
        <f t="shared" si="71"/>
        <v>502.2096653914889</v>
      </c>
      <c r="R222" s="712">
        <f t="shared" si="72"/>
        <v>489.70607727269919</v>
      </c>
      <c r="S222" s="712">
        <f t="shared" si="73"/>
        <v>482.16972359819698</v>
      </c>
      <c r="T222" s="712">
        <f t="shared" si="74"/>
        <v>479.63268109508402</v>
      </c>
    </row>
    <row r="223" spans="2:20">
      <c r="B223" s="582">
        <v>149</v>
      </c>
      <c r="C223" s="712">
        <f t="shared" si="59"/>
        <v>2.2119727146295936</v>
      </c>
      <c r="D223" s="712">
        <f t="shared" si="60"/>
        <v>1358.7798946359367</v>
      </c>
      <c r="E223" s="712">
        <f t="shared" si="61"/>
        <v>653.7844088808323</v>
      </c>
      <c r="F223" s="712">
        <f t="shared" si="62"/>
        <v>379.93553513953555</v>
      </c>
      <c r="G223" s="712">
        <f t="shared" si="63"/>
        <v>311.97916124249889</v>
      </c>
      <c r="H223" s="719">
        <f t="shared" si="64"/>
        <v>298.37980842774323</v>
      </c>
      <c r="I223" s="712">
        <f t="shared" si="65"/>
        <v>298.28900312632737</v>
      </c>
      <c r="J223" s="712">
        <f t="shared" si="66"/>
        <v>298.22889917617158</v>
      </c>
      <c r="K223" s="712">
        <f t="shared" si="67"/>
        <v>298.19469334207679</v>
      </c>
      <c r="L223" s="712">
        <f t="shared" si="68"/>
        <v>298.18357816009325</v>
      </c>
      <c r="N223" s="582">
        <v>149</v>
      </c>
      <c r="O223" s="712">
        <f t="shared" si="69"/>
        <v>2.2119727146295936</v>
      </c>
      <c r="P223" s="712">
        <f t="shared" si="70"/>
        <v>520.81489815564362</v>
      </c>
      <c r="Q223" s="712">
        <f t="shared" si="71"/>
        <v>503.41651706101527</v>
      </c>
      <c r="R223" s="712">
        <f t="shared" si="72"/>
        <v>490.9261682641237</v>
      </c>
      <c r="S223" s="712">
        <f t="shared" si="73"/>
        <v>483.39769352632368</v>
      </c>
      <c r="T223" s="712">
        <f t="shared" si="74"/>
        <v>480.86313495924111</v>
      </c>
    </row>
    <row r="224" spans="2:20">
      <c r="B224" s="582">
        <v>150</v>
      </c>
      <c r="C224" s="712">
        <f t="shared" si="59"/>
        <v>2.2268181690901945</v>
      </c>
      <c r="D224" s="712">
        <f t="shared" si="60"/>
        <v>1359.5283233358512</v>
      </c>
      <c r="E224" s="712">
        <f t="shared" si="61"/>
        <v>655.76776309780689</v>
      </c>
      <c r="F224" s="712">
        <f t="shared" si="62"/>
        <v>380.88267874783662</v>
      </c>
      <c r="G224" s="712">
        <f t="shared" si="63"/>
        <v>312.22921360051731</v>
      </c>
      <c r="H224" s="719">
        <f t="shared" si="64"/>
        <v>298.38906557416254</v>
      </c>
      <c r="I224" s="712">
        <f t="shared" si="65"/>
        <v>298.29654423245336</v>
      </c>
      <c r="J224" s="712">
        <f t="shared" si="66"/>
        <v>298.23526047408399</v>
      </c>
      <c r="K224" s="712">
        <f t="shared" si="67"/>
        <v>298.20036504872621</v>
      </c>
      <c r="L224" s="712">
        <f t="shared" si="68"/>
        <v>298.18902250331934</v>
      </c>
      <c r="N224" s="582">
        <v>150</v>
      </c>
      <c r="O224" s="712">
        <f t="shared" si="69"/>
        <v>2.2268181690901945</v>
      </c>
      <c r="P224" s="712">
        <f t="shared" si="70"/>
        <v>522.00192592052929</v>
      </c>
      <c r="Q224" s="712">
        <f t="shared" si="71"/>
        <v>504.62206635796383</v>
      </c>
      <c r="R224" s="712">
        <f t="shared" si="72"/>
        <v>492.14494259579288</v>
      </c>
      <c r="S224" s="712">
        <f t="shared" si="73"/>
        <v>484.62433829217105</v>
      </c>
      <c r="T224" s="712">
        <f t="shared" si="74"/>
        <v>482.09226098059099</v>
      </c>
    </row>
    <row r="225" spans="2:20">
      <c r="B225" s="582">
        <v>151</v>
      </c>
      <c r="C225" s="712">
        <f t="shared" si="59"/>
        <v>2.2416636235507958</v>
      </c>
      <c r="D225" s="712">
        <f t="shared" si="60"/>
        <v>1360.2684400331138</v>
      </c>
      <c r="E225" s="712">
        <f t="shared" si="61"/>
        <v>657.74066966823432</v>
      </c>
      <c r="F225" s="712">
        <f t="shared" si="62"/>
        <v>381.83138236795446</v>
      </c>
      <c r="G225" s="712">
        <f t="shared" si="63"/>
        <v>312.48136500477034</v>
      </c>
      <c r="H225" s="719">
        <f t="shared" si="64"/>
        <v>298.39846993708397</v>
      </c>
      <c r="I225" s="712">
        <f t="shared" si="65"/>
        <v>298.30421705209864</v>
      </c>
      <c r="J225" s="712">
        <f t="shared" si="66"/>
        <v>298.24174218291961</v>
      </c>
      <c r="K225" s="712">
        <f t="shared" si="67"/>
        <v>298.20615029139447</v>
      </c>
      <c r="L225" s="712">
        <f t="shared" si="68"/>
        <v>298.19457806403915</v>
      </c>
      <c r="N225" s="582">
        <v>151</v>
      </c>
      <c r="O225" s="712">
        <f t="shared" si="69"/>
        <v>2.2416636235507958</v>
      </c>
      <c r="P225" s="712">
        <f t="shared" si="70"/>
        <v>523.18767270577644</v>
      </c>
      <c r="Q225" s="712">
        <f t="shared" si="71"/>
        <v>505.82631468779152</v>
      </c>
      <c r="R225" s="712">
        <f t="shared" si="72"/>
        <v>493.36240168857859</v>
      </c>
      <c r="S225" s="712">
        <f t="shared" si="73"/>
        <v>485.84965932578325</v>
      </c>
      <c r="T225" s="712">
        <f t="shared" si="74"/>
        <v>483.32006059206947</v>
      </c>
    </row>
    <row r="226" spans="2:20">
      <c r="B226" s="582">
        <v>152</v>
      </c>
      <c r="C226" s="712">
        <f t="shared" si="59"/>
        <v>2.2565090780113972</v>
      </c>
      <c r="D226" s="712">
        <f t="shared" si="60"/>
        <v>1361.0004435747285</v>
      </c>
      <c r="E226" s="712">
        <f t="shared" si="61"/>
        <v>659.70319365392288</v>
      </c>
      <c r="F226" s="712">
        <f t="shared" si="62"/>
        <v>382.78159324209628</v>
      </c>
      <c r="G226" s="712">
        <f t="shared" si="63"/>
        <v>312.73560399682179</v>
      </c>
      <c r="H226" s="719">
        <f t="shared" si="64"/>
        <v>298.40802246402183</v>
      </c>
      <c r="I226" s="712">
        <f t="shared" si="65"/>
        <v>298.31202261699508</v>
      </c>
      <c r="J226" s="712">
        <f t="shared" si="66"/>
        <v>298.24834539024278</v>
      </c>
      <c r="K226" s="712">
        <f t="shared" si="67"/>
        <v>298.21205018925502</v>
      </c>
      <c r="L226" s="712">
        <f t="shared" si="68"/>
        <v>298.20024597151604</v>
      </c>
      <c r="N226" s="582">
        <v>152</v>
      </c>
      <c r="O226" s="712">
        <f t="shared" si="69"/>
        <v>2.2565090780113972</v>
      </c>
      <c r="P226" s="712">
        <f t="shared" si="70"/>
        <v>524.37213989375653</v>
      </c>
      <c r="Q226" s="712">
        <f t="shared" si="71"/>
        <v>507.02926345443825</v>
      </c>
      <c r="R226" s="712">
        <f t="shared" si="72"/>
        <v>494.57854696181937</v>
      </c>
      <c r="S226" s="712">
        <f t="shared" si="73"/>
        <v>487.07365805566184</v>
      </c>
      <c r="T226" s="712">
        <f t="shared" si="74"/>
        <v>484.54653522506635</v>
      </c>
    </row>
    <row r="227" spans="2:20">
      <c r="B227" s="582">
        <v>153</v>
      </c>
      <c r="C227" s="712">
        <f t="shared" si="59"/>
        <v>2.2713545324719986</v>
      </c>
      <c r="D227" s="712">
        <f t="shared" si="60"/>
        <v>1361.7245263497798</v>
      </c>
      <c r="E227" s="712">
        <f t="shared" si="61"/>
        <v>661.65540019012531</v>
      </c>
      <c r="F227" s="712">
        <f t="shared" si="62"/>
        <v>383.73325934444568</v>
      </c>
      <c r="G227" s="712">
        <f t="shared" si="63"/>
        <v>312.99191898532064</v>
      </c>
      <c r="H227" s="719">
        <f t="shared" si="64"/>
        <v>298.41772409425857</v>
      </c>
      <c r="I227" s="712">
        <f t="shared" si="65"/>
        <v>298.31996195190231</v>
      </c>
      <c r="J227" s="712">
        <f t="shared" si="66"/>
        <v>298.25507117766779</v>
      </c>
      <c r="K227" s="712">
        <f t="shared" si="67"/>
        <v>298.21806585619572</v>
      </c>
      <c r="L227" s="712">
        <f t="shared" si="68"/>
        <v>298.20602734995782</v>
      </c>
      <c r="N227" s="582">
        <v>153</v>
      </c>
      <c r="O227" s="712">
        <f t="shared" si="69"/>
        <v>2.2713545324719986</v>
      </c>
      <c r="P227" s="712">
        <f t="shared" si="70"/>
        <v>525.55532886534866</v>
      </c>
      <c r="Q227" s="712">
        <f t="shared" si="71"/>
        <v>508.23091406032825</v>
      </c>
      <c r="R227" s="712">
        <f t="shared" si="72"/>
        <v>495.79337983332198</v>
      </c>
      <c r="S227" s="712">
        <f t="shared" si="73"/>
        <v>488.29633590876711</v>
      </c>
      <c r="T227" s="712">
        <f t="shared" si="74"/>
        <v>485.77168630942748</v>
      </c>
    </row>
    <row r="228" spans="2:20">
      <c r="B228" s="582">
        <v>154</v>
      </c>
      <c r="C228" s="712">
        <f t="shared" si="59"/>
        <v>2.2861999869326</v>
      </c>
      <c r="D228" s="712">
        <f t="shared" si="60"/>
        <v>1362.440874519282</v>
      </c>
      <c r="E228" s="712">
        <f t="shared" si="61"/>
        <v>663.59735445852323</v>
      </c>
      <c r="F228" s="712">
        <f t="shared" si="62"/>
        <v>384.68632937415515</v>
      </c>
      <c r="G228" s="712">
        <f t="shared" si="63"/>
        <v>313.25029825055287</v>
      </c>
      <c r="H228" s="719">
        <f t="shared" si="64"/>
        <v>298.42757575882592</v>
      </c>
      <c r="I228" s="712">
        <f t="shared" si="65"/>
        <v>298.32803607454963</v>
      </c>
      <c r="J228" s="712">
        <f t="shared" si="66"/>
        <v>298.26192062077115</v>
      </c>
      <c r="K228" s="712">
        <f t="shared" si="67"/>
        <v>298.22419840071188</v>
      </c>
      <c r="L228" s="712">
        <f t="shared" si="68"/>
        <v>298.21192331840427</v>
      </c>
      <c r="N228" s="582">
        <v>154</v>
      </c>
      <c r="O228" s="712">
        <f t="shared" si="69"/>
        <v>2.2861999869326</v>
      </c>
      <c r="P228" s="712">
        <f t="shared" si="70"/>
        <v>526.73724099994104</v>
      </c>
      <c r="Q228" s="712">
        <f t="shared" si="71"/>
        <v>509.43126790637223</v>
      </c>
      <c r="R228" s="712">
        <f t="shared" si="72"/>
        <v>497.00690171936333</v>
      </c>
      <c r="S228" s="712">
        <f t="shared" si="73"/>
        <v>489.51769431051969</v>
      </c>
      <c r="T228" s="712">
        <f t="shared" si="74"/>
        <v>486.99551527345608</v>
      </c>
    </row>
    <row r="229" spans="2:20">
      <c r="B229" s="582">
        <v>155</v>
      </c>
      <c r="C229" s="712">
        <f t="shared" si="59"/>
        <v>2.3010454413932013</v>
      </c>
      <c r="D229" s="712">
        <f t="shared" si="60"/>
        <v>1363.1496682376226</v>
      </c>
      <c r="E229" s="712">
        <f t="shared" si="61"/>
        <v>665.5291216614844</v>
      </c>
      <c r="F229" s="712">
        <f t="shared" si="62"/>
        <v>385.64075274829884</v>
      </c>
      <c r="G229" s="712">
        <f t="shared" si="63"/>
        <v>313.51072994891985</v>
      </c>
      <c r="H229" s="719">
        <f t="shared" si="64"/>
        <v>298.43757838048771</v>
      </c>
      <c r="I229" s="712">
        <f t="shared" si="65"/>
        <v>298.33624599557976</v>
      </c>
      <c r="J229" s="712">
        <f t="shared" si="66"/>
        <v>298.26889478900637</v>
      </c>
      <c r="K229" s="712">
        <f t="shared" si="67"/>
        <v>298.23044892580322</v>
      </c>
      <c r="L229" s="712">
        <f t="shared" si="68"/>
        <v>298.21793499061738</v>
      </c>
      <c r="N229" s="582">
        <v>155</v>
      </c>
      <c r="O229" s="712">
        <f t="shared" si="69"/>
        <v>2.3010454413932013</v>
      </c>
      <c r="P229" s="712">
        <f t="shared" si="70"/>
        <v>527.91787767543337</v>
      </c>
      <c r="Q229" s="712">
        <f t="shared" si="71"/>
        <v>510.63032639196859</v>
      </c>
      <c r="R229" s="712">
        <f t="shared" si="72"/>
        <v>498.21911403469187</v>
      </c>
      <c r="S229" s="712">
        <f t="shared" si="73"/>
        <v>490.73773468480249</v>
      </c>
      <c r="T229" s="712">
        <f t="shared" si="74"/>
        <v>488.2180235439144</v>
      </c>
    </row>
    <row r="230" spans="2:20">
      <c r="B230" s="582">
        <v>156</v>
      </c>
      <c r="C230" s="712">
        <f t="shared" si="59"/>
        <v>2.3158908958538023</v>
      </c>
      <c r="D230" s="712">
        <f t="shared" si="60"/>
        <v>1363.8510818659106</v>
      </c>
      <c r="E230" s="712">
        <f t="shared" si="61"/>
        <v>667.45076699754281</v>
      </c>
      <c r="F230" s="712">
        <f t="shared" si="62"/>
        <v>386.5964795947927</v>
      </c>
      <c r="G230" s="712">
        <f t="shared" si="63"/>
        <v>313.77320211734235</v>
      </c>
      <c r="H230" s="719">
        <f t="shared" si="64"/>
        <v>298.44773287372419</v>
      </c>
      <c r="I230" s="712">
        <f t="shared" si="65"/>
        <v>298.34459271849551</v>
      </c>
      <c r="J230" s="712">
        <f t="shared" si="66"/>
        <v>298.27599474562123</v>
      </c>
      <c r="K230" s="712">
        <f t="shared" si="67"/>
        <v>298.23681852887296</v>
      </c>
      <c r="L230" s="712">
        <f t="shared" si="68"/>
        <v>298.22406347497457</v>
      </c>
      <c r="N230" s="582">
        <v>156</v>
      </c>
      <c r="O230" s="712">
        <f t="shared" si="69"/>
        <v>2.3158908958538023</v>
      </c>
      <c r="P230" s="712">
        <f t="shared" si="70"/>
        <v>529.09724026823767</v>
      </c>
      <c r="Q230" s="712">
        <f t="shared" si="71"/>
        <v>511.82809091500553</v>
      </c>
      <c r="R230" s="712">
        <f t="shared" si="72"/>
        <v>499.43001819252925</v>
      </c>
      <c r="S230" s="712">
        <f t="shared" si="73"/>
        <v>491.95645845396177</v>
      </c>
      <c r="T230" s="712">
        <f t="shared" si="74"/>
        <v>489.43921254602543</v>
      </c>
    </row>
    <row r="231" spans="2:20">
      <c r="B231" s="582">
        <v>157</v>
      </c>
      <c r="C231" s="712">
        <f t="shared" si="59"/>
        <v>2.3307363503144036</v>
      </c>
      <c r="D231" s="712">
        <f t="shared" si="60"/>
        <v>1364.5452841775279</v>
      </c>
      <c r="E231" s="712">
        <f t="shared" si="61"/>
        <v>669.36235563805508</v>
      </c>
      <c r="F231" s="712">
        <f t="shared" si="62"/>
        <v>387.55346074528728</v>
      </c>
      <c r="G231" s="712">
        <f t="shared" si="63"/>
        <v>314.03770267759194</v>
      </c>
      <c r="H231" s="719">
        <f t="shared" si="64"/>
        <v>298.45804014471832</v>
      </c>
      <c r="I231" s="712">
        <f t="shared" si="65"/>
        <v>298.3530772396083</v>
      </c>
      <c r="J231" s="712">
        <f t="shared" si="66"/>
        <v>298.28322154757791</v>
      </c>
      <c r="K231" s="712">
        <f t="shared" si="67"/>
        <v>298.24330830163035</v>
      </c>
      <c r="L231" s="712">
        <f t="shared" si="68"/>
        <v>298.23030987436533</v>
      </c>
      <c r="N231" s="582">
        <v>157</v>
      </c>
      <c r="O231" s="712">
        <f t="shared" si="69"/>
        <v>2.3307363503144036</v>
      </c>
      <c r="P231" s="712">
        <f t="shared" si="70"/>
        <v>530.27533015328049</v>
      </c>
      <c r="Q231" s="712">
        <f t="shared" si="71"/>
        <v>513.02456287186249</v>
      </c>
      <c r="R231" s="712">
        <f t="shared" si="72"/>
        <v>500.6396156045721</v>
      </c>
      <c r="S231" s="712">
        <f t="shared" si="73"/>
        <v>493.17386703880925</v>
      </c>
      <c r="T231" s="712">
        <f t="shared" si="74"/>
        <v>490.65908370347444</v>
      </c>
    </row>
    <row r="232" spans="2:20">
      <c r="B232" s="582">
        <v>158</v>
      </c>
      <c r="C232" s="712">
        <f t="shared" si="59"/>
        <v>2.345581804775005</v>
      </c>
      <c r="D232" s="712">
        <f t="shared" si="60"/>
        <v>1365.2324385561728</v>
      </c>
      <c r="E232" s="712">
        <f t="shared" si="61"/>
        <v>671.2639527049821</v>
      </c>
      <c r="F232" s="712">
        <f t="shared" si="62"/>
        <v>388.51164772803833</v>
      </c>
      <c r="G232" s="712">
        <f t="shared" si="63"/>
        <v>314.3042194405495</v>
      </c>
      <c r="H232" s="719">
        <f t="shared" si="64"/>
        <v>298.46850109134357</v>
      </c>
      <c r="I232" s="712">
        <f t="shared" si="65"/>
        <v>298.36170054798902</v>
      </c>
      <c r="J232" s="712">
        <f t="shared" si="66"/>
        <v>298.29057624547602</v>
      </c>
      <c r="K232" s="712">
        <f t="shared" si="67"/>
        <v>298.24991932999609</v>
      </c>
      <c r="L232" s="712">
        <f t="shared" si="68"/>
        <v>298.23667528609036</v>
      </c>
      <c r="N232" s="582">
        <v>158</v>
      </c>
      <c r="O232" s="712">
        <f t="shared" si="69"/>
        <v>2.345581804775005</v>
      </c>
      <c r="P232" s="712">
        <f t="shared" si="70"/>
        <v>531.45214870400434</v>
      </c>
      <c r="Q232" s="712">
        <f t="shared" si="71"/>
        <v>514.21974365741164</v>
      </c>
      <c r="R232" s="712">
        <f t="shared" si="72"/>
        <v>501.84790768099373</v>
      </c>
      <c r="S232" s="712">
        <f t="shared" si="73"/>
        <v>494.38996185862362</v>
      </c>
      <c r="T232" s="712">
        <f t="shared" si="74"/>
        <v>491.87763843841043</v>
      </c>
    </row>
    <row r="233" spans="2:20">
      <c r="B233" s="582">
        <v>159</v>
      </c>
      <c r="C233" s="712">
        <f t="shared" si="59"/>
        <v>2.3604272592356064</v>
      </c>
      <c r="D233" s="712">
        <f t="shared" si="60"/>
        <v>1365.9127031866688</v>
      </c>
      <c r="E233" s="712">
        <f t="shared" si="61"/>
        <v>673.15562324975485</v>
      </c>
      <c r="F233" s="712">
        <f t="shared" si="62"/>
        <v>389.47099276076051</v>
      </c>
      <c r="G233" s="712">
        <f t="shared" si="63"/>
        <v>314.57274011039158</v>
      </c>
      <c r="H233" s="719">
        <f t="shared" si="64"/>
        <v>298.47911660315333</v>
      </c>
      <c r="I233" s="712">
        <f t="shared" si="65"/>
        <v>298.37046362542117</v>
      </c>
      <c r="J233" s="712">
        <f t="shared" si="66"/>
        <v>298.29805988347789</v>
      </c>
      <c r="K233" s="712">
        <f t="shared" si="67"/>
        <v>298.2566526940102</v>
      </c>
      <c r="L233" s="712">
        <f t="shared" si="68"/>
        <v>298.24316080176379</v>
      </c>
      <c r="N233" s="582">
        <v>159</v>
      </c>
      <c r="O233" s="712">
        <f t="shared" si="69"/>
        <v>2.3604272592356064</v>
      </c>
      <c r="P233" s="712">
        <f t="shared" si="70"/>
        <v>532.62769729236948</v>
      </c>
      <c r="Q233" s="712">
        <f t="shared" si="71"/>
        <v>515.41363466501991</v>
      </c>
      <c r="R233" s="712">
        <f t="shared" si="72"/>
        <v>503.0548958304455</v>
      </c>
      <c r="S233" s="712">
        <f t="shared" si="73"/>
        <v>495.60474433115189</v>
      </c>
      <c r="T233" s="712">
        <f t="shared" si="74"/>
        <v>493.09487817144799</v>
      </c>
    </row>
    <row r="234" spans="2:20">
      <c r="B234" s="582">
        <v>160</v>
      </c>
      <c r="C234" s="712">
        <f t="shared" si="59"/>
        <v>2.3752727136962077</v>
      </c>
      <c r="D234" s="712">
        <f t="shared" si="60"/>
        <v>1366.5862312388088</v>
      </c>
      <c r="E234" s="712">
        <f t="shared" si="61"/>
        <v>675.0374322331794</v>
      </c>
      <c r="F234" s="712">
        <f t="shared" si="62"/>
        <v>390.43144874346876</v>
      </c>
      <c r="G234" s="712">
        <f t="shared" si="63"/>
        <v>314.8432522887058</v>
      </c>
      <c r="H234" s="719">
        <f t="shared" si="64"/>
        <v>298.48988756137186</v>
      </c>
      <c r="I234" s="712">
        <f t="shared" si="65"/>
        <v>298.37936744635573</v>
      </c>
      <c r="J234" s="712">
        <f t="shared" si="66"/>
        <v>298.30567349923632</v>
      </c>
      <c r="K234" s="712">
        <f t="shared" si="67"/>
        <v>298.26350946774312</v>
      </c>
      <c r="L234" s="712">
        <f t="shared" si="68"/>
        <v>298.24976750721856</v>
      </c>
      <c r="N234" s="582">
        <v>160</v>
      </c>
      <c r="O234" s="712">
        <f t="shared" si="69"/>
        <v>2.3752727136962077</v>
      </c>
      <c r="P234" s="712">
        <f t="shared" si="70"/>
        <v>533.80197728885514</v>
      </c>
      <c r="Q234" s="712">
        <f t="shared" si="71"/>
        <v>516.60623728655048</v>
      </c>
      <c r="R234" s="712">
        <f t="shared" si="72"/>
        <v>504.26058146005857</v>
      </c>
      <c r="S234" s="712">
        <f t="shared" si="73"/>
        <v>496.8182158726114</v>
      </c>
      <c r="T234" s="712">
        <f t="shared" si="74"/>
        <v>494.31080432166874</v>
      </c>
    </row>
    <row r="235" spans="2:20">
      <c r="B235" s="582">
        <v>161</v>
      </c>
      <c r="C235" s="712">
        <f t="shared" si="59"/>
        <v>2.3901181681568091</v>
      </c>
      <c r="D235" s="712">
        <f t="shared" si="60"/>
        <v>1367.2531710444919</v>
      </c>
      <c r="E235" s="712">
        <f t="shared" si="61"/>
        <v>676.9094445063389</v>
      </c>
      <c r="F235" s="712">
        <f t="shared" si="62"/>
        <v>391.39296925131202</v>
      </c>
      <c r="G235" s="712">
        <f t="shared" si="63"/>
        <v>315.11574347853474</v>
      </c>
      <c r="H235" s="719">
        <f t="shared" si="64"/>
        <v>298.50081483888687</v>
      </c>
      <c r="I235" s="712">
        <f t="shared" si="65"/>
        <v>298.388412977869</v>
      </c>
      <c r="J235" s="712">
        <f t="shared" si="66"/>
        <v>298.31341812382522</v>
      </c>
      <c r="K235" s="712">
        <f t="shared" si="67"/>
        <v>298.27049071920919</v>
      </c>
      <c r="L235" s="712">
        <f t="shared" si="68"/>
        <v>298.25649648241421</v>
      </c>
      <c r="N235" s="582">
        <v>161</v>
      </c>
      <c r="O235" s="712">
        <f t="shared" si="69"/>
        <v>2.3901181681568091</v>
      </c>
      <c r="P235" s="712">
        <f t="shared" si="70"/>
        <v>534.97499006246176</v>
      </c>
      <c r="Q235" s="712">
        <f t="shared" si="71"/>
        <v>517.79755291236415</v>
      </c>
      <c r="R235" s="712">
        <f t="shared" si="72"/>
        <v>505.46496597544586</v>
      </c>
      <c r="S235" s="712">
        <f t="shared" si="73"/>
        <v>498.03037789769115</v>
      </c>
      <c r="T235" s="712">
        <f t="shared" si="74"/>
        <v>495.52541830662329</v>
      </c>
    </row>
    <row r="236" spans="2:20">
      <c r="B236" s="582">
        <v>162</v>
      </c>
      <c r="C236" s="712">
        <f t="shared" si="59"/>
        <v>2.40496362261741</v>
      </c>
      <c r="D236" s="712">
        <f t="shared" si="60"/>
        <v>1367.9136662683952</v>
      </c>
      <c r="E236" s="712">
        <f t="shared" si="61"/>
        <v>678.77172479245382</v>
      </c>
      <c r="F236" s="712">
        <f t="shared" si="62"/>
        <v>392.3555085274038</v>
      </c>
      <c r="G236" s="712">
        <f t="shared" si="63"/>
        <v>315.3902010883503</v>
      </c>
      <c r="H236" s="719">
        <f t="shared" si="64"/>
        <v>298.51189930024356</v>
      </c>
      <c r="I236" s="712">
        <f t="shared" si="65"/>
        <v>298.39760117962135</v>
      </c>
      <c r="J236" s="712">
        <f t="shared" si="66"/>
        <v>298.32129478167246</v>
      </c>
      <c r="K236" s="712">
        <f t="shared" si="67"/>
        <v>298.27759751028339</v>
      </c>
      <c r="L236" s="712">
        <f t="shared" si="68"/>
        <v>298.26334880134772</v>
      </c>
      <c r="N236" s="582">
        <v>162</v>
      </c>
      <c r="O236" s="712">
        <f t="shared" si="69"/>
        <v>2.40496362261741</v>
      </c>
      <c r="P236" s="712">
        <f t="shared" si="70"/>
        <v>536.14673698071215</v>
      </c>
      <c r="Q236" s="712">
        <f t="shared" si="71"/>
        <v>518.98758293132153</v>
      </c>
      <c r="R236" s="712">
        <f t="shared" si="72"/>
        <v>506.6680507807032</v>
      </c>
      <c r="S236" s="712">
        <f t="shared" si="73"/>
        <v>499.24123181955372</v>
      </c>
      <c r="T236" s="712">
        <f t="shared" si="74"/>
        <v>496.73872154233231</v>
      </c>
    </row>
    <row r="237" spans="2:20">
      <c r="B237" s="582">
        <v>163</v>
      </c>
      <c r="C237" s="712">
        <f t="shared" si="59"/>
        <v>2.4198090770780114</v>
      </c>
      <c r="D237" s="712">
        <f t="shared" si="60"/>
        <v>1368.5678560724252</v>
      </c>
      <c r="E237" s="712">
        <f t="shared" si="61"/>
        <v>680.62433766966126</v>
      </c>
      <c r="F237" s="712">
        <f t="shared" si="62"/>
        <v>393.31902147565324</v>
      </c>
      <c r="G237" s="712">
        <f t="shared" si="63"/>
        <v>315.66661243595786</v>
      </c>
      <c r="H237" s="719">
        <f t="shared" si="64"/>
        <v>298.52314180163995</v>
      </c>
      <c r="I237" s="712">
        <f t="shared" si="65"/>
        <v>298.40693300381895</v>
      </c>
      <c r="J237" s="712">
        <f t="shared" si="66"/>
        <v>298.32930449049536</v>
      </c>
      <c r="K237" s="712">
        <f t="shared" si="67"/>
        <v>298.28483089661995</v>
      </c>
      <c r="L237" s="712">
        <f t="shared" si="68"/>
        <v>298.27032553196722</v>
      </c>
      <c r="N237" s="582">
        <v>163</v>
      </c>
      <c r="O237" s="712">
        <f t="shared" si="69"/>
        <v>2.4198090770780114</v>
      </c>
      <c r="P237" s="712">
        <f t="shared" si="70"/>
        <v>537.31721940965338</v>
      </c>
      <c r="Q237" s="712">
        <f t="shared" si="71"/>
        <v>520.17632873078412</v>
      </c>
      <c r="R237" s="712">
        <f t="shared" si="72"/>
        <v>507.86983727841124</v>
      </c>
      <c r="S237" s="712">
        <f t="shared" si="73"/>
        <v>500.45077904983674</v>
      </c>
      <c r="T237" s="712">
        <f t="shared" si="74"/>
        <v>497.95071544328874</v>
      </c>
    </row>
    <row r="238" spans="2:20">
      <c r="B238" s="582">
        <v>164</v>
      </c>
      <c r="C238" s="712">
        <f t="shared" si="59"/>
        <v>2.4346545315386128</v>
      </c>
      <c r="D238" s="712">
        <f t="shared" si="60"/>
        <v>1369.2158752741723</v>
      </c>
      <c r="E238" s="712">
        <f t="shared" si="61"/>
        <v>682.46734755467548</v>
      </c>
      <c r="F238" s="712">
        <f t="shared" si="62"/>
        <v>394.28346365360119</v>
      </c>
      <c r="G238" s="712">
        <f t="shared" si="63"/>
        <v>315.94496475233211</v>
      </c>
      <c r="H238" s="719">
        <f t="shared" si="64"/>
        <v>298.53454319092401</v>
      </c>
      <c r="I238" s="712">
        <f t="shared" si="65"/>
        <v>298.41640939517714</v>
      </c>
      <c r="J238" s="712">
        <f t="shared" si="66"/>
        <v>298.33744826123819</v>
      </c>
      <c r="K238" s="712">
        <f t="shared" si="67"/>
        <v>298.29219192757466</v>
      </c>
      <c r="L238" s="712">
        <f t="shared" si="68"/>
        <v>298.27742773608787</v>
      </c>
      <c r="N238" s="582">
        <v>164</v>
      </c>
      <c r="O238" s="712">
        <f t="shared" si="69"/>
        <v>2.4346545315386128</v>
      </c>
      <c r="P238" s="712">
        <f t="shared" si="70"/>
        <v>538.48643871385798</v>
      </c>
      <c r="Q238" s="712">
        <f t="shared" si="71"/>
        <v>521.36379169661643</v>
      </c>
      <c r="R238" s="712">
        <f t="shared" si="72"/>
        <v>509.07032686963703</v>
      </c>
      <c r="S238" s="712">
        <f t="shared" si="73"/>
        <v>501.65902099865446</v>
      </c>
      <c r="T238" s="712">
        <f t="shared" si="74"/>
        <v>499.16140142245905</v>
      </c>
    </row>
    <row r="239" spans="2:20">
      <c r="B239" s="582">
        <v>165</v>
      </c>
      <c r="C239" s="712">
        <f t="shared" si="59"/>
        <v>2.4494999859992141</v>
      </c>
      <c r="D239" s="712">
        <f t="shared" si="60"/>
        <v>1369.8578544995937</v>
      </c>
      <c r="E239" s="712">
        <f t="shared" si="61"/>
        <v>684.30081868729542</v>
      </c>
      <c r="F239" s="712">
        <f t="shared" si="62"/>
        <v>395.24879126526452</v>
      </c>
      <c r="G239" s="712">
        <f t="shared" si="63"/>
        <v>316.22524518538415</v>
      </c>
      <c r="H239" s="719">
        <f t="shared" si="64"/>
        <v>298.54610430759169</v>
      </c>
      <c r="I239" s="712">
        <f t="shared" si="65"/>
        <v>298.42603129088553</v>
      </c>
      <c r="J239" s="712">
        <f t="shared" si="66"/>
        <v>298.3457270980125</v>
      </c>
      <c r="K239" s="712">
        <f t="shared" si="67"/>
        <v>298.29968164612859</v>
      </c>
      <c r="L239" s="712">
        <f t="shared" si="68"/>
        <v>298.28465646931141</v>
      </c>
      <c r="N239" s="582">
        <v>165</v>
      </c>
      <c r="O239" s="712">
        <f t="shared" si="69"/>
        <v>2.4494999859992141</v>
      </c>
      <c r="P239" s="712">
        <f t="shared" si="70"/>
        <v>539.65439625642614</v>
      </c>
      <c r="Q239" s="712">
        <f t="shared" si="71"/>
        <v>522.54997321318706</v>
      </c>
      <c r="R239" s="712">
        <f t="shared" si="72"/>
        <v>510.26952095393568</v>
      </c>
      <c r="S239" s="712">
        <f t="shared" si="73"/>
        <v>502.86595907459946</v>
      </c>
      <c r="T239" s="712">
        <f t="shared" si="74"/>
        <v>500.37078089128505</v>
      </c>
    </row>
    <row r="240" spans="2:20">
      <c r="B240" s="582">
        <v>166</v>
      </c>
      <c r="C240" s="712">
        <f t="shared" si="59"/>
        <v>2.4643454404598155</v>
      </c>
      <c r="D240" s="712">
        <f t="shared" si="60"/>
        <v>1370.4939203301349</v>
      </c>
      <c r="E240" s="712">
        <f t="shared" si="61"/>
        <v>686.12481511572423</v>
      </c>
      <c r="F240" s="712">
        <f t="shared" si="62"/>
        <v>396.21496115399225</v>
      </c>
      <c r="G240" s="712">
        <f t="shared" si="63"/>
        <v>316.50744080366132</v>
      </c>
      <c r="H240" s="719">
        <f t="shared" si="64"/>
        <v>298.55782598278682</v>
      </c>
      <c r="I240" s="712">
        <f t="shared" si="65"/>
        <v>298.43579962057538</v>
      </c>
      <c r="J240" s="712">
        <f t="shared" si="66"/>
        <v>298.35414199803932</v>
      </c>
      <c r="K240" s="712">
        <f t="shared" si="67"/>
        <v>298.30730108881545</v>
      </c>
      <c r="L240" s="712">
        <f t="shared" si="68"/>
        <v>298.29201278094712</v>
      </c>
      <c r="N240" s="582">
        <v>166</v>
      </c>
      <c r="O240" s="712">
        <f t="shared" si="69"/>
        <v>2.4643454404598155</v>
      </c>
      <c r="P240" s="712">
        <f t="shared" si="70"/>
        <v>540.82109339898682</v>
      </c>
      <c r="Q240" s="712">
        <f t="shared" si="71"/>
        <v>523.73487466337076</v>
      </c>
      <c r="R240" s="712">
        <f t="shared" si="72"/>
        <v>511.4674209293521</v>
      </c>
      <c r="S240" s="712">
        <f t="shared" si="73"/>
        <v>504.07159468474435</v>
      </c>
      <c r="T240" s="712">
        <f t="shared" si="74"/>
        <v>501.57885525968544</v>
      </c>
    </row>
    <row r="241" spans="2:20">
      <c r="B241" s="582">
        <v>167</v>
      </c>
      <c r="C241" s="712">
        <f t="shared" si="59"/>
        <v>2.4791908949204169</v>
      </c>
      <c r="D241" s="712">
        <f t="shared" si="60"/>
        <v>1371.1241954444943</v>
      </c>
      <c r="E241" s="712">
        <f t="shared" si="61"/>
        <v>687.93940068266716</v>
      </c>
      <c r="F241" s="712">
        <f t="shared" si="62"/>
        <v>397.18193079533717</v>
      </c>
      <c r="G241" s="712">
        <f t="shared" si="63"/>
        <v>316.7915385999799</v>
      </c>
      <c r="H241" s="719">
        <f t="shared" si="64"/>
        <v>298.56970903930193</v>
      </c>
      <c r="I241" s="712">
        <f t="shared" si="65"/>
        <v>298.44571530628855</v>
      </c>
      <c r="J241" s="712">
        <f t="shared" si="66"/>
        <v>298.36269395159411</v>
      </c>
      <c r="K241" s="712">
        <f t="shared" si="67"/>
        <v>298.31505128565067</v>
      </c>
      <c r="L241" s="712">
        <f t="shared" si="68"/>
        <v>298.29949771393655</v>
      </c>
      <c r="N241" s="582">
        <v>167</v>
      </c>
      <c r="O241" s="712">
        <f t="shared" si="69"/>
        <v>2.4791908949204169</v>
      </c>
      <c r="P241" s="712">
        <f t="shared" si="70"/>
        <v>541.98653150169946</v>
      </c>
      <c r="Q241" s="712">
        <f t="shared" si="71"/>
        <v>524.91849742854993</v>
      </c>
      <c r="R241" s="712">
        <f t="shared" si="72"/>
        <v>512.66402819242217</v>
      </c>
      <c r="S241" s="712">
        <f t="shared" si="73"/>
        <v>505.2759292346434</v>
      </c>
      <c r="T241" s="712">
        <f t="shared" si="74"/>
        <v>502.78562593605739</v>
      </c>
    </row>
    <row r="242" spans="2:20">
      <c r="B242" s="582">
        <v>168</v>
      </c>
      <c r="C242" s="712">
        <f t="shared" si="59"/>
        <v>2.4940363493810178</v>
      </c>
      <c r="D242" s="712">
        <f t="shared" si="60"/>
        <v>1371.7487987552308</v>
      </c>
      <c r="E242" s="712">
        <f t="shared" si="61"/>
        <v>689.74463901217746</v>
      </c>
      <c r="F242" s="712">
        <f t="shared" si="62"/>
        <v>398.14965828994548</v>
      </c>
      <c r="G242" s="712">
        <f t="shared" si="63"/>
        <v>317.07752549499185</v>
      </c>
      <c r="H242" s="719">
        <f t="shared" si="64"/>
        <v>298.58175429158052</v>
      </c>
      <c r="I242" s="712">
        <f t="shared" si="65"/>
        <v>298.45577926244863</v>
      </c>
      <c r="J242" s="712">
        <f t="shared" si="66"/>
        <v>298.37138394195347</v>
      </c>
      <c r="K242" s="712">
        <f t="shared" si="67"/>
        <v>298.32293326006345</v>
      </c>
      <c r="L242" s="712">
        <f t="shared" si="68"/>
        <v>298.30711230478011</v>
      </c>
      <c r="N242" s="582">
        <v>168</v>
      </c>
      <c r="O242" s="712">
        <f t="shared" si="69"/>
        <v>2.4940363493810178</v>
      </c>
      <c r="P242" s="712">
        <f t="shared" si="70"/>
        <v>543.15071192325593</v>
      </c>
      <c r="Q242" s="712">
        <f t="shared" si="71"/>
        <v>526.10084288861628</v>
      </c>
      <c r="R242" s="712">
        <f t="shared" si="72"/>
        <v>513.85934413817506</v>
      </c>
      <c r="S242" s="712">
        <f t="shared" si="73"/>
        <v>506.47896412833393</v>
      </c>
      <c r="T242" s="712">
        <f t="shared" si="74"/>
        <v>503.9910943272784</v>
      </c>
    </row>
    <row r="243" spans="2:20">
      <c r="B243" s="582">
        <v>169</v>
      </c>
      <c r="C243" s="712">
        <f t="shared" si="59"/>
        <v>2.5088818038416192</v>
      </c>
      <c r="D243" s="712">
        <f t="shared" si="60"/>
        <v>1372.3678455404013</v>
      </c>
      <c r="E243" s="712">
        <f t="shared" si="61"/>
        <v>691.54059349721854</v>
      </c>
      <c r="F243" s="712">
        <f t="shared" si="62"/>
        <v>399.118102356468</v>
      </c>
      <c r="G243" s="712">
        <f t="shared" si="63"/>
        <v>317.36538834068557</v>
      </c>
      <c r="H243" s="719">
        <f t="shared" si="64"/>
        <v>298.59396254572073</v>
      </c>
      <c r="I243" s="712">
        <f t="shared" si="65"/>
        <v>298.46599239583361</v>
      </c>
      <c r="J243" s="712">
        <f t="shared" si="66"/>
        <v>298.3802129453444</v>
      </c>
      <c r="K243" s="712">
        <f t="shared" si="67"/>
        <v>298.33094802883107</v>
      </c>
      <c r="L243" s="712">
        <f t="shared" si="68"/>
        <v>298.31485758346605</v>
      </c>
      <c r="N243" s="582">
        <v>169</v>
      </c>
      <c r="O243" s="712">
        <f t="shared" si="69"/>
        <v>2.5088818038416192</v>
      </c>
      <c r="P243" s="712">
        <f t="shared" si="70"/>
        <v>544.3136360208814</v>
      </c>
      <c r="Q243" s="712">
        <f t="shared" si="71"/>
        <v>527.28191242197215</v>
      </c>
      <c r="R243" s="712">
        <f t="shared" si="72"/>
        <v>515.05337016013425</v>
      </c>
      <c r="S243" s="712">
        <f t="shared" si="73"/>
        <v>507.68070076833828</v>
      </c>
      <c r="T243" s="712">
        <f t="shared" si="74"/>
        <v>505.19526183870761</v>
      </c>
    </row>
    <row r="244" spans="2:20">
      <c r="B244" s="582">
        <v>170</v>
      </c>
      <c r="C244" s="712">
        <f t="shared" si="59"/>
        <v>2.5237272583022206</v>
      </c>
      <c r="D244" s="712">
        <f t="shared" si="60"/>
        <v>1372.9814475704125</v>
      </c>
      <c r="E244" s="712">
        <f t="shared" si="61"/>
        <v>693.3273272879137</v>
      </c>
      <c r="F244" s="712">
        <f t="shared" si="62"/>
        <v>400.08722232449526</v>
      </c>
      <c r="G244" s="712">
        <f t="shared" si="63"/>
        <v>317.65511392382257</v>
      </c>
      <c r="H244" s="719">
        <f t="shared" si="64"/>
        <v>298.60633459948002</v>
      </c>
      <c r="I244" s="712">
        <f t="shared" si="65"/>
        <v>298.47635560555011</v>
      </c>
      <c r="J244" s="712">
        <f t="shared" si="66"/>
        <v>298.38918193089557</v>
      </c>
      <c r="K244" s="712">
        <f t="shared" si="67"/>
        <v>298.3390966020155</v>
      </c>
      <c r="L244" s="712">
        <f t="shared" si="68"/>
        <v>298.32273457340278</v>
      </c>
      <c r="N244" s="582">
        <v>170</v>
      </c>
      <c r="O244" s="712">
        <f t="shared" si="69"/>
        <v>2.5237272583022206</v>
      </c>
      <c r="P244" s="712">
        <f t="shared" si="70"/>
        <v>545.47530515033657</v>
      </c>
      <c r="Q244" s="712">
        <f t="shared" si="71"/>
        <v>528.46170740553271</v>
      </c>
      <c r="R244" s="712">
        <f t="shared" si="72"/>
        <v>516.24610765031946</v>
      </c>
      <c r="S244" s="712">
        <f t="shared" si="73"/>
        <v>508.88114055566524</v>
      </c>
      <c r="T244" s="712">
        <f t="shared" si="74"/>
        <v>506.39812987418776</v>
      </c>
    </row>
    <row r="245" spans="2:20">
      <c r="B245" s="582">
        <v>171</v>
      </c>
      <c r="C245" s="712">
        <f t="shared" si="59"/>
        <v>2.5385727127628219</v>
      </c>
      <c r="D245" s="712">
        <f t="shared" si="60"/>
        <v>1373.5897132302632</v>
      </c>
      <c r="E245" s="712">
        <f t="shared" si="61"/>
        <v>695.10490328045478</v>
      </c>
      <c r="F245" s="712">
        <f t="shared" si="62"/>
        <v>401.05697812751959</v>
      </c>
      <c r="G245" s="712">
        <f t="shared" si="63"/>
        <v>317.94668896930938</v>
      </c>
      <c r="H245" s="719">
        <f t="shared" si="64"/>
        <v>298.61887124228116</v>
      </c>
      <c r="I245" s="712">
        <f t="shared" si="65"/>
        <v>298.48686978301015</v>
      </c>
      <c r="J245" s="712">
        <f t="shared" si="66"/>
        <v>298.39829186059063</v>
      </c>
      <c r="K245" s="712">
        <f t="shared" si="67"/>
        <v>298.34737998290257</v>
      </c>
      <c r="L245" s="712">
        <f t="shared" si="68"/>
        <v>298.33074429135257</v>
      </c>
      <c r="N245" s="582">
        <v>171</v>
      </c>
      <c r="O245" s="712">
        <f t="shared" si="69"/>
        <v>2.5385727127628219</v>
      </c>
      <c r="P245" s="712">
        <f t="shared" si="70"/>
        <v>546.63572066591928</v>
      </c>
      <c r="Q245" s="712">
        <f t="shared" si="71"/>
        <v>529.64022921472679</v>
      </c>
      <c r="R245" s="712">
        <f t="shared" si="72"/>
        <v>517.43755799924838</v>
      </c>
      <c r="S245" s="712">
        <f t="shared" si="73"/>
        <v>510.08028488981165</v>
      </c>
      <c r="T245" s="712">
        <f t="shared" si="74"/>
        <v>507.59969983604663</v>
      </c>
    </row>
    <row r="246" spans="2:20">
      <c r="B246" s="582">
        <v>172</v>
      </c>
      <c r="C246" s="712">
        <f t="shared" si="59"/>
        <v>2.5534181672234233</v>
      </c>
      <c r="D246" s="712">
        <f t="shared" si="60"/>
        <v>1374.1927476373467</v>
      </c>
      <c r="E246" s="712">
        <f t="shared" si="61"/>
        <v>696.87338410664302</v>
      </c>
      <c r="F246" s="712">
        <f t="shared" si="62"/>
        <v>402.02733029592622</v>
      </c>
      <c r="G246" s="712">
        <f t="shared" si="63"/>
        <v>318.24010014350654</v>
      </c>
      <c r="H246" s="719">
        <f t="shared" si="64"/>
        <v>298.63157325521934</v>
      </c>
      <c r="I246" s="712">
        <f t="shared" si="65"/>
        <v>298.49753581190868</v>
      </c>
      <c r="J246" s="712">
        <f t="shared" si="66"/>
        <v>298.40754368922381</v>
      </c>
      <c r="K246" s="712">
        <f t="shared" si="67"/>
        <v>298.35579916794336</v>
      </c>
      <c r="L246" s="712">
        <f t="shared" si="68"/>
        <v>298.33888774736857</v>
      </c>
      <c r="N246" s="582">
        <v>172</v>
      </c>
      <c r="O246" s="712">
        <f t="shared" si="69"/>
        <v>2.5534181672234233</v>
      </c>
      <c r="P246" s="712">
        <f t="shared" si="70"/>
        <v>547.7948839204654</v>
      </c>
      <c r="Q246" s="712">
        <f t="shared" si="71"/>
        <v>530.81747922349916</v>
      </c>
      <c r="R246" s="712">
        <f t="shared" si="72"/>
        <v>518.62772259593771</v>
      </c>
      <c r="S246" s="712">
        <f t="shared" si="73"/>
        <v>511.27813516876427</v>
      </c>
      <c r="T246" s="712">
        <f t="shared" si="74"/>
        <v>508.79997312509863</v>
      </c>
    </row>
    <row r="247" spans="2:20">
      <c r="B247" s="582">
        <v>173</v>
      </c>
      <c r="C247" s="712">
        <f t="shared" si="59"/>
        <v>2.5682636216840247</v>
      </c>
      <c r="D247" s="712">
        <f t="shared" si="60"/>
        <v>1374.7906527549762</v>
      </c>
      <c r="E247" s="712">
        <f t="shared" si="61"/>
        <v>698.63283212403587</v>
      </c>
      <c r="F247" s="712">
        <f t="shared" si="62"/>
        <v>402.99823995001611</v>
      </c>
      <c r="G247" s="712">
        <f t="shared" si="63"/>
        <v>318.53533405747453</v>
      </c>
      <c r="H247" s="719">
        <f t="shared" si="64"/>
        <v>298.64444141107049</v>
      </c>
      <c r="I247" s="712">
        <f t="shared" si="65"/>
        <v>298.50835456820312</v>
      </c>
      <c r="J247" s="712">
        <f t="shared" si="66"/>
        <v>298.41693836435758</v>
      </c>
      <c r="K247" s="712">
        <f t="shared" si="67"/>
        <v>298.36435514669802</v>
      </c>
      <c r="L247" s="712">
        <f t="shared" si="68"/>
        <v>298.34716594473338</v>
      </c>
      <c r="N247" s="582">
        <v>173</v>
      </c>
      <c r="O247" s="712">
        <f t="shared" si="69"/>
        <v>2.5682636216840247</v>
      </c>
      <c r="P247" s="712">
        <f t="shared" si="70"/>
        <v>548.95279626535114</v>
      </c>
      <c r="Q247" s="712">
        <f t="shared" si="71"/>
        <v>531.9934588043119</v>
      </c>
      <c r="R247" s="712">
        <f t="shared" si="72"/>
        <v>519.81660282790574</v>
      </c>
      <c r="S247" s="712">
        <f t="shared" si="73"/>
        <v>512.47469278900098</v>
      </c>
      <c r="T247" s="712">
        <f t="shared" si="74"/>
        <v>509.99895114064657</v>
      </c>
    </row>
    <row r="248" spans="2:20">
      <c r="B248" s="582">
        <v>174</v>
      </c>
      <c r="C248" s="712">
        <f t="shared" si="59"/>
        <v>2.5831090761446256</v>
      </c>
      <c r="D248" s="712">
        <f t="shared" si="60"/>
        <v>1375.3835275017907</v>
      </c>
      <c r="E248" s="712">
        <f t="shared" si="61"/>
        <v>700.38330940667458</v>
      </c>
      <c r="F248" s="712">
        <f t="shared" si="62"/>
        <v>403.96966879306262</v>
      </c>
      <c r="G248" s="712">
        <f t="shared" si="63"/>
        <v>318.83237727015819</v>
      </c>
      <c r="H248" s="719">
        <f t="shared" si="64"/>
        <v>298.65747647430061</v>
      </c>
      <c r="I248" s="712">
        <f t="shared" si="65"/>
        <v>298.51932692009495</v>
      </c>
      <c r="J248" s="712">
        <f t="shared" si="66"/>
        <v>298.42647682628183</v>
      </c>
      <c r="K248" s="712">
        <f t="shared" si="67"/>
        <v>298.37304890178126</v>
      </c>
      <c r="L248" s="712">
        <f t="shared" si="68"/>
        <v>298.35557987990063</v>
      </c>
      <c r="N248" s="582">
        <v>174</v>
      </c>
      <c r="O248" s="712">
        <f t="shared" si="69"/>
        <v>2.5831090761446256</v>
      </c>
      <c r="P248" s="712">
        <f t="shared" si="70"/>
        <v>550.10945905049437</v>
      </c>
      <c r="Q248" s="712">
        <f t="shared" si="71"/>
        <v>533.16816932814595</v>
      </c>
      <c r="R248" s="712">
        <f t="shared" si="72"/>
        <v>521.00420008117294</v>
      </c>
      <c r="S248" s="712">
        <f t="shared" si="73"/>
        <v>513.66995914549307</v>
      </c>
      <c r="T248" s="712">
        <f t="shared" si="74"/>
        <v>511.19663528048324</v>
      </c>
    </row>
    <row r="249" spans="2:20">
      <c r="B249" s="582">
        <v>175</v>
      </c>
      <c r="C249" s="712">
        <f t="shared" si="59"/>
        <v>2.597954530605227</v>
      </c>
      <c r="D249" s="712">
        <f t="shared" si="60"/>
        <v>1375.9714678571941</v>
      </c>
      <c r="E249" s="712">
        <f t="shared" si="61"/>
        <v>702.12487773636792</v>
      </c>
      <c r="F249" s="712">
        <f t="shared" si="62"/>
        <v>404.94157910440379</v>
      </c>
      <c r="G249" s="712">
        <f t="shared" si="63"/>
        <v>319.1312162915097</v>
      </c>
      <c r="H249" s="719">
        <f t="shared" si="64"/>
        <v>298.67067920107638</v>
      </c>
      <c r="I249" s="712">
        <f t="shared" si="65"/>
        <v>298.53045372801222</v>
      </c>
      <c r="J249" s="712">
        <f t="shared" si="66"/>
        <v>298.43616000797584</v>
      </c>
      <c r="K249" s="712">
        <f t="shared" si="67"/>
        <v>298.38188140881118</v>
      </c>
      <c r="L249" s="712">
        <f t="shared" si="68"/>
        <v>298.36413054243843</v>
      </c>
      <c r="N249" s="582">
        <v>175</v>
      </c>
      <c r="O249" s="712">
        <f t="shared" si="69"/>
        <v>2.597954530605227</v>
      </c>
      <c r="P249" s="712">
        <f t="shared" si="70"/>
        <v>551.26487362435603</v>
      </c>
      <c r="Q249" s="712">
        <f t="shared" si="71"/>
        <v>534.34161216450275</v>
      </c>
      <c r="R249" s="712">
        <f t="shared" si="72"/>
        <v>522.19051574026446</v>
      </c>
      <c r="S249" s="712">
        <f t="shared" si="73"/>
        <v>514.863935631706</v>
      </c>
      <c r="T249" s="712">
        <f t="shared" si="74"/>
        <v>512.39302694089292</v>
      </c>
    </row>
    <row r="250" spans="2:20">
      <c r="B250" s="582">
        <v>176</v>
      </c>
      <c r="C250" s="712">
        <f t="shared" si="59"/>
        <v>2.6127999850658283</v>
      </c>
      <c r="D250" s="712">
        <f t="shared" si="60"/>
        <v>1376.5545669629705</v>
      </c>
      <c r="E250" s="712">
        <f t="shared" si="61"/>
        <v>703.8575985945107</v>
      </c>
      <c r="F250" s="712">
        <f t="shared" si="62"/>
        <v>405.9139337325729</v>
      </c>
      <c r="G250" s="712">
        <f t="shared" si="63"/>
        <v>319.43183758555119</v>
      </c>
      <c r="H250" s="719">
        <f t="shared" si="64"/>
        <v>298.68405033927655</v>
      </c>
      <c r="I250" s="712">
        <f t="shared" si="65"/>
        <v>298.54173584459403</v>
      </c>
      <c r="J250" s="712">
        <f t="shared" si="66"/>
        <v>298.44598883507149</v>
      </c>
      <c r="K250" s="712">
        <f t="shared" si="67"/>
        <v>298.39085363635883</v>
      </c>
      <c r="L250" s="712">
        <f t="shared" si="68"/>
        <v>298.37281891497543</v>
      </c>
      <c r="N250" s="582">
        <v>176</v>
      </c>
      <c r="O250" s="712">
        <f t="shared" si="69"/>
        <v>2.6127999850658283</v>
      </c>
      <c r="P250" s="712">
        <f t="shared" si="70"/>
        <v>552.419041333942</v>
      </c>
      <c r="Q250" s="712">
        <f t="shared" si="71"/>
        <v>535.51378868140569</v>
      </c>
      <c r="R250" s="712">
        <f t="shared" si="72"/>
        <v>523.37555118821103</v>
      </c>
      <c r="S250" s="712">
        <f t="shared" si="73"/>
        <v>516.05662363960187</v>
      </c>
      <c r="T250" s="712">
        <f t="shared" si="74"/>
        <v>513.58812751665323</v>
      </c>
    </row>
    <row r="251" spans="2:20">
      <c r="B251" s="582">
        <v>177</v>
      </c>
      <c r="C251" s="712">
        <f t="shared" si="59"/>
        <v>2.6276454395264297</v>
      </c>
      <c r="D251" s="712">
        <f t="shared" si="60"/>
        <v>1377.1329152212202</v>
      </c>
      <c r="E251" s="712">
        <f t="shared" si="61"/>
        <v>705.58153315441155</v>
      </c>
      <c r="F251" s="712">
        <f t="shared" si="62"/>
        <v>406.88669608846806</v>
      </c>
      <c r="G251" s="712">
        <f t="shared" si="63"/>
        <v>319.7342275733775</v>
      </c>
      <c r="H251" s="719">
        <f t="shared" si="64"/>
        <v>298.69759062850471</v>
      </c>
      <c r="I251" s="712">
        <f t="shared" si="65"/>
        <v>298.55317411467661</v>
      </c>
      <c r="J251" s="712">
        <f t="shared" si="66"/>
        <v>298.45596422581866</v>
      </c>
      <c r="K251" s="712">
        <f t="shared" si="67"/>
        <v>298.39996654590129</v>
      </c>
      <c r="L251" s="712">
        <f t="shared" si="68"/>
        <v>298.38164597314824</v>
      </c>
      <c r="N251" s="582">
        <v>177</v>
      </c>
      <c r="O251" s="712">
        <f t="shared" si="69"/>
        <v>2.6276454395264297</v>
      </c>
      <c r="P251" s="712">
        <f t="shared" si="70"/>
        <v>553.57196352480435</v>
      </c>
      <c r="Q251" s="712">
        <f t="shared" si="71"/>
        <v>536.68470024540193</v>
      </c>
      <c r="R251" s="712">
        <f t="shared" si="72"/>
        <v>524.55930780655103</v>
      </c>
      <c r="S251" s="712">
        <f t="shared" si="73"/>
        <v>517.24802455964038</v>
      </c>
      <c r="T251" s="712">
        <f t="shared" si="74"/>
        <v>514.78193840103665</v>
      </c>
    </row>
    <row r="252" spans="2:20">
      <c r="B252" s="582">
        <v>178</v>
      </c>
      <c r="C252" s="712">
        <f t="shared" si="59"/>
        <v>2.6424908939870311</v>
      </c>
      <c r="D252" s="712">
        <f t="shared" si="60"/>
        <v>1377.7066003887483</v>
      </c>
      <c r="E252" s="712">
        <f t="shared" si="61"/>
        <v>707.29674227411181</v>
      </c>
      <c r="F252" s="712">
        <f t="shared" si="62"/>
        <v>407.85983013856389</v>
      </c>
      <c r="G252" s="712">
        <f t="shared" si="63"/>
        <v>320.03837263610006</v>
      </c>
      <c r="H252" s="719">
        <f t="shared" si="64"/>
        <v>298.71130080010266</v>
      </c>
      <c r="I252" s="712">
        <f t="shared" si="65"/>
        <v>298.56476937528043</v>
      </c>
      <c r="J252" s="712">
        <f t="shared" si="66"/>
        <v>298.46608709105266</v>
      </c>
      <c r="K252" s="712">
        <f t="shared" si="67"/>
        <v>298.40922109177581</v>
      </c>
      <c r="L252" s="712">
        <f t="shared" si="68"/>
        <v>298.39061268555241</v>
      </c>
      <c r="N252" s="582">
        <v>178</v>
      </c>
      <c r="O252" s="712">
        <f t="shared" si="69"/>
        <v>2.6424908939870311</v>
      </c>
      <c r="P252" s="712">
        <f t="shared" si="70"/>
        <v>554.72364154104332</v>
      </c>
      <c r="Q252" s="712">
        <f t="shared" si="71"/>
        <v>537.85434822156412</v>
      </c>
      <c r="R252" s="712">
        <f t="shared" si="72"/>
        <v>525.74178697533182</v>
      </c>
      <c r="S252" s="712">
        <f t="shared" si="73"/>
        <v>518.43813978078083</v>
      </c>
      <c r="T252" s="712">
        <f t="shared" si="74"/>
        <v>515.9744609858119</v>
      </c>
    </row>
    <row r="253" spans="2:20">
      <c r="B253" s="582">
        <v>179</v>
      </c>
      <c r="C253" s="712">
        <f t="shared" si="59"/>
        <v>2.6573363484476324</v>
      </c>
      <c r="D253" s="712">
        <f t="shared" si="60"/>
        <v>1378.2757076680382</v>
      </c>
      <c r="E253" s="712">
        <f t="shared" si="61"/>
        <v>709.00328648967331</v>
      </c>
      <c r="F253" s="712">
        <f t="shared" si="62"/>
        <v>408.8333003981657</v>
      </c>
      <c r="G253" s="712">
        <f t="shared" si="63"/>
        <v>320.34425911773269</v>
      </c>
      <c r="H253" s="719">
        <f t="shared" si="64"/>
        <v>298.72518157716502</v>
      </c>
      <c r="I253" s="712">
        <f t="shared" si="65"/>
        <v>298.57652245559939</v>
      </c>
      <c r="J253" s="712">
        <f t="shared" si="66"/>
        <v>298.47635833416302</v>
      </c>
      <c r="K253" s="712">
        <f t="shared" si="67"/>
        <v>298.41861822113657</v>
      </c>
      <c r="L253" s="712">
        <f t="shared" si="68"/>
        <v>298.39972001369421</v>
      </c>
      <c r="N253" s="582">
        <v>179</v>
      </c>
      <c r="O253" s="712">
        <f t="shared" si="69"/>
        <v>2.6573363484476324</v>
      </c>
      <c r="P253" s="712">
        <f t="shared" si="70"/>
        <v>555.87407672530856</v>
      </c>
      <c r="Q253" s="712">
        <f t="shared" si="71"/>
        <v>539.02273397349154</v>
      </c>
      <c r="R253" s="712">
        <f t="shared" si="72"/>
        <v>526.92299007311169</v>
      </c>
      <c r="S253" s="712">
        <f t="shared" si="73"/>
        <v>519.62697069048363</v>
      </c>
      <c r="T253" s="712">
        <f t="shared" si="74"/>
        <v>517.16569666124599</v>
      </c>
    </row>
    <row r="254" spans="2:20">
      <c r="B254" s="582">
        <v>180</v>
      </c>
      <c r="C254" s="712">
        <f t="shared" si="59"/>
        <v>2.6721818029082334</v>
      </c>
      <c r="D254" s="712">
        <f t="shared" si="60"/>
        <v>1378.8403197949347</v>
      </c>
      <c r="E254" s="712">
        <f t="shared" si="61"/>
        <v>710.7012260089142</v>
      </c>
      <c r="F254" s="712">
        <f t="shared" si="62"/>
        <v>409.80707192470788</v>
      </c>
      <c r="G254" s="712">
        <f t="shared" si="63"/>
        <v>320.65187332801935</v>
      </c>
      <c r="H254" s="719">
        <f t="shared" si="64"/>
        <v>298.7392336745549</v>
      </c>
      <c r="I254" s="712">
        <f t="shared" si="65"/>
        <v>298.58843417699097</v>
      </c>
      <c r="J254" s="712">
        <f t="shared" si="66"/>
        <v>298.48677885106463</v>
      </c>
      <c r="K254" s="712">
        <f t="shared" si="67"/>
        <v>298.42815887391316</v>
      </c>
      <c r="L254" s="712">
        <f t="shared" si="68"/>
        <v>298.40896891194535</v>
      </c>
      <c r="N254" s="582">
        <v>180</v>
      </c>
      <c r="O254" s="712">
        <f t="shared" si="69"/>
        <v>2.6721818029082334</v>
      </c>
      <c r="P254" s="712">
        <f t="shared" si="70"/>
        <v>557.02327041880062</v>
      </c>
      <c r="Q254" s="712">
        <f t="shared" si="71"/>
        <v>540.189858863312</v>
      </c>
      <c r="R254" s="712">
        <f t="shared" si="72"/>
        <v>528.10291847696112</v>
      </c>
      <c r="S254" s="712">
        <f t="shared" si="73"/>
        <v>520.81451867471196</v>
      </c>
      <c r="T254" s="712">
        <f t="shared" si="74"/>
        <v>518.35564681610549</v>
      </c>
    </row>
    <row r="255" spans="2:20">
      <c r="B255" s="582">
        <v>181</v>
      </c>
      <c r="C255" s="712">
        <f t="shared" si="59"/>
        <v>2.6870272573688347</v>
      </c>
      <c r="D255" s="712">
        <f t="shared" si="60"/>
        <v>1379.4005171231581</v>
      </c>
      <c r="E255" s="712">
        <f t="shared" si="61"/>
        <v>712.39062070557679</v>
      </c>
      <c r="F255" s="712">
        <f t="shared" si="62"/>
        <v>410.78111031109904</v>
      </c>
      <c r="G255" s="712">
        <f t="shared" si="63"/>
        <v>320.96120154520577</v>
      </c>
      <c r="H255" s="719">
        <f t="shared" si="64"/>
        <v>298.75345779892007</v>
      </c>
      <c r="I255" s="712">
        <f t="shared" si="65"/>
        <v>298.60050535296801</v>
      </c>
      <c r="J255" s="712">
        <f t="shared" si="66"/>
        <v>298.49734953017025</v>
      </c>
      <c r="K255" s="712">
        <f t="shared" si="67"/>
        <v>298.43784398277143</v>
      </c>
      <c r="L255" s="712">
        <f t="shared" si="68"/>
        <v>298.41836032749922</v>
      </c>
      <c r="N255" s="582">
        <v>181</v>
      </c>
      <c r="O255" s="712">
        <f t="shared" si="69"/>
        <v>2.6870272573688347</v>
      </c>
      <c r="P255" s="712">
        <f t="shared" si="70"/>
        <v>558.17122396127297</v>
      </c>
      <c r="Q255" s="712">
        <f t="shared" si="71"/>
        <v>541.35572425168345</v>
      </c>
      <c r="R255" s="712">
        <f t="shared" si="72"/>
        <v>529.28157356246459</v>
      </c>
      <c r="S255" s="712">
        <f t="shared" si="73"/>
        <v>522.00078511793322</v>
      </c>
      <c r="T255" s="712">
        <f t="shared" si="74"/>
        <v>519.54431283765848</v>
      </c>
    </row>
    <row r="256" spans="2:20">
      <c r="B256" s="582">
        <v>182</v>
      </c>
      <c r="C256" s="712">
        <f t="shared" si="59"/>
        <v>2.7018727118294361</v>
      </c>
      <c r="D256" s="712">
        <f t="shared" si="60"/>
        <v>1379.9563777057658</v>
      </c>
      <c r="E256" s="712">
        <f t="shared" si="61"/>
        <v>714.07153011390551</v>
      </c>
      <c r="F256" s="712">
        <f t="shared" si="62"/>
        <v>411.75538167911327</v>
      </c>
      <c r="G256" s="712">
        <f t="shared" si="63"/>
        <v>321.27223001875461</v>
      </c>
      <c r="H256" s="719">
        <f t="shared" si="64"/>
        <v>298.76785464871051</v>
      </c>
      <c r="I256" s="712">
        <f t="shared" si="65"/>
        <v>298.61273678919184</v>
      </c>
      <c r="J256" s="712">
        <f t="shared" si="66"/>
        <v>298.50807125236497</v>
      </c>
      <c r="K256" s="712">
        <f t="shared" si="67"/>
        <v>298.44767447307572</v>
      </c>
      <c r="L256" s="712">
        <f t="shared" si="68"/>
        <v>298.42789520032983</v>
      </c>
      <c r="N256" s="582">
        <v>182</v>
      </c>
      <c r="O256" s="712">
        <f t="shared" si="69"/>
        <v>2.7018727118294361</v>
      </c>
      <c r="P256" s="712">
        <f t="shared" si="70"/>
        <v>559.31793869103319</v>
      </c>
      <c r="Q256" s="712">
        <f t="shared" si="71"/>
        <v>542.52033149779527</v>
      </c>
      <c r="R256" s="712">
        <f t="shared" si="72"/>
        <v>530.45895670372215</v>
      </c>
      <c r="S256" s="712">
        <f t="shared" si="73"/>
        <v>523.18577140312107</v>
      </c>
      <c r="T256" s="712">
        <f t="shared" si="74"/>
        <v>520.73169611167589</v>
      </c>
    </row>
    <row r="257" spans="2:20">
      <c r="B257" s="582">
        <v>183</v>
      </c>
      <c r="C257" s="712">
        <f t="shared" si="59"/>
        <v>2.7167181662900375</v>
      </c>
      <c r="D257" s="712">
        <f t="shared" si="60"/>
        <v>1380.5079773736718</v>
      </c>
      <c r="E257" s="712">
        <f t="shared" si="61"/>
        <v>715.74401342362012</v>
      </c>
      <c r="F257" s="712">
        <f t="shared" si="62"/>
        <v>412.72985267283053</v>
      </c>
      <c r="G257" s="712">
        <f t="shared" si="63"/>
        <v>321.58494497200553</v>
      </c>
      <c r="H257" s="719">
        <f t="shared" si="64"/>
        <v>298.7824249141965</v>
      </c>
      <c r="I257" s="712">
        <f t="shared" si="65"/>
        <v>298.62512928346666</v>
      </c>
      <c r="J257" s="712">
        <f t="shared" si="66"/>
        <v>298.51894489098197</v>
      </c>
      <c r="K257" s="712">
        <f t="shared" si="67"/>
        <v>298.45765126285352</v>
      </c>
      <c r="L257" s="712">
        <f t="shared" si="68"/>
        <v>298.43757446315175</v>
      </c>
      <c r="N257" s="582">
        <v>183</v>
      </c>
      <c r="O257" s="712">
        <f t="shared" si="69"/>
        <v>2.7167181662900375</v>
      </c>
      <c r="P257" s="712">
        <f t="shared" si="70"/>
        <v>560.46341594494436</v>
      </c>
      <c r="Q257" s="712">
        <f t="shared" si="71"/>
        <v>543.68368195937046</v>
      </c>
      <c r="R257" s="712">
        <f t="shared" si="72"/>
        <v>531.63506927335084</v>
      </c>
      <c r="S257" s="712">
        <f t="shared" si="73"/>
        <v>524.36947891175635</v>
      </c>
      <c r="T257" s="712">
        <f t="shared" si="74"/>
        <v>521.91779802243309</v>
      </c>
    </row>
    <row r="258" spans="2:20">
      <c r="B258" s="582">
        <v>184</v>
      </c>
      <c r="C258" s="712">
        <f t="shared" si="59"/>
        <v>2.7315636207506389</v>
      </c>
      <c r="D258" s="712">
        <f t="shared" si="60"/>
        <v>1381.0553898113355</v>
      </c>
      <c r="E258" s="712">
        <f t="shared" si="61"/>
        <v>717.40812947526604</v>
      </c>
      <c r="F258" s="712">
        <f t="shared" si="62"/>
        <v>413.70449045212598</v>
      </c>
      <c r="G258" s="712">
        <f t="shared" si="63"/>
        <v>321.89933260478028</v>
      </c>
      <c r="H258" s="719">
        <f t="shared" si="64"/>
        <v>298.79716927748774</v>
      </c>
      <c r="I258" s="712">
        <f t="shared" si="65"/>
        <v>298.63768362573558</v>
      </c>
      <c r="J258" s="712">
        <f t="shared" si="66"/>
        <v>298.52997131178086</v>
      </c>
      <c r="K258" s="712">
        <f t="shared" si="67"/>
        <v>298.46777526276185</v>
      </c>
      <c r="L258" s="712">
        <f t="shared" si="68"/>
        <v>298.44739904138288</v>
      </c>
      <c r="N258" s="582">
        <v>184</v>
      </c>
      <c r="O258" s="712">
        <f t="shared" si="69"/>
        <v>2.7315636207506389</v>
      </c>
      <c r="P258" s="712">
        <f t="shared" si="70"/>
        <v>561.60765705842744</v>
      </c>
      <c r="Q258" s="712">
        <f t="shared" si="71"/>
        <v>544.8457769926664</v>
      </c>
      <c r="R258" s="712">
        <f t="shared" si="72"/>
        <v>532.80991264248644</v>
      </c>
      <c r="S258" s="712">
        <f t="shared" si="73"/>
        <v>525.55190902382924</v>
      </c>
      <c r="T258" s="712">
        <f t="shared" si="74"/>
        <v>523.10261995271185</v>
      </c>
    </row>
    <row r="259" spans="2:20">
      <c r="B259" s="582">
        <v>185</v>
      </c>
      <c r="C259" s="712">
        <f t="shared" si="59"/>
        <v>2.7464090752112402</v>
      </c>
      <c r="D259" s="712">
        <f t="shared" si="60"/>
        <v>1381.5986866297203</v>
      </c>
      <c r="E259" s="712">
        <f t="shared" si="61"/>
        <v>719.06393675592551</v>
      </c>
      <c r="F259" s="712">
        <f t="shared" si="62"/>
        <v>414.67926268621011</v>
      </c>
      <c r="G259" s="712">
        <f t="shared" si="63"/>
        <v>322.21537909593479</v>
      </c>
      <c r="H259" s="719">
        <f t="shared" si="64"/>
        <v>298.81208841255329</v>
      </c>
      <c r="I259" s="712">
        <f t="shared" si="65"/>
        <v>298.65040059807728</v>
      </c>
      <c r="J259" s="712">
        <f t="shared" si="66"/>
        <v>298.54115137292638</v>
      </c>
      <c r="K259" s="712">
        <f t="shared" si="67"/>
        <v>298.47804737605526</v>
      </c>
      <c r="L259" s="712">
        <f t="shared" si="68"/>
        <v>298.45736985310896</v>
      </c>
      <c r="N259" s="582">
        <v>185</v>
      </c>
      <c r="O259" s="712">
        <f t="shared" si="69"/>
        <v>2.7464090752112402</v>
      </c>
      <c r="P259" s="712">
        <f t="shared" si="70"/>
        <v>562.75066336546172</v>
      </c>
      <c r="Q259" s="712">
        <f t="shared" si="71"/>
        <v>546.00661795247709</v>
      </c>
      <c r="R259" s="712">
        <f t="shared" si="72"/>
        <v>533.98348818078546</v>
      </c>
      <c r="S259" s="712">
        <f t="shared" si="73"/>
        <v>526.73306311784086</v>
      </c>
      <c r="T259" s="712">
        <f t="shared" si="74"/>
        <v>524.28616328380144</v>
      </c>
    </row>
    <row r="260" spans="2:20">
      <c r="B260" s="582">
        <v>186</v>
      </c>
      <c r="C260" s="712">
        <f t="shared" si="59"/>
        <v>2.7612545296718412</v>
      </c>
      <c r="D260" s="712">
        <f t="shared" si="60"/>
        <v>1382.1379374366231</v>
      </c>
      <c r="E260" s="712">
        <f t="shared" si="61"/>
        <v>720.71149339527346</v>
      </c>
      <c r="F260" s="712">
        <f t="shared" si="62"/>
        <v>415.65413754722027</v>
      </c>
      <c r="G260" s="712">
        <f t="shared" si="63"/>
        <v>322.53307060585735</v>
      </c>
      <c r="H260" s="719">
        <f t="shared" si="64"/>
        <v>298.82718298524219</v>
      </c>
      <c r="I260" s="712">
        <f t="shared" si="65"/>
        <v>298.66328097470461</v>
      </c>
      <c r="J260" s="712">
        <f t="shared" si="66"/>
        <v>298.55248592496997</v>
      </c>
      <c r="K260" s="712">
        <f t="shared" si="67"/>
        <v>298.48846849855596</v>
      </c>
      <c r="L260" s="712">
        <f t="shared" si="68"/>
        <v>298.46748780904943</v>
      </c>
      <c r="N260" s="582">
        <v>186</v>
      </c>
      <c r="O260" s="712">
        <f t="shared" si="69"/>
        <v>2.7612545296718412</v>
      </c>
      <c r="P260" s="712">
        <f t="shared" si="70"/>
        <v>563.89243619858723</v>
      </c>
      <c r="Q260" s="712">
        <f t="shared" si="71"/>
        <v>547.1662061921345</v>
      </c>
      <c r="R260" s="712">
        <f t="shared" si="72"/>
        <v>535.15579725642579</v>
      </c>
      <c r="S260" s="712">
        <f t="shared" si="73"/>
        <v>527.91294257080438</v>
      </c>
      <c r="T260" s="712">
        <f t="shared" si="74"/>
        <v>525.46842939550072</v>
      </c>
    </row>
    <row r="261" spans="2:20">
      <c r="B261" s="582">
        <v>187</v>
      </c>
      <c r="C261" s="712">
        <f t="shared" si="59"/>
        <v>2.7760999841324425</v>
      </c>
      <c r="D261" s="712">
        <f t="shared" si="60"/>
        <v>1382.6732099044746</v>
      </c>
      <c r="E261" s="712">
        <f t="shared" si="61"/>
        <v>722.35085716196568</v>
      </c>
      <c r="F261" s="712">
        <f t="shared" si="62"/>
        <v>416.62908370386441</v>
      </c>
      <c r="G261" s="712">
        <f t="shared" si="63"/>
        <v>322.85239327891469</v>
      </c>
      <c r="H261" s="719">
        <f t="shared" si="64"/>
        <v>298.84245365330503</v>
      </c>
      <c r="I261" s="712">
        <f t="shared" si="65"/>
        <v>298.67632552196415</v>
      </c>
      <c r="J261" s="712">
        <f t="shared" si="66"/>
        <v>298.56397581083178</v>
      </c>
      <c r="K261" s="712">
        <f t="shared" si="67"/>
        <v>298.49903951862564</v>
      </c>
      <c r="L261" s="712">
        <f t="shared" si="68"/>
        <v>298.4777538125258</v>
      </c>
      <c r="N261" s="582">
        <v>187</v>
      </c>
      <c r="O261" s="712">
        <f t="shared" si="69"/>
        <v>2.7760999841324425</v>
      </c>
      <c r="P261" s="712">
        <f t="shared" si="70"/>
        <v>565.03297688890575</v>
      </c>
      <c r="Q261" s="712">
        <f t="shared" si="71"/>
        <v>548.32454306350996</v>
      </c>
      <c r="R261" s="712">
        <f t="shared" si="72"/>
        <v>536.32684123610932</v>
      </c>
      <c r="S261" s="712">
        <f t="shared" si="73"/>
        <v>529.09154875824731</v>
      </c>
      <c r="T261" s="712">
        <f t="shared" si="74"/>
        <v>526.64941966611946</v>
      </c>
    </row>
    <row r="262" spans="2:20">
      <c r="B262" s="582">
        <v>188</v>
      </c>
      <c r="C262" s="712">
        <f t="shared" si="59"/>
        <v>2.7909454385930439</v>
      </c>
      <c r="D262" s="712">
        <f t="shared" si="60"/>
        <v>1383.2045698356967</v>
      </c>
      <c r="E262" s="712">
        <f t="shared" si="61"/>
        <v>723.98208546034039</v>
      </c>
      <c r="F262" s="712">
        <f t="shared" si="62"/>
        <v>417.60407031511801</v>
      </c>
      <c r="G262" s="712">
        <f t="shared" si="63"/>
        <v>323.17333324584649</v>
      </c>
      <c r="H262" s="719">
        <f t="shared" si="64"/>
        <v>298.85790106641622</v>
      </c>
      <c r="I262" s="712">
        <f t="shared" si="65"/>
        <v>298.68953499833685</v>
      </c>
      <c r="J262" s="712">
        <f t="shared" si="66"/>
        <v>298.57562186578519</v>
      </c>
      <c r="K262" s="712">
        <f t="shared" si="67"/>
        <v>298.50976131713873</v>
      </c>
      <c r="L262" s="712">
        <f t="shared" si="68"/>
        <v>298.48816875943152</v>
      </c>
      <c r="N262" s="582">
        <v>188</v>
      </c>
      <c r="O262" s="712">
        <f t="shared" si="69"/>
        <v>2.7909454385930439</v>
      </c>
      <c r="P262" s="712">
        <f t="shared" si="70"/>
        <v>566.17228676608283</v>
      </c>
      <c r="Q262" s="712">
        <f t="shared" si="71"/>
        <v>549.48162991701633</v>
      </c>
      <c r="R262" s="712">
        <f t="shared" si="72"/>
        <v>537.49662148506263</v>
      </c>
      <c r="S262" s="712">
        <f t="shared" si="73"/>
        <v>530.26888305421278</v>
      </c>
      <c r="T262" s="712">
        <f t="shared" si="74"/>
        <v>527.82913547247995</v>
      </c>
    </row>
    <row r="263" spans="2:20">
      <c r="B263" s="582">
        <v>189</v>
      </c>
      <c r="C263" s="712">
        <f t="shared" si="59"/>
        <v>2.8057908930536453</v>
      </c>
      <c r="D263" s="712">
        <f t="shared" si="60"/>
        <v>1383.7320812257126</v>
      </c>
      <c r="E263" s="712">
        <f t="shared" si="61"/>
        <v>725.60523532742388</v>
      </c>
      <c r="F263" s="712">
        <f t="shared" si="62"/>
        <v>418.5790670239748</v>
      </c>
      <c r="G263" s="712">
        <f t="shared" si="63"/>
        <v>323.49587662610912</v>
      </c>
      <c r="H263" s="719">
        <f t="shared" si="64"/>
        <v>298.87352586619681</v>
      </c>
      <c r="I263" s="712">
        <f t="shared" si="65"/>
        <v>298.70291015444013</v>
      </c>
      <c r="J263" s="712">
        <f t="shared" si="66"/>
        <v>298.58742491744198</v>
      </c>
      <c r="K263" s="712">
        <f t="shared" si="67"/>
        <v>298.52063476745786</v>
      </c>
      <c r="L263" s="712">
        <f t="shared" si="68"/>
        <v>298.4987335382034</v>
      </c>
      <c r="N263" s="582">
        <v>189</v>
      </c>
      <c r="O263" s="712">
        <f t="shared" si="69"/>
        <v>2.8057908930536453</v>
      </c>
      <c r="P263" s="712">
        <f t="shared" si="70"/>
        <v>567.3103671583491</v>
      </c>
      <c r="Q263" s="712">
        <f t="shared" si="71"/>
        <v>550.63746810160876</v>
      </c>
      <c r="R263" s="712">
        <f t="shared" si="72"/>
        <v>538.66513936703939</v>
      </c>
      <c r="S263" s="712">
        <f t="shared" si="73"/>
        <v>531.44494683126072</v>
      </c>
      <c r="T263" s="712">
        <f t="shared" si="74"/>
        <v>529.00757818991906</v>
      </c>
    </row>
    <row r="264" spans="2:20">
      <c r="B264" s="582">
        <v>190</v>
      </c>
      <c r="C264" s="712">
        <f t="shared" si="59"/>
        <v>2.8206363475142466</v>
      </c>
      <c r="D264" s="712">
        <f t="shared" si="60"/>
        <v>1384.2558063236929</v>
      </c>
      <c r="E264" s="712">
        <f t="shared" si="61"/>
        <v>727.22036343022341</v>
      </c>
      <c r="F264" s="712">
        <f t="shared" si="62"/>
        <v>419.55404395125197</v>
      </c>
      <c r="G264" s="712">
        <f t="shared" si="63"/>
        <v>323.82000953016876</v>
      </c>
      <c r="H264" s="719">
        <f t="shared" si="64"/>
        <v>298.88932868623863</v>
      </c>
      <c r="I264" s="712">
        <f t="shared" si="65"/>
        <v>298.71645173303085</v>
      </c>
      <c r="J264" s="712">
        <f t="shared" si="66"/>
        <v>298.5993857857398</v>
      </c>
      <c r="K264" s="712">
        <f t="shared" si="67"/>
        <v>298.53166073541075</v>
      </c>
      <c r="L264" s="712">
        <f t="shared" si="68"/>
        <v>298.50944902979541</v>
      </c>
      <c r="N264" s="582">
        <v>190</v>
      </c>
      <c r="O264" s="712">
        <f t="shared" si="69"/>
        <v>2.8206363475142466</v>
      </c>
      <c r="P264" s="712">
        <f t="shared" si="70"/>
        <v>568.44721939250178</v>
      </c>
      <c r="Q264" s="712">
        <f t="shared" si="71"/>
        <v>551.79205896478697</v>
      </c>
      <c r="R264" s="712">
        <f t="shared" si="72"/>
        <v>539.83239624432144</v>
      </c>
      <c r="S264" s="712">
        <f t="shared" si="73"/>
        <v>532.61974146046998</v>
      </c>
      <c r="T264" s="712">
        <f t="shared" si="74"/>
        <v>530.18474919228879</v>
      </c>
    </row>
    <row r="265" spans="2:20">
      <c r="B265" s="582">
        <v>191</v>
      </c>
      <c r="C265" s="712">
        <f t="shared" si="59"/>
        <v>2.835481801974848</v>
      </c>
      <c r="D265" s="712">
        <f t="shared" si="60"/>
        <v>1384.7758056911202</v>
      </c>
      <c r="E265" s="712">
        <f t="shared" si="61"/>
        <v>728.82752606329689</v>
      </c>
      <c r="F265" s="712">
        <f t="shared" si="62"/>
        <v>420.52897168945049</v>
      </c>
      <c r="G265" s="712">
        <f t="shared" si="63"/>
        <v>324.14571806174519</v>
      </c>
      <c r="H265" s="719">
        <f t="shared" si="64"/>
        <v>298.9053101521281</v>
      </c>
      <c r="I265" s="712">
        <f t="shared" si="65"/>
        <v>298.7301604690096</v>
      </c>
      <c r="J265" s="712">
        <f t="shared" si="66"/>
        <v>298.61150528293035</v>
      </c>
      <c r="K265" s="712">
        <f t="shared" si="67"/>
        <v>298.54284007926856</v>
      </c>
      <c r="L265" s="712">
        <f t="shared" si="68"/>
        <v>298.52031610765357</v>
      </c>
      <c r="N265" s="582">
        <v>191</v>
      </c>
      <c r="O265" s="712">
        <f t="shared" si="69"/>
        <v>2.835481801974848</v>
      </c>
      <c r="P265" s="712">
        <f t="shared" si="70"/>
        <v>569.58284479390602</v>
      </c>
      <c r="Q265" s="712">
        <f t="shared" si="71"/>
        <v>552.94540385259631</v>
      </c>
      <c r="R265" s="712">
        <f t="shared" si="72"/>
        <v>540.99839347772058</v>
      </c>
      <c r="S265" s="712">
        <f t="shared" si="73"/>
        <v>533.79326831144022</v>
      </c>
      <c r="T265" s="712">
        <f t="shared" si="74"/>
        <v>531.36064985195924</v>
      </c>
    </row>
    <row r="266" spans="2:20">
      <c r="B266" s="582">
        <v>192</v>
      </c>
      <c r="C266" s="712">
        <f t="shared" si="59"/>
        <v>2.8503272564354489</v>
      </c>
      <c r="D266" s="712">
        <f t="shared" si="60"/>
        <v>1385.2921382582542</v>
      </c>
      <c r="E266" s="712">
        <f t="shared" si="61"/>
        <v>730.42677914658555</v>
      </c>
      <c r="F266" s="712">
        <f t="shared" si="62"/>
        <v>421.50382129667139</v>
      </c>
      <c r="G266" s="712">
        <f t="shared" si="63"/>
        <v>324.47298832000718</v>
      </c>
      <c r="H266" s="719">
        <f t="shared" si="64"/>
        <v>298.92147088147203</v>
      </c>
      <c r="I266" s="712">
        <f t="shared" si="65"/>
        <v>298.744037089426</v>
      </c>
      <c r="J266" s="712">
        <f t="shared" si="66"/>
        <v>298.62378421356937</v>
      </c>
      <c r="K266" s="712">
        <f t="shared" si="67"/>
        <v>298.55417364972612</v>
      </c>
      <c r="L266" s="712">
        <f t="shared" si="68"/>
        <v>298.53133563769279</v>
      </c>
      <c r="N266" s="582">
        <v>192</v>
      </c>
      <c r="O266" s="712">
        <f t="shared" si="69"/>
        <v>2.8503272564354489</v>
      </c>
      <c r="P266" s="712">
        <f t="shared" si="70"/>
        <v>570.71724468649734</v>
      </c>
      <c r="Q266" s="712">
        <f t="shared" si="71"/>
        <v>554.09750410962965</v>
      </c>
      <c r="R266" s="712">
        <f t="shared" si="72"/>
        <v>542.16313242657975</v>
      </c>
      <c r="S266" s="712">
        <f t="shared" si="73"/>
        <v>534.96552875229293</v>
      </c>
      <c r="T266" s="712">
        <f t="shared" si="74"/>
        <v>532.53528153981915</v>
      </c>
    </row>
    <row r="267" spans="2:20">
      <c r="B267" s="582">
        <v>193</v>
      </c>
      <c r="C267" s="712">
        <f t="shared" ref="C267:C330" si="75">$C$73*B267</f>
        <v>2.8651727108960503</v>
      </c>
      <c r="D267" s="712">
        <f t="shared" ref="D267:D330" si="76">(1-2*FoAb-2*FoAb*BiCombAb)*D266+2*FoAb*E266+2*FoAb*BiCombAb*Tcomb</f>
        <v>1385.8048613785718</v>
      </c>
      <c r="E267" s="712">
        <f t="shared" ref="E267:E330" si="77">FoAb*D266+(1-2*FoAb)*E266+FoAb*F266</f>
        <v>732.01817822349813</v>
      </c>
      <c r="F267" s="712">
        <f t="shared" ref="F267:F330" si="78">FoAb*E266+(1-2*FoAb)*F266+FoAb*G266</f>
        <v>422.47856429058731</v>
      </c>
      <c r="G267" s="712">
        <f t="shared" ref="G267:G330" si="79">FoAb*F266+(1-2*FoAb)*G266+FoAb*H266</f>
        <v>324.8018064017192</v>
      </c>
      <c r="H267" s="719">
        <f t="shared" ref="H267:H330" si="80">_FoN1*G266+(1-_FoN1-_FoN2)*H266+_FoN2*I266</f>
        <v>298.93781148392276</v>
      </c>
      <c r="I267" s="712">
        <f t="shared" ref="I267:I330" si="81">FoCase*H266+(1-2*FoCase)*I266+FoCase*J266</f>
        <v>298.75808231348515</v>
      </c>
      <c r="J267" s="712">
        <f t="shared" ref="J267:J330" si="82">FoCase*I266+(1-2*FoCase)*J266+FoCase*K266</f>
        <v>298.63622337450806</v>
      </c>
      <c r="K267" s="712">
        <f t="shared" ref="K267:K330" si="83">FoCase*J266+(1-2*FoCase)*K266+FoCase*L266</f>
        <v>298.56566228988379</v>
      </c>
      <c r="L267" s="712">
        <f t="shared" ref="L267:L330" si="84">(1-2*FoCase-2*FoCase*BiAtmCase)*L266+2*FoCase*K266+2*FoCase*BiAtmCase*Tatm</f>
        <v>298.54250847827535</v>
      </c>
      <c r="N267" s="582">
        <v>193</v>
      </c>
      <c r="O267" s="712">
        <f t="shared" ref="O267:O330" si="85">$O$73*N267</f>
        <v>2.8651727108960503</v>
      </c>
      <c r="P267" s="712">
        <f t="shared" ref="P267:P330" si="86">(1-2*FoCase-2*FoCase*BiCombCase)*P266+2*FoCase*Q266+2*FoCase*BiCombCase*Tcomb</f>
        <v>571.85042039278176</v>
      </c>
      <c r="Q267" s="712">
        <f t="shared" ref="Q267:Q330" si="87">FoCase*P266+(1-2*FoCase)*Q266+FoCase*R266</f>
        <v>555.24836107902877</v>
      </c>
      <c r="R267" s="712">
        <f t="shared" ref="R267:R330" si="88">FoCase*Q266+(1-2*FoCase)*R266+FoCase*S266</f>
        <v>543.32661444877544</v>
      </c>
      <c r="S267" s="712">
        <f t="shared" ref="S267:S330" si="89">FoCase*R266+(1-2*FoCase)*S266+FoCase*T266</f>
        <v>536.13652414967282</v>
      </c>
      <c r="T267" s="712">
        <f t="shared" ref="T267:T330" si="90">(1-2*FoCase-2*FoCase*BiAtmCase)*T266+2*FoCase*S266+2*FoCase*BiAtmCase*Tatm</f>
        <v>533.708645625278</v>
      </c>
    </row>
    <row r="268" spans="2:20">
      <c r="B268" s="582">
        <v>194</v>
      </c>
      <c r="C268" s="712">
        <f t="shared" si="75"/>
        <v>2.8800181653566517</v>
      </c>
      <c r="D268" s="712">
        <f t="shared" si="76"/>
        <v>1386.3140308812594</v>
      </c>
      <c r="E268" s="712">
        <f t="shared" si="77"/>
        <v>733.60177845923647</v>
      </c>
      <c r="F268" s="712">
        <f t="shared" si="78"/>
        <v>423.45317264247149</v>
      </c>
      <c r="G268" s="712">
        <f t="shared" si="79"/>
        <v>325.13215840334112</v>
      </c>
      <c r="H268" s="719">
        <f t="shared" si="80"/>
        <v>298.95433256120504</v>
      </c>
      <c r="I268" s="712">
        <f t="shared" si="81"/>
        <v>298.77229685255486</v>
      </c>
      <c r="J268" s="712">
        <f t="shared" si="82"/>
        <v>298.64882355488555</v>
      </c>
      <c r="K268" s="712">
        <f t="shared" si="83"/>
        <v>298.57730683523062</v>
      </c>
      <c r="L268" s="712">
        <f t="shared" si="84"/>
        <v>298.55383548019091</v>
      </c>
      <c r="N268" s="582">
        <v>194</v>
      </c>
      <c r="O268" s="712">
        <f t="shared" si="85"/>
        <v>2.8800181653566517</v>
      </c>
      <c r="P268" s="712">
        <f t="shared" si="86"/>
        <v>572.98237323383876</v>
      </c>
      <c r="Q268" s="712">
        <f t="shared" si="87"/>
        <v>556.39797610248615</v>
      </c>
      <c r="R268" s="712">
        <f t="shared" si="88"/>
        <v>544.48884090071851</v>
      </c>
      <c r="S268" s="712">
        <f t="shared" si="89"/>
        <v>537.30625586875021</v>
      </c>
      <c r="T268" s="712">
        <f t="shared" si="90"/>
        <v>534.8807434762673</v>
      </c>
    </row>
    <row r="269" spans="2:20">
      <c r="B269" s="582">
        <v>195</v>
      </c>
      <c r="C269" s="712">
        <f t="shared" si="75"/>
        <v>2.894863619817253</v>
      </c>
      <c r="D269" s="712">
        <f t="shared" si="76"/>
        <v>1386.8197011218253</v>
      </c>
      <c r="E269" s="712">
        <f t="shared" si="77"/>
        <v>735.17763463934944</v>
      </c>
      <c r="F269" s="712">
        <f t="shared" si="78"/>
        <v>424.42761877128299</v>
      </c>
      <c r="G269" s="712">
        <f t="shared" si="79"/>
        <v>325.46403042308128</v>
      </c>
      <c r="H269" s="719">
        <f t="shared" si="80"/>
        <v>298.97103470714279</v>
      </c>
      <c r="I269" s="712">
        <f t="shared" si="81"/>
        <v>298.78668141017448</v>
      </c>
      <c r="J269" s="712">
        <f t="shared" si="82"/>
        <v>298.66158553612314</v>
      </c>
      <c r="K269" s="712">
        <f t="shared" si="83"/>
        <v>298.58910811362898</v>
      </c>
      <c r="L269" s="712">
        <f t="shared" si="84"/>
        <v>298.56531748663826</v>
      </c>
      <c r="N269" s="582">
        <v>195</v>
      </c>
      <c r="O269" s="712">
        <f t="shared" si="85"/>
        <v>2.894863619817253</v>
      </c>
      <c r="P269" s="712">
        <f t="shared" si="86"/>
        <v>574.11310452932173</v>
      </c>
      <c r="Q269" s="712">
        <f t="shared" si="87"/>
        <v>557.54635052024628</v>
      </c>
      <c r="R269" s="712">
        <f t="shared" si="88"/>
        <v>545.6498131373562</v>
      </c>
      <c r="S269" s="712">
        <f t="shared" si="89"/>
        <v>538.47472527322202</v>
      </c>
      <c r="T269" s="712">
        <f t="shared" si="90"/>
        <v>536.05157645924248</v>
      </c>
    </row>
    <row r="270" spans="2:20">
      <c r="B270" s="582">
        <v>196</v>
      </c>
      <c r="C270" s="712">
        <f t="shared" si="75"/>
        <v>2.9097090742778544</v>
      </c>
      <c r="D270" s="712">
        <f t="shared" si="76"/>
        <v>1387.321925030903</v>
      </c>
      <c r="E270" s="712">
        <f t="shared" si="77"/>
        <v>736.74580116850564</v>
      </c>
      <c r="F270" s="712">
        <f t="shared" si="78"/>
        <v>425.40187553780959</v>
      </c>
      <c r="G270" s="712">
        <f t="shared" si="79"/>
        <v>325.79740856290357</v>
      </c>
      <c r="H270" s="719">
        <f t="shared" si="80"/>
        <v>298.9879185076868</v>
      </c>
      <c r="I270" s="712">
        <f t="shared" si="81"/>
        <v>298.80123668206409</v>
      </c>
      <c r="J270" s="712">
        <f t="shared" si="82"/>
        <v>298.67451009191927</v>
      </c>
      <c r="K270" s="712">
        <f t="shared" si="83"/>
        <v>298.60106694530111</v>
      </c>
      <c r="L270" s="712">
        <f t="shared" si="84"/>
        <v>298.57695533320839</v>
      </c>
      <c r="N270" s="582">
        <v>196</v>
      </c>
      <c r="O270" s="712">
        <f t="shared" si="85"/>
        <v>2.9097090742778544</v>
      </c>
      <c r="P270" s="712">
        <f t="shared" si="86"/>
        <v>575.24261559746014</v>
      </c>
      <c r="Q270" s="712">
        <f t="shared" si="87"/>
        <v>558.69348567110728</v>
      </c>
      <c r="R270" s="712">
        <f t="shared" si="88"/>
        <v>546.80953251217352</v>
      </c>
      <c r="S270" s="712">
        <f t="shared" si="89"/>
        <v>539.64193372531349</v>
      </c>
      <c r="T270" s="712">
        <f t="shared" si="90"/>
        <v>537.22114593918445</v>
      </c>
    </row>
    <row r="271" spans="2:20">
      <c r="B271" s="582">
        <v>197</v>
      </c>
      <c r="C271" s="712">
        <f t="shared" si="75"/>
        <v>2.9245545287384558</v>
      </c>
      <c r="D271" s="712">
        <f t="shared" si="76"/>
        <v>1387.8207541613124</v>
      </c>
      <c r="E271" s="712">
        <f t="shared" si="77"/>
        <v>738.30633206947641</v>
      </c>
      <c r="F271" s="712">
        <f t="shared" si="78"/>
        <v>426.37591623886794</v>
      </c>
      <c r="G271" s="712">
        <f t="shared" si="79"/>
        <v>326.13227893048884</v>
      </c>
      <c r="H271" s="719">
        <f t="shared" si="80"/>
        <v>299.00498454094293</v>
      </c>
      <c r="I271" s="712">
        <f t="shared" si="81"/>
        <v>298.81596335613511</v>
      </c>
      <c r="J271" s="712">
        <f t="shared" si="82"/>
        <v>298.68759798824635</v>
      </c>
      <c r="K271" s="712">
        <f t="shared" si="83"/>
        <v>298.61318414281669</v>
      </c>
      <c r="L271" s="712">
        <f t="shared" si="84"/>
        <v>298.58874984786917</v>
      </c>
      <c r="N271" s="582">
        <v>197</v>
      </c>
      <c r="O271" s="712">
        <f t="shared" si="85"/>
        <v>2.9245545287384558</v>
      </c>
      <c r="P271" s="712">
        <f t="shared" si="86"/>
        <v>576.37090775506101</v>
      </c>
      <c r="Q271" s="712">
        <f t="shared" si="87"/>
        <v>559.83938289242269</v>
      </c>
      <c r="R271" s="712">
        <f t="shared" si="88"/>
        <v>547.96800037719458</v>
      </c>
      <c r="S271" s="712">
        <f t="shared" si="89"/>
        <v>540.80788258578002</v>
      </c>
      <c r="T271" s="712">
        <f t="shared" si="90"/>
        <v>538.38945327960107</v>
      </c>
    </row>
    <row r="272" spans="2:20">
      <c r="B272" s="582">
        <v>198</v>
      </c>
      <c r="C272" s="712">
        <f t="shared" si="75"/>
        <v>2.9393999831990572</v>
      </c>
      <c r="D272" s="712">
        <f t="shared" si="76"/>
        <v>1388.316238733441</v>
      </c>
      <c r="E272" s="712">
        <f t="shared" si="77"/>
        <v>739.85928098231614</v>
      </c>
      <c r="F272" s="712">
        <f t="shared" si="78"/>
        <v>427.34971460156123</v>
      </c>
      <c r="G272" s="712">
        <f t="shared" si="79"/>
        <v>326.46862764115241</v>
      </c>
      <c r="H272" s="719">
        <f t="shared" si="80"/>
        <v>299.02223337720102</v>
      </c>
      <c r="I272" s="712">
        <f t="shared" si="81"/>
        <v>298.83086211250156</v>
      </c>
      <c r="J272" s="712">
        <f t="shared" si="82"/>
        <v>298.70084998334835</v>
      </c>
      <c r="K272" s="712">
        <f t="shared" si="83"/>
        <v>298.62546051108211</v>
      </c>
      <c r="L272" s="712">
        <f t="shared" si="84"/>
        <v>298.60070185095157</v>
      </c>
      <c r="N272" s="582">
        <v>198</v>
      </c>
      <c r="O272" s="712">
        <f t="shared" si="85"/>
        <v>2.9393999831990572</v>
      </c>
      <c r="P272" s="712">
        <f t="shared" si="86"/>
        <v>577.49798231751026</v>
      </c>
      <c r="Q272" s="712">
        <f t="shared" si="87"/>
        <v>560.98404352010266</v>
      </c>
      <c r="R272" s="712">
        <f t="shared" si="88"/>
        <v>549.12521808298493</v>
      </c>
      <c r="S272" s="712">
        <f t="shared" si="89"/>
        <v>541.97257321390828</v>
      </c>
      <c r="T272" s="712">
        <f t="shared" si="90"/>
        <v>539.55649984252864</v>
      </c>
    </row>
    <row r="273" spans="2:20">
      <c r="B273" s="582">
        <v>199</v>
      </c>
      <c r="C273" s="712">
        <f t="shared" si="75"/>
        <v>2.9542454376596581</v>
      </c>
      <c r="D273" s="712">
        <f t="shared" si="76"/>
        <v>1388.8084276790059</v>
      </c>
      <c r="E273" s="712">
        <f t="shared" si="77"/>
        <v>741.40470116373376</v>
      </c>
      <c r="F273" s="712">
        <f t="shared" si="78"/>
        <v>428.32324477759516</v>
      </c>
      <c r="G273" s="712">
        <f t="shared" si="79"/>
        <v>326.80644081971707</v>
      </c>
      <c r="H273" s="719">
        <f t="shared" si="80"/>
        <v>299.03966557896405</v>
      </c>
      <c r="I273" s="712">
        <f t="shared" si="81"/>
        <v>298.8459336234925</v>
      </c>
      <c r="J273" s="712">
        <f t="shared" si="82"/>
        <v>298.71426682773995</v>
      </c>
      <c r="K273" s="712">
        <f t="shared" si="83"/>
        <v>298.63789684733081</v>
      </c>
      <c r="L273" s="712">
        <f t="shared" si="84"/>
        <v>298.61281215513759</v>
      </c>
      <c r="N273" s="582">
        <v>199</v>
      </c>
      <c r="O273" s="712">
        <f t="shared" si="85"/>
        <v>2.9542454376596581</v>
      </c>
      <c r="P273" s="712">
        <f t="shared" si="86"/>
        <v>578.62384059877411</v>
      </c>
      <c r="Q273" s="712">
        <f t="shared" si="87"/>
        <v>562.12746888861557</v>
      </c>
      <c r="R273" s="712">
        <f t="shared" si="88"/>
        <v>550.28118697865239</v>
      </c>
      <c r="S273" s="712">
        <f t="shared" si="89"/>
        <v>543.13600696751837</v>
      </c>
      <c r="T273" s="712">
        <f t="shared" si="90"/>
        <v>540.7222869885336</v>
      </c>
    </row>
    <row r="274" spans="2:20">
      <c r="B274" s="582">
        <v>200</v>
      </c>
      <c r="C274" s="712">
        <f t="shared" si="75"/>
        <v>2.9690908921202595</v>
      </c>
      <c r="D274" s="712">
        <f t="shared" si="76"/>
        <v>1389.2973686832599</v>
      </c>
      <c r="E274" s="712">
        <f t="shared" si="77"/>
        <v>742.94264548664501</v>
      </c>
      <c r="F274" s="712">
        <f t="shared" si="78"/>
        <v>429.29648133765164</v>
      </c>
      <c r="G274" s="712">
        <f t="shared" si="79"/>
        <v>327.14570460234285</v>
      </c>
      <c r="H274" s="719">
        <f t="shared" si="80"/>
        <v>299.05728170097808</v>
      </c>
      <c r="I274" s="712">
        <f t="shared" si="81"/>
        <v>298.86117855366518</v>
      </c>
      <c r="J274" s="712">
        <f t="shared" si="82"/>
        <v>298.72784926420672</v>
      </c>
      <c r="K274" s="712">
        <f t="shared" si="83"/>
        <v>298.65049394111543</v>
      </c>
      <c r="L274" s="712">
        <f t="shared" si="84"/>
        <v>298.62508156544885</v>
      </c>
      <c r="N274" s="582">
        <v>200</v>
      </c>
      <c r="O274" s="712">
        <f t="shared" si="85"/>
        <v>2.9690908921202595</v>
      </c>
      <c r="P274" s="712">
        <f t="shared" si="86"/>
        <v>579.74848391140097</v>
      </c>
      <c r="Q274" s="712">
        <f t="shared" si="87"/>
        <v>563.26966033099018</v>
      </c>
      <c r="R274" s="712">
        <f t="shared" si="88"/>
        <v>551.4359084118488</v>
      </c>
      <c r="S274" s="712">
        <f t="shared" si="89"/>
        <v>544.29818520296476</v>
      </c>
      <c r="T274" s="712">
        <f t="shared" si="90"/>
        <v>541.88681607671447</v>
      </c>
    </row>
    <row r="275" spans="2:20">
      <c r="B275" s="582">
        <v>201</v>
      </c>
      <c r="C275" s="712">
        <f t="shared" si="75"/>
        <v>2.9839363465808608</v>
      </c>
      <c r="D275" s="712">
        <f t="shared" si="76"/>
        <v>1389.7831082256919</v>
      </c>
      <c r="E275" s="712">
        <f t="shared" si="77"/>
        <v>744.47316643989654</v>
      </c>
      <c r="F275" s="712">
        <f t="shared" si="78"/>
        <v>430.26939926582071</v>
      </c>
      <c r="G275" s="712">
        <f t="shared" si="79"/>
        <v>327.48640513831481</v>
      </c>
      <c r="H275" s="719">
        <f t="shared" si="80"/>
        <v>299.07508229026269</v>
      </c>
      <c r="I275" s="712">
        <f t="shared" si="81"/>
        <v>298.87659755981923</v>
      </c>
      <c r="J275" s="712">
        <f t="shared" si="82"/>
        <v>298.74159802780645</v>
      </c>
      <c r="K275" s="712">
        <f t="shared" si="83"/>
        <v>298.66325257430094</v>
      </c>
      <c r="L275" s="712">
        <f t="shared" si="84"/>
        <v>298.63751087923737</v>
      </c>
      <c r="N275" s="582">
        <v>201</v>
      </c>
      <c r="O275" s="712">
        <f t="shared" si="85"/>
        <v>2.9839363465808608</v>
      </c>
      <c r="P275" s="712">
        <f t="shared" si="86"/>
        <v>580.87191356652295</v>
      </c>
      <c r="Q275" s="712">
        <f t="shared" si="87"/>
        <v>564.41061917881621</v>
      </c>
      <c r="R275" s="712">
        <f t="shared" si="88"/>
        <v>552.58938372877196</v>
      </c>
      <c r="S275" s="712">
        <f t="shared" si="89"/>
        <v>545.45910927513853</v>
      </c>
      <c r="T275" s="712">
        <f t="shared" si="90"/>
        <v>543.05008846470264</v>
      </c>
    </row>
    <row r="276" spans="2:20">
      <c r="B276" s="582">
        <v>202</v>
      </c>
      <c r="C276" s="712">
        <f t="shared" si="75"/>
        <v>2.9987818010414622</v>
      </c>
      <c r="D276" s="712">
        <f t="shared" si="76"/>
        <v>1390.2656916192839</v>
      </c>
      <c r="E276" s="712">
        <f t="shared" si="77"/>
        <v>745.99631612815483</v>
      </c>
      <c r="F276" s="712">
        <f t="shared" si="78"/>
        <v>431.24197395409055</v>
      </c>
      <c r="G276" s="712">
        <f t="shared" si="79"/>
        <v>327.82852859178831</v>
      </c>
      <c r="H276" s="719">
        <f t="shared" si="80"/>
        <v>299.09306788614168</v>
      </c>
      <c r="I276" s="712">
        <f t="shared" si="81"/>
        <v>298.89219129101167</v>
      </c>
      <c r="J276" s="712">
        <f t="shared" si="82"/>
        <v>298.75551384587175</v>
      </c>
      <c r="K276" s="712">
        <f t="shared" si="83"/>
        <v>298.67617352105913</v>
      </c>
      <c r="L276" s="712">
        <f t="shared" si="84"/>
        <v>298.65010088617737</v>
      </c>
      <c r="N276" s="582">
        <v>202</v>
      </c>
      <c r="O276" s="712">
        <f t="shared" si="85"/>
        <v>2.9987818010414622</v>
      </c>
      <c r="P276" s="712">
        <f t="shared" si="86"/>
        <v>581.99413087385699</v>
      </c>
      <c r="Q276" s="712">
        <f t="shared" si="87"/>
        <v>565.55034676224682</v>
      </c>
      <c r="R276" s="712">
        <f t="shared" si="88"/>
        <v>553.74161427416675</v>
      </c>
      <c r="S276" s="712">
        <f t="shared" si="89"/>
        <v>546.61878053746852</v>
      </c>
      <c r="T276" s="712">
        <f t="shared" si="90"/>
        <v>544.21210550866476</v>
      </c>
    </row>
    <row r="277" spans="2:20">
      <c r="B277" s="582">
        <v>203</v>
      </c>
      <c r="C277" s="712">
        <f t="shared" si="75"/>
        <v>3.0136272555020636</v>
      </c>
      <c r="D277" s="712">
        <f t="shared" si="76"/>
        <v>1390.7451630483718</v>
      </c>
      <c r="E277" s="712">
        <f t="shared" si="77"/>
        <v>747.51214627195043</v>
      </c>
      <c r="F277" s="712">
        <f t="shared" si="78"/>
        <v>432.21418119689582</v>
      </c>
      <c r="G277" s="712">
        <f t="shared" si="79"/>
        <v>328.17206114349301</v>
      </c>
      <c r="H277" s="719">
        <f t="shared" si="80"/>
        <v>299.11123902027452</v>
      </c>
      <c r="I277" s="712">
        <f t="shared" si="81"/>
        <v>298.90796038857263</v>
      </c>
      <c r="J277" s="712">
        <f t="shared" si="82"/>
        <v>298.76959743801348</v>
      </c>
      <c r="K277" s="712">
        <f t="shared" si="83"/>
        <v>298.68925754786471</v>
      </c>
      <c r="L277" s="712">
        <f t="shared" si="84"/>
        <v>298.66285236825837</v>
      </c>
      <c r="N277" s="582">
        <v>203</v>
      </c>
      <c r="O277" s="712">
        <f t="shared" si="85"/>
        <v>3.0136272555020636</v>
      </c>
      <c r="P277" s="712">
        <f t="shared" si="86"/>
        <v>583.1151371417069</v>
      </c>
      <c r="Q277" s="712">
        <f t="shared" si="87"/>
        <v>566.68884440999932</v>
      </c>
      <c r="R277" s="712">
        <f t="shared" si="88"/>
        <v>554.89260139132671</v>
      </c>
      <c r="S277" s="712">
        <f t="shared" si="89"/>
        <v>547.77720034192293</v>
      </c>
      <c r="T277" s="712">
        <f t="shared" si="90"/>
        <v>545.37286856330388</v>
      </c>
    </row>
    <row r="278" spans="2:20">
      <c r="B278" s="582">
        <v>204</v>
      </c>
      <c r="C278" s="712">
        <f t="shared" si="75"/>
        <v>3.0284727099626649</v>
      </c>
      <c r="D278" s="712">
        <f t="shared" si="76"/>
        <v>1391.2215656051633</v>
      </c>
      <c r="E278" s="712">
        <f t="shared" si="77"/>
        <v>749.02070820787208</v>
      </c>
      <c r="F278" s="712">
        <f t="shared" si="78"/>
        <v>433.1859971857242</v>
      </c>
      <c r="G278" s="712">
        <f t="shared" si="79"/>
        <v>328.51698899239676</v>
      </c>
      <c r="H278" s="719">
        <f t="shared" si="80"/>
        <v>299.12959621668836</v>
      </c>
      <c r="I278" s="712">
        <f t="shared" si="81"/>
        <v>298.92390548612195</v>
      </c>
      <c r="J278" s="712">
        <f t="shared" si="82"/>
        <v>298.78384951612566</v>
      </c>
      <c r="K278" s="712">
        <f t="shared" si="83"/>
        <v>298.70250541349219</v>
      </c>
      <c r="L278" s="712">
        <f t="shared" si="84"/>
        <v>298.67576609977971</v>
      </c>
      <c r="N278" s="582">
        <v>204</v>
      </c>
      <c r="O278" s="712">
        <f t="shared" si="85"/>
        <v>3.0284727099626649</v>
      </c>
      <c r="P278" s="712">
        <f t="shared" si="86"/>
        <v>584.23493367696426</v>
      </c>
      <c r="Q278" s="712">
        <f t="shared" si="87"/>
        <v>567.82611344935754</v>
      </c>
      <c r="R278" s="712">
        <f t="shared" si="88"/>
        <v>556.04234642209633</v>
      </c>
      <c r="S278" s="712">
        <f t="shared" si="89"/>
        <v>548.9343700390109</v>
      </c>
      <c r="T278" s="712">
        <f t="shared" si="90"/>
        <v>546.53237898186103</v>
      </c>
    </row>
    <row r="279" spans="2:20">
      <c r="B279" s="582">
        <v>205</v>
      </c>
      <c r="C279" s="712">
        <f t="shared" si="75"/>
        <v>3.0433181644232659</v>
      </c>
      <c r="D279" s="712">
        <f t="shared" si="76"/>
        <v>1391.6949413249629</v>
      </c>
      <c r="E279" s="712">
        <f t="shared" si="77"/>
        <v>750.52205288890173</v>
      </c>
      <c r="F279" s="712">
        <f t="shared" si="78"/>
        <v>434.157398503781</v>
      </c>
      <c r="G279" s="712">
        <f t="shared" si="79"/>
        <v>328.86329835732897</v>
      </c>
      <c r="H279" s="719">
        <f t="shared" si="80"/>
        <v>299.14813999181001</v>
      </c>
      <c r="I279" s="712">
        <f t="shared" si="81"/>
        <v>298.94002720958684</v>
      </c>
      <c r="J279" s="712">
        <f t="shared" si="82"/>
        <v>298.79827078439126</v>
      </c>
      <c r="K279" s="712">
        <f t="shared" si="83"/>
        <v>298.71591786901416</v>
      </c>
      <c r="L279" s="712">
        <f t="shared" si="84"/>
        <v>298.68884284734639</v>
      </c>
      <c r="N279" s="582">
        <v>205</v>
      </c>
      <c r="O279" s="712">
        <f t="shared" si="85"/>
        <v>3.0433181644232659</v>
      </c>
      <c r="P279" s="712">
        <f t="shared" si="86"/>
        <v>585.35352178511096</v>
      </c>
      <c r="Q279" s="712">
        <f t="shared" si="87"/>
        <v>568.96215520617272</v>
      </c>
      <c r="R279" s="712">
        <f t="shared" si="88"/>
        <v>557.19085070687129</v>
      </c>
      <c r="S279" s="712">
        <f t="shared" si="89"/>
        <v>550.09029097778466</v>
      </c>
      <c r="T279" s="712">
        <f t="shared" si="90"/>
        <v>547.69063811611693</v>
      </c>
    </row>
    <row r="280" spans="2:20">
      <c r="B280" s="582">
        <v>206</v>
      </c>
      <c r="C280" s="712">
        <f t="shared" si="75"/>
        <v>3.0581636188838672</v>
      </c>
      <c r="D280" s="712">
        <f t="shared" si="76"/>
        <v>1392.1653312201488</v>
      </c>
      <c r="E280" s="712">
        <f t="shared" si="77"/>
        <v>752.01623088488316</v>
      </c>
      <c r="F280" s="712">
        <f t="shared" si="78"/>
        <v>435.12836212071181</v>
      </c>
      <c r="G280" s="712">
        <f t="shared" si="79"/>
        <v>329.2109754785651</v>
      </c>
      <c r="H280" s="719">
        <f t="shared" si="80"/>
        <v>299.16687085449877</v>
      </c>
      <c r="I280" s="712">
        <f t="shared" si="81"/>
        <v>298.95632617721992</v>
      </c>
      <c r="J280" s="712">
        <f t="shared" si="82"/>
        <v>298.81286193928872</v>
      </c>
      <c r="K280" s="712">
        <f t="shared" si="83"/>
        <v>298.72949565780112</v>
      </c>
      <c r="L280" s="712">
        <f t="shared" si="84"/>
        <v>298.70208336986599</v>
      </c>
      <c r="N280" s="582">
        <v>206</v>
      </c>
      <c r="O280" s="712">
        <f t="shared" si="85"/>
        <v>3.0581636188838672</v>
      </c>
      <c r="P280" s="712">
        <f t="shared" si="86"/>
        <v>586.47090277021937</v>
      </c>
      <c r="Q280" s="712">
        <f t="shared" si="87"/>
        <v>570.09697100486517</v>
      </c>
      <c r="R280" s="712">
        <f t="shared" si="88"/>
        <v>558.33811558460138</v>
      </c>
      <c r="S280" s="712">
        <f t="shared" si="89"/>
        <v>551.24496450584002</v>
      </c>
      <c r="T280" s="712">
        <f t="shared" si="90"/>
        <v>548.84764731639359</v>
      </c>
    </row>
    <row r="281" spans="2:20">
      <c r="B281" s="582">
        <v>207</v>
      </c>
      <c r="C281" s="712">
        <f t="shared" si="75"/>
        <v>3.0730090733444686</v>
      </c>
      <c r="D281" s="712">
        <f t="shared" si="76"/>
        <v>1392.6327753129476</v>
      </c>
      <c r="E281" s="712">
        <f t="shared" si="77"/>
        <v>753.50329238311986</v>
      </c>
      <c r="F281" s="712">
        <f t="shared" si="78"/>
        <v>436.09886538738363</v>
      </c>
      <c r="G281" s="712">
        <f t="shared" si="79"/>
        <v>329.56000661937207</v>
      </c>
      <c r="H281" s="719">
        <f t="shared" si="80"/>
        <v>299.18578930607953</v>
      </c>
      <c r="I281" s="712">
        <f t="shared" si="81"/>
        <v>298.97280299961818</v>
      </c>
      <c r="J281" s="712">
        <f t="shared" si="82"/>
        <v>298.82762366960009</v>
      </c>
      <c r="K281" s="712">
        <f t="shared" si="83"/>
        <v>298.74323951552185</v>
      </c>
      <c r="L281" s="712">
        <f t="shared" si="84"/>
        <v>298.71548841854712</v>
      </c>
      <c r="N281" s="582">
        <v>207</v>
      </c>
      <c r="O281" s="712">
        <f t="shared" si="85"/>
        <v>3.0730090733444686</v>
      </c>
      <c r="P281" s="712">
        <f t="shared" si="86"/>
        <v>587.587077934955</v>
      </c>
      <c r="Q281" s="712">
        <f t="shared" si="87"/>
        <v>571.23056216842633</v>
      </c>
      <c r="R281" s="712">
        <f t="shared" si="88"/>
        <v>559.48414239279123</v>
      </c>
      <c r="S281" s="712">
        <f t="shared" si="89"/>
        <v>552.39839196931882</v>
      </c>
      <c r="T281" s="712">
        <f t="shared" si="90"/>
        <v>550.00340793155578</v>
      </c>
    </row>
    <row r="282" spans="2:20">
      <c r="B282" s="582">
        <v>208</v>
      </c>
      <c r="C282" s="712">
        <f t="shared" si="75"/>
        <v>3.08785452780507</v>
      </c>
      <c r="D282" s="712">
        <f t="shared" si="76"/>
        <v>1393.097312667054</v>
      </c>
      <c r="E282" s="712">
        <f t="shared" si="77"/>
        <v>754.98328718909272</v>
      </c>
      <c r="F282" s="712">
        <f t="shared" si="78"/>
        <v>437.06888603072287</v>
      </c>
      <c r="G282" s="712">
        <f t="shared" si="79"/>
        <v>329.91037806751586</v>
      </c>
      <c r="H282" s="719">
        <f t="shared" si="80"/>
        <v>299.20489584037637</v>
      </c>
      <c r="I282" s="712">
        <f t="shared" si="81"/>
        <v>298.98945827974279</v>
      </c>
      <c r="J282" s="712">
        <f t="shared" si="82"/>
        <v>298.84255665641967</v>
      </c>
      <c r="K282" s="712">
        <f t="shared" si="83"/>
        <v>298.75715017014545</v>
      </c>
      <c r="L282" s="712">
        <f t="shared" si="84"/>
        <v>298.72905873689859</v>
      </c>
      <c r="N282" s="582">
        <v>208</v>
      </c>
      <c r="O282" s="712">
        <f t="shared" si="85"/>
        <v>3.08785452780507</v>
      </c>
      <c r="P282" s="712">
        <f t="shared" si="86"/>
        <v>588.70204858057753</v>
      </c>
      <c r="Q282" s="712">
        <f t="shared" si="87"/>
        <v>572.36293001841977</v>
      </c>
      <c r="R282" s="712">
        <f t="shared" si="88"/>
        <v>560.62893246750207</v>
      </c>
      <c r="S282" s="712">
        <f t="shared" si="89"/>
        <v>553.55057471291025</v>
      </c>
      <c r="T282" s="712">
        <f t="shared" si="90"/>
        <v>551.15792130901275</v>
      </c>
    </row>
    <row r="283" spans="2:20">
      <c r="B283" s="582">
        <v>209</v>
      </c>
      <c r="C283" s="712">
        <f t="shared" si="75"/>
        <v>3.1026999822656713</v>
      </c>
      <c r="D283" s="712">
        <f t="shared" si="76"/>
        <v>1393.5589814181319</v>
      </c>
      <c r="E283" s="712">
        <f t="shared" si="77"/>
        <v>756.45626472729407</v>
      </c>
      <c r="F283" s="712">
        <f t="shared" si="78"/>
        <v>438.03840214861242</v>
      </c>
      <c r="G283" s="712">
        <f t="shared" si="79"/>
        <v>330.26207613673142</v>
      </c>
      <c r="H283" s="719">
        <f t="shared" si="80"/>
        <v>299.22419094374635</v>
      </c>
      <c r="I283" s="712">
        <f t="shared" si="81"/>
        <v>299.00629261293955</v>
      </c>
      <c r="J283" s="712">
        <f t="shared" si="82"/>
        <v>298.85766157316385</v>
      </c>
      <c r="K283" s="712">
        <f t="shared" si="83"/>
        <v>298.77122834194427</v>
      </c>
      <c r="L283" s="712">
        <f t="shared" si="84"/>
        <v>298.7427950607302</v>
      </c>
      <c r="N283" s="582">
        <v>209</v>
      </c>
      <c r="O283" s="712">
        <f t="shared" si="85"/>
        <v>3.1026999822656713</v>
      </c>
      <c r="P283" s="712">
        <f t="shared" si="86"/>
        <v>589.81581600694221</v>
      </c>
      <c r="Q283" s="712">
        <f t="shared" si="87"/>
        <v>573.49407587498297</v>
      </c>
      <c r="R283" s="712">
        <f t="shared" si="88"/>
        <v>561.77248714335337</v>
      </c>
      <c r="S283" s="712">
        <f t="shared" si="89"/>
        <v>554.70151407985225</v>
      </c>
      <c r="T283" s="712">
        <f t="shared" si="90"/>
        <v>552.31118879471956</v>
      </c>
    </row>
    <row r="284" spans="2:20">
      <c r="B284" s="582">
        <v>210</v>
      </c>
      <c r="C284" s="712">
        <f t="shared" si="75"/>
        <v>3.1175454367262727</v>
      </c>
      <c r="D284" s="712">
        <f t="shared" si="76"/>
        <v>1394.0178188032439</v>
      </c>
      <c r="E284" s="712">
        <f t="shared" si="77"/>
        <v>757.92227404216953</v>
      </c>
      <c r="F284" s="712">
        <f t="shared" si="78"/>
        <v>439.00739220484502</v>
      </c>
      <c r="G284" s="712">
        <f t="shared" si="79"/>
        <v>330.61508716815598</v>
      </c>
      <c r="H284" s="719">
        <f t="shared" si="80"/>
        <v>299.24367509511399</v>
      </c>
      <c r="I284" s="712">
        <f t="shared" si="81"/>
        <v>299.02330658695979</v>
      </c>
      <c r="J284" s="712">
        <f t="shared" si="82"/>
        <v>298.87293908558183</v>
      </c>
      <c r="K284" s="712">
        <f t="shared" si="83"/>
        <v>298.78547474349801</v>
      </c>
      <c r="L284" s="712">
        <f t="shared" si="84"/>
        <v>298.7566981181547</v>
      </c>
      <c r="N284" s="582">
        <v>210</v>
      </c>
      <c r="O284" s="712">
        <f t="shared" si="85"/>
        <v>3.1175454367262727</v>
      </c>
      <c r="P284" s="712">
        <f t="shared" si="86"/>
        <v>590.92838151250191</v>
      </c>
      <c r="Q284" s="712">
        <f t="shared" si="87"/>
        <v>574.62400105682855</v>
      </c>
      <c r="R284" s="712">
        <f t="shared" si="88"/>
        <v>562.91480775352454</v>
      </c>
      <c r="S284" s="712">
        <f t="shared" si="89"/>
        <v>555.85121141193338</v>
      </c>
      <c r="T284" s="712">
        <f t="shared" si="90"/>
        <v>553.4632117331787</v>
      </c>
    </row>
    <row r="285" spans="2:20">
      <c r="B285" s="582">
        <v>211</v>
      </c>
      <c r="C285" s="712">
        <f t="shared" si="75"/>
        <v>3.1323908911868736</v>
      </c>
      <c r="D285" s="712">
        <f t="shared" si="76"/>
        <v>1394.4738611892421</v>
      </c>
      <c r="E285" s="712">
        <f t="shared" si="77"/>
        <v>759.38136379916477</v>
      </c>
      <c r="F285" s="712">
        <f t="shared" si="78"/>
        <v>439.97583502413482</v>
      </c>
      <c r="G285" s="712">
        <f t="shared" si="79"/>
        <v>330.96939753172592</v>
      </c>
      <c r="H285" s="719">
        <f t="shared" si="80"/>
        <v>299.26334876600572</v>
      </c>
      <c r="I285" s="712">
        <f t="shared" si="81"/>
        <v>299.04050078198247</v>
      </c>
      <c r="J285" s="712">
        <f t="shared" si="82"/>
        <v>298.88838985176727</v>
      </c>
      <c r="K285" s="712">
        <f t="shared" si="83"/>
        <v>298.7998900796988</v>
      </c>
      <c r="L285" s="712">
        <f t="shared" si="84"/>
        <v>298.77076862959029</v>
      </c>
      <c r="N285" s="582">
        <v>211</v>
      </c>
      <c r="O285" s="712">
        <f t="shared" si="85"/>
        <v>3.1323908911868736</v>
      </c>
      <c r="P285" s="712">
        <f t="shared" si="86"/>
        <v>592.03974639430783</v>
      </c>
      <c r="Q285" s="712">
        <f t="shared" si="87"/>
        <v>575.75270688124624</v>
      </c>
      <c r="R285" s="712">
        <f t="shared" si="88"/>
        <v>564.05589562975592</v>
      </c>
      <c r="S285" s="712">
        <f t="shared" si="89"/>
        <v>556.99966804949395</v>
      </c>
      <c r="T285" s="712">
        <f t="shared" si="90"/>
        <v>554.61399146744202</v>
      </c>
    </row>
    <row r="286" spans="2:20">
      <c r="B286" s="582">
        <v>212</v>
      </c>
      <c r="C286" s="712">
        <f t="shared" si="75"/>
        <v>3.147236345647475</v>
      </c>
      <c r="D286" s="712">
        <f t="shared" si="76"/>
        <v>1394.9271441001636</v>
      </c>
      <c r="E286" s="712">
        <f t="shared" si="77"/>
        <v>760.83358228586951</v>
      </c>
      <c r="F286" s="712">
        <f t="shared" si="78"/>
        <v>440.94370978718558</v>
      </c>
      <c r="G286" s="712">
        <f t="shared" si="79"/>
        <v>331.32499362753828</v>
      </c>
      <c r="H286" s="719">
        <f t="shared" si="80"/>
        <v>299.28321242058507</v>
      </c>
      <c r="I286" s="712">
        <f t="shared" si="81"/>
        <v>299.05787577063649</v>
      </c>
      <c r="J286" s="712">
        <f t="shared" si="82"/>
        <v>298.90401452217077</v>
      </c>
      <c r="K286" s="712">
        <f t="shared" si="83"/>
        <v>298.81447504775736</v>
      </c>
      <c r="L286" s="712">
        <f t="shared" si="84"/>
        <v>298.78500730776506</v>
      </c>
      <c r="N286" s="582">
        <v>212</v>
      </c>
      <c r="O286" s="712">
        <f t="shared" si="85"/>
        <v>3.147236345647475</v>
      </c>
      <c r="P286" s="712">
        <f t="shared" si="86"/>
        <v>593.14991194801178</v>
      </c>
      <c r="Q286" s="712">
        <f t="shared" si="87"/>
        <v>576.88019466410424</v>
      </c>
      <c r="R286" s="712">
        <f t="shared" si="88"/>
        <v>565.19575210235087</v>
      </c>
      <c r="S286" s="712">
        <f t="shared" si="89"/>
        <v>558.14688533142805</v>
      </c>
      <c r="T286" s="712">
        <f t="shared" si="90"/>
        <v>555.76352933911176</v>
      </c>
    </row>
    <row r="287" spans="2:20">
      <c r="B287" s="582">
        <v>213</v>
      </c>
      <c r="C287" s="712">
        <f t="shared" si="75"/>
        <v>3.1620818001080764</v>
      </c>
      <c r="D287" s="712">
        <f t="shared" si="76"/>
        <v>1395.3777022436623</v>
      </c>
      <c r="E287" s="712">
        <f t="shared" si="77"/>
        <v>762.27897741325398</v>
      </c>
      <c r="F287" s="712">
        <f t="shared" si="78"/>
        <v>441.91099602581608</v>
      </c>
      <c r="G287" s="712">
        <f t="shared" si="79"/>
        <v>331.68186188717669</v>
      </c>
      <c r="H287" s="719">
        <f t="shared" si="80"/>
        <v>299.30326651568782</v>
      </c>
      <c r="I287" s="712">
        <f t="shared" si="81"/>
        <v>299.07543211802374</v>
      </c>
      <c r="J287" s="712">
        <f t="shared" si="82"/>
        <v>298.9198137396134</v>
      </c>
      <c r="K287" s="712">
        <f t="shared" si="83"/>
        <v>298.82923033721039</v>
      </c>
      <c r="L287" s="712">
        <f t="shared" si="84"/>
        <v>298.79941485772162</v>
      </c>
      <c r="N287" s="582">
        <v>213</v>
      </c>
      <c r="O287" s="712">
        <f t="shared" si="85"/>
        <v>3.1620818001080764</v>
      </c>
      <c r="P287" s="712">
        <f t="shared" si="86"/>
        <v>594.25887946786725</v>
      </c>
      <c r="Q287" s="712">
        <f t="shared" si="87"/>
        <v>578.00646571985044</v>
      </c>
      <c r="R287" s="712">
        <f t="shared" si="88"/>
        <v>566.33437850017731</v>
      </c>
      <c r="S287" s="712">
        <f t="shared" si="89"/>
        <v>559.29286459518482</v>
      </c>
      <c r="T287" s="712">
        <f t="shared" si="90"/>
        <v>556.91182668834244</v>
      </c>
    </row>
    <row r="288" spans="2:20">
      <c r="B288" s="582">
        <v>214</v>
      </c>
      <c r="C288" s="712">
        <f t="shared" si="75"/>
        <v>3.1769272545686777</v>
      </c>
      <c r="D288" s="712">
        <f t="shared" si="76"/>
        <v>1395.8255695365151</v>
      </c>
      <c r="E288" s="712">
        <f t="shared" si="77"/>
        <v>763.71759671699408</v>
      </c>
      <c r="F288" s="712">
        <f t="shared" si="78"/>
        <v>442.87767361814218</v>
      </c>
      <c r="G288" s="712">
        <f t="shared" si="79"/>
        <v>332.03998877500345</v>
      </c>
      <c r="H288" s="719">
        <f t="shared" si="80"/>
        <v>299.32351150085782</v>
      </c>
      <c r="I288" s="712">
        <f t="shared" si="81"/>
        <v>299.09317038174299</v>
      </c>
      <c r="J288" s="712">
        <f t="shared" si="82"/>
        <v>298.93578813930077</v>
      </c>
      <c r="K288" s="712">
        <f t="shared" si="83"/>
        <v>298.84415662992859</v>
      </c>
      <c r="L288" s="712">
        <f t="shared" si="84"/>
        <v>298.81399197682362</v>
      </c>
      <c r="N288" s="582">
        <v>214</v>
      </c>
      <c r="O288" s="712">
        <f t="shared" si="85"/>
        <v>3.1769272545686777</v>
      </c>
      <c r="P288" s="712">
        <f t="shared" si="86"/>
        <v>595.36665024673096</v>
      </c>
      <c r="Q288" s="712">
        <f t="shared" si="87"/>
        <v>579.13152136151473</v>
      </c>
      <c r="R288" s="712">
        <f t="shared" si="88"/>
        <v>567.4717761506688</v>
      </c>
      <c r="S288" s="712">
        <f t="shared" si="89"/>
        <v>560.43760717677026</v>
      </c>
      <c r="T288" s="712">
        <f t="shared" si="90"/>
        <v>558.05888485384253</v>
      </c>
    </row>
    <row r="289" spans="2:20">
      <c r="B289" s="582">
        <v>215</v>
      </c>
      <c r="C289" s="712">
        <f t="shared" si="75"/>
        <v>3.1917727090292791</v>
      </c>
      <c r="D289" s="712">
        <f t="shared" si="76"/>
        <v>1396.2707791292357</v>
      </c>
      <c r="E289" s="712">
        <f t="shared" si="77"/>
        <v>765.1494873588789</v>
      </c>
      <c r="F289" s="712">
        <f t="shared" si="78"/>
        <v>443.84372278381483</v>
      </c>
      <c r="G289" s="712">
        <f t="shared" si="79"/>
        <v>332.3993607894173</v>
      </c>
      <c r="H289" s="719">
        <f t="shared" si="80"/>
        <v>299.34394781838296</v>
      </c>
      <c r="I289" s="712">
        <f t="shared" si="81"/>
        <v>299.11109111191411</v>
      </c>
      <c r="J289" s="712">
        <f t="shared" si="82"/>
        <v>298.95193834883855</v>
      </c>
      <c r="K289" s="712">
        <f t="shared" si="83"/>
        <v>298.85925460012589</v>
      </c>
      <c r="L289" s="712">
        <f t="shared" si="84"/>
        <v>298.82873935476283</v>
      </c>
      <c r="N289" s="582">
        <v>215</v>
      </c>
      <c r="O289" s="712">
        <f t="shared" si="85"/>
        <v>3.1917727090292791</v>
      </c>
      <c r="P289" s="712">
        <f t="shared" si="86"/>
        <v>596.47322557606481</v>
      </c>
      <c r="Q289" s="712">
        <f t="shared" si="87"/>
        <v>580.25536290070966</v>
      </c>
      <c r="R289" s="712">
        <f t="shared" si="88"/>
        <v>568.60794637982667</v>
      </c>
      <c r="S289" s="712">
        <f t="shared" si="89"/>
        <v>561.58111441074823</v>
      </c>
      <c r="T289" s="712">
        <f t="shared" si="90"/>
        <v>559.20470517287572</v>
      </c>
    </row>
    <row r="290" spans="2:20">
      <c r="B290" s="582">
        <v>216</v>
      </c>
      <c r="C290" s="712">
        <f t="shared" si="75"/>
        <v>3.2066181634898805</v>
      </c>
      <c r="D290" s="712">
        <f t="shared" si="76"/>
        <v>1396.7133634298266</v>
      </c>
      <c r="E290" s="712">
        <f t="shared" si="77"/>
        <v>766.57469612829698</v>
      </c>
      <c r="F290" s="712">
        <f t="shared" si="78"/>
        <v>444.80912407931481</v>
      </c>
      <c r="G290" s="712">
        <f t="shared" si="79"/>
        <v>332.759964464078</v>
      </c>
      <c r="H290" s="719">
        <f t="shared" si="80"/>
        <v>299.36457590333123</v>
      </c>
      <c r="I290" s="712">
        <f t="shared" si="81"/>
        <v>299.12919485120312</v>
      </c>
      <c r="J290" s="712">
        <f t="shared" si="82"/>
        <v>298.96826498824782</v>
      </c>
      <c r="K290" s="712">
        <f t="shared" si="83"/>
        <v>298.87452491436977</v>
      </c>
      <c r="L290" s="712">
        <f t="shared" si="84"/>
        <v>298.84365767356707</v>
      </c>
      <c r="N290" s="582">
        <v>216</v>
      </c>
      <c r="O290" s="712">
        <f t="shared" si="85"/>
        <v>3.2066181634898805</v>
      </c>
      <c r="P290" s="712">
        <f t="shared" si="86"/>
        <v>597.57860674593655</v>
      </c>
      <c r="Q290" s="712">
        <f t="shared" si="87"/>
        <v>581.3779916476326</v>
      </c>
      <c r="R290" s="712">
        <f t="shared" si="88"/>
        <v>569.74289051222127</v>
      </c>
      <c r="S290" s="712">
        <f t="shared" si="89"/>
        <v>562.72338763024277</v>
      </c>
      <c r="T290" s="712">
        <f t="shared" si="90"/>
        <v>560.34928898126236</v>
      </c>
    </row>
    <row r="291" spans="2:20">
      <c r="B291" s="582">
        <v>217</v>
      </c>
      <c r="C291" s="712">
        <f t="shared" si="75"/>
        <v>3.2214636179504814</v>
      </c>
      <c r="D291" s="712">
        <f t="shared" si="76"/>
        <v>1397.1533541267024</v>
      </c>
      <c r="E291" s="712">
        <f t="shared" si="77"/>
        <v>767.99326944379607</v>
      </c>
      <c r="F291" s="712">
        <f t="shared" si="78"/>
        <v>445.77385839330248</v>
      </c>
      <c r="G291" s="712">
        <f t="shared" si="79"/>
        <v>333.12178636909823</v>
      </c>
      <c r="H291" s="719">
        <f t="shared" si="80"/>
        <v>299.38539618358755</v>
      </c>
      <c r="I291" s="712">
        <f t="shared" si="81"/>
        <v>299.14748213484745</v>
      </c>
      <c r="J291" s="712">
        <f t="shared" si="82"/>
        <v>298.98476866998226</v>
      </c>
      <c r="K291" s="712">
        <f t="shared" si="83"/>
        <v>298.88996823159209</v>
      </c>
      <c r="L291" s="712">
        <f t="shared" si="84"/>
        <v>298.85874760760953</v>
      </c>
      <c r="N291" s="582">
        <v>217</v>
      </c>
      <c r="O291" s="712">
        <f t="shared" si="85"/>
        <v>3.2214636179504814</v>
      </c>
      <c r="P291" s="712">
        <f t="shared" si="86"/>
        <v>598.68279504502209</v>
      </c>
      <c r="Q291" s="712">
        <f t="shared" si="87"/>
        <v>582.49940891106667</v>
      </c>
      <c r="R291" s="712">
        <f t="shared" si="88"/>
        <v>570.87660987099343</v>
      </c>
      <c r="S291" s="712">
        <f t="shared" si="89"/>
        <v>563.86442816693921</v>
      </c>
      <c r="T291" s="712">
        <f t="shared" si="90"/>
        <v>561.49263761338159</v>
      </c>
    </row>
    <row r="292" spans="2:20">
      <c r="B292" s="582">
        <v>218</v>
      </c>
      <c r="C292" s="712">
        <f t="shared" si="75"/>
        <v>3.2363090724110828</v>
      </c>
      <c r="D292" s="712">
        <f t="shared" si="76"/>
        <v>1397.5907822108147</v>
      </c>
      <c r="E292" s="712">
        <f t="shared" si="77"/>
        <v>769.40525335471307</v>
      </c>
      <c r="F292" s="712">
        <f t="shared" si="78"/>
        <v>446.73790694202353</v>
      </c>
      <c r="G292" s="712">
        <f t="shared" si="79"/>
        <v>333.48481311220343</v>
      </c>
      <c r="H292" s="719">
        <f t="shared" si="80"/>
        <v>299.40640907989035</v>
      </c>
      <c r="I292" s="712">
        <f t="shared" si="81"/>
        <v>299.16595349068234</v>
      </c>
      <c r="J292" s="712">
        <f t="shared" si="82"/>
        <v>299.00144999894553</v>
      </c>
      <c r="K292" s="712">
        <f t="shared" si="83"/>
        <v>298.90558520310117</v>
      </c>
      <c r="L292" s="712">
        <f t="shared" si="84"/>
        <v>298.87400982361879</v>
      </c>
      <c r="N292" s="582">
        <v>218</v>
      </c>
      <c r="O292" s="712">
        <f t="shared" si="85"/>
        <v>3.2363090724110828</v>
      </c>
      <c r="P292" s="712">
        <f t="shared" si="86"/>
        <v>599.78579176060623</v>
      </c>
      <c r="Q292" s="712">
        <f t="shared" si="87"/>
        <v>583.61961599838298</v>
      </c>
      <c r="R292" s="712">
        <f t="shared" si="88"/>
        <v>572.00910577785612</v>
      </c>
      <c r="S292" s="712">
        <f t="shared" si="89"/>
        <v>565.00423735108552</v>
      </c>
      <c r="T292" s="712">
        <f t="shared" si="90"/>
        <v>562.63475240217235</v>
      </c>
    </row>
    <row r="293" spans="2:20">
      <c r="B293" s="582">
        <v>219</v>
      </c>
      <c r="C293" s="712">
        <f t="shared" si="75"/>
        <v>3.2511545268716842</v>
      </c>
      <c r="D293" s="712">
        <f t="shared" si="76"/>
        <v>1398.025677997005</v>
      </c>
      <c r="E293" s="712">
        <f t="shared" si="77"/>
        <v>770.8106935428691</v>
      </c>
      <c r="F293" s="712">
        <f t="shared" si="78"/>
        <v>447.70125126476984</v>
      </c>
      <c r="G293" s="712">
        <f t="shared" si="79"/>
        <v>333.84903133985938</v>
      </c>
      <c r="H293" s="719">
        <f t="shared" si="80"/>
        <v>299.42761500586892</v>
      </c>
      <c r="I293" s="712">
        <f t="shared" si="81"/>
        <v>299.18460943916716</v>
      </c>
      <c r="J293" s="712">
        <f t="shared" si="82"/>
        <v>299.01830957250922</v>
      </c>
      <c r="K293" s="712">
        <f t="shared" si="83"/>
        <v>298.92137647259472</v>
      </c>
      <c r="L293" s="712">
        <f t="shared" si="84"/>
        <v>298.8894449806898</v>
      </c>
      <c r="N293" s="582">
        <v>219</v>
      </c>
      <c r="O293" s="712">
        <f t="shared" si="85"/>
        <v>3.2511545268716842</v>
      </c>
      <c r="P293" s="712">
        <f t="shared" si="86"/>
        <v>600.88759817858511</v>
      </c>
      <c r="Q293" s="712">
        <f t="shared" si="87"/>
        <v>584.7386142155417</v>
      </c>
      <c r="R293" s="712">
        <f t="shared" si="88"/>
        <v>573.14037955309595</v>
      </c>
      <c r="S293" s="712">
        <f t="shared" si="89"/>
        <v>566.14281651149463</v>
      </c>
      <c r="T293" s="712">
        <f t="shared" si="90"/>
        <v>563.77563467913524</v>
      </c>
    </row>
    <row r="294" spans="2:20">
      <c r="B294" s="582">
        <v>220</v>
      </c>
      <c r="C294" s="712">
        <f t="shared" si="75"/>
        <v>3.2659999813322855</v>
      </c>
      <c r="D294" s="712">
        <f t="shared" si="76"/>
        <v>1398.4580711446181</v>
      </c>
      <c r="E294" s="712">
        <f t="shared" si="77"/>
        <v>772.20963532432711</v>
      </c>
      <c r="F294" s="712">
        <f t="shared" si="78"/>
        <v>448.66387321939459</v>
      </c>
      <c r="G294" s="712">
        <f t="shared" si="79"/>
        <v>334.21442773836952</v>
      </c>
      <c r="H294" s="719">
        <f t="shared" si="80"/>
        <v>299.44901436808038</v>
      </c>
      <c r="I294" s="712">
        <f t="shared" si="81"/>
        <v>299.20345049341256</v>
      </c>
      <c r="J294" s="712">
        <f t="shared" si="82"/>
        <v>299.03534798053226</v>
      </c>
      <c r="K294" s="712">
        <f t="shared" si="83"/>
        <v>298.93734267617344</v>
      </c>
      <c r="L294" s="712">
        <f t="shared" si="84"/>
        <v>298.905053730296</v>
      </c>
      <c r="N294" s="582">
        <v>220</v>
      </c>
      <c r="O294" s="712">
        <f t="shared" si="85"/>
        <v>3.2659999813322855</v>
      </c>
      <c r="P294" s="712">
        <f t="shared" si="86"/>
        <v>601.98821558346708</v>
      </c>
      <c r="Q294" s="712">
        <f t="shared" si="87"/>
        <v>585.85640486709349</v>
      </c>
      <c r="R294" s="712">
        <f t="shared" si="88"/>
        <v>574.27043251557495</v>
      </c>
      <c r="S294" s="712">
        <f t="shared" si="89"/>
        <v>567.28016697554506</v>
      </c>
      <c r="T294" s="712">
        <f t="shared" si="90"/>
        <v>564.91528577433405</v>
      </c>
    </row>
    <row r="295" spans="2:20">
      <c r="B295" s="582">
        <v>221</v>
      </c>
      <c r="C295" s="712">
        <f t="shared" si="75"/>
        <v>3.2808454357928869</v>
      </c>
      <c r="D295" s="712">
        <f t="shared" si="76"/>
        <v>1398.8879906773977</v>
      </c>
      <c r="E295" s="712">
        <f t="shared" si="77"/>
        <v>773.6021236512064</v>
      </c>
      <c r="F295" s="712">
        <f t="shared" si="78"/>
        <v>449.62575497788231</v>
      </c>
      <c r="G295" s="712">
        <f t="shared" si="79"/>
        <v>334.58098903494135</v>
      </c>
      <c r="H295" s="719">
        <f t="shared" si="80"/>
        <v>299.47060756604753</v>
      </c>
      <c r="I295" s="712">
        <f t="shared" si="81"/>
        <v>299.22247715920832</v>
      </c>
      <c r="J295" s="712">
        <f t="shared" si="82"/>
        <v>299.05256580538037</v>
      </c>
      <c r="K295" s="712">
        <f t="shared" si="83"/>
        <v>298.95348444235572</v>
      </c>
      <c r="L295" s="712">
        <f t="shared" si="84"/>
        <v>298.92083671630184</v>
      </c>
      <c r="N295" s="582">
        <v>221</v>
      </c>
      <c r="O295" s="712">
        <f t="shared" si="85"/>
        <v>3.2808454357928869</v>
      </c>
      <c r="P295" s="712">
        <f t="shared" si="86"/>
        <v>603.0876452583741</v>
      </c>
      <c r="Q295" s="712">
        <f t="shared" si="87"/>
        <v>586.97298925618156</v>
      </c>
      <c r="R295" s="712">
        <f t="shared" si="88"/>
        <v>575.39926598273178</v>
      </c>
      <c r="S295" s="712">
        <f t="shared" si="89"/>
        <v>568.41629006918311</v>
      </c>
      <c r="T295" s="712">
        <f t="shared" si="90"/>
        <v>566.05370701639697</v>
      </c>
    </row>
    <row r="296" spans="2:20">
      <c r="B296" s="582">
        <v>222</v>
      </c>
      <c r="C296" s="712">
        <f t="shared" si="75"/>
        <v>3.2956908902534883</v>
      </c>
      <c r="D296" s="712">
        <f t="shared" si="76"/>
        <v>1399.3154650026938</v>
      </c>
      <c r="E296" s="712">
        <f t="shared" si="77"/>
        <v>774.98820311355303</v>
      </c>
      <c r="F296" s="712">
        <f t="shared" si="78"/>
        <v>450.58687902197261</v>
      </c>
      <c r="G296" s="712">
        <f t="shared" si="79"/>
        <v>334.9487019987227</v>
      </c>
      <c r="H296" s="719">
        <f t="shared" si="80"/>
        <v>299.49239499229668</v>
      </c>
      <c r="I296" s="712">
        <f t="shared" si="81"/>
        <v>299.24168993505111</v>
      </c>
      <c r="J296" s="712">
        <f t="shared" si="82"/>
        <v>299.06996362194633</v>
      </c>
      <c r="K296" s="712">
        <f t="shared" si="83"/>
        <v>298.96980239209307</v>
      </c>
      <c r="L296" s="712">
        <f t="shared" si="84"/>
        <v>298.9367945749766</v>
      </c>
      <c r="N296" s="582">
        <v>222</v>
      </c>
      <c r="O296" s="712">
        <f t="shared" si="85"/>
        <v>3.2956908902534883</v>
      </c>
      <c r="P296" s="712">
        <f t="shared" si="86"/>
        <v>604.18588848504362</v>
      </c>
      <c r="Q296" s="712">
        <f t="shared" si="87"/>
        <v>588.0883686845425</v>
      </c>
      <c r="R296" s="712">
        <f t="shared" si="88"/>
        <v>576.52688127058332</v>
      </c>
      <c r="S296" s="712">
        <f t="shared" si="89"/>
        <v>569.55118711692398</v>
      </c>
      <c r="T296" s="712">
        <f t="shared" si="90"/>
        <v>567.19089973251869</v>
      </c>
    </row>
    <row r="297" spans="2:20">
      <c r="B297" s="582">
        <v>223</v>
      </c>
      <c r="C297" s="712">
        <f t="shared" si="75"/>
        <v>3.3105363447140892</v>
      </c>
      <c r="D297" s="712">
        <f t="shared" si="76"/>
        <v>1399.7405219300058</v>
      </c>
      <c r="E297" s="712">
        <f t="shared" si="77"/>
        <v>776.36791794125952</v>
      </c>
      <c r="F297" s="712">
        <f t="shared" si="78"/>
        <v>451.54722813883768</v>
      </c>
      <c r="G297" s="712">
        <f t="shared" si="79"/>
        <v>335.31755344180829</v>
      </c>
      <c r="H297" s="719">
        <f t="shared" si="80"/>
        <v>299.51437703239532</v>
      </c>
      <c r="I297" s="712">
        <f t="shared" si="81"/>
        <v>299.26108931217357</v>
      </c>
      <c r="J297" s="712">
        <f t="shared" si="82"/>
        <v>299.08754199767134</v>
      </c>
      <c r="K297" s="712">
        <f t="shared" si="83"/>
        <v>298.98629713878614</v>
      </c>
      <c r="L297" s="712">
        <f t="shared" si="84"/>
        <v>298.95292793500909</v>
      </c>
      <c r="N297" s="582">
        <v>223</v>
      </c>
      <c r="O297" s="712">
        <f t="shared" si="85"/>
        <v>3.3105363447140892</v>
      </c>
      <c r="P297" s="712">
        <f t="shared" si="86"/>
        <v>605.28294654382978</v>
      </c>
      <c r="Q297" s="712">
        <f t="shared" si="87"/>
        <v>589.20254445250816</v>
      </c>
      <c r="R297" s="712">
        <f t="shared" si="88"/>
        <v>577.65327969372629</v>
      </c>
      <c r="S297" s="712">
        <f t="shared" si="89"/>
        <v>570.68485944185375</v>
      </c>
      <c r="T297" s="712">
        <f t="shared" si="90"/>
        <v>568.32686524846144</v>
      </c>
    </row>
    <row r="298" spans="2:20">
      <c r="B298" s="582">
        <v>224</v>
      </c>
      <c r="C298" s="712">
        <f t="shared" si="75"/>
        <v>3.3253817991746906</v>
      </c>
      <c r="D298" s="712">
        <f t="shared" si="76"/>
        <v>1400.1631886888847</v>
      </c>
      <c r="E298" s="712">
        <f t="shared" si="77"/>
        <v>777.74131200603358</v>
      </c>
      <c r="F298" s="712">
        <f t="shared" si="78"/>
        <v>452.50678541681305</v>
      </c>
      <c r="G298" s="712">
        <f t="shared" si="79"/>
        <v>335.68753022021826</v>
      </c>
      <c r="H298" s="719">
        <f t="shared" si="80"/>
        <v>299.53655406499081</v>
      </c>
      <c r="I298" s="712">
        <f t="shared" si="81"/>
        <v>299.28067577457279</v>
      </c>
      <c r="J298" s="712">
        <f t="shared" si="82"/>
        <v>299.10530149256647</v>
      </c>
      <c r="K298" s="712">
        <f t="shared" si="83"/>
        <v>299.00296928830181</v>
      </c>
      <c r="L298" s="712">
        <f t="shared" si="84"/>
        <v>298.96923741752266</v>
      </c>
      <c r="N298" s="582">
        <v>224</v>
      </c>
      <c r="O298" s="712">
        <f t="shared" si="85"/>
        <v>3.3253817991746906</v>
      </c>
      <c r="P298" s="712">
        <f t="shared" si="86"/>
        <v>606.37882071370507</v>
      </c>
      <c r="Q298" s="712">
        <f t="shared" si="87"/>
        <v>590.3155178590074</v>
      </c>
      <c r="R298" s="712">
        <f t="shared" si="88"/>
        <v>578.77846256533894</v>
      </c>
      <c r="S298" s="712">
        <f t="shared" si="89"/>
        <v>571.81730836563054</v>
      </c>
      <c r="T298" s="712">
        <f t="shared" si="90"/>
        <v>569.46160488855685</v>
      </c>
    </row>
    <row r="299" spans="2:20">
      <c r="B299" s="582">
        <v>225</v>
      </c>
      <c r="C299" s="712">
        <f t="shared" si="75"/>
        <v>3.3402272536352919</v>
      </c>
      <c r="D299" s="712">
        <f t="shared" si="76"/>
        <v>1400.5834919462186</v>
      </c>
      <c r="E299" s="712">
        <f t="shared" si="77"/>
        <v>779.10842882341171</v>
      </c>
      <c r="F299" s="712">
        <f t="shared" si="78"/>
        <v>453.46553424118099</v>
      </c>
      <c r="G299" s="712">
        <f t="shared" si="79"/>
        <v>336.05861923484713</v>
      </c>
      <c r="H299" s="719">
        <f t="shared" si="80"/>
        <v>299.55892646184833</v>
      </c>
      <c r="I299" s="712">
        <f t="shared" si="81"/>
        <v>299.30044979904022</v>
      </c>
      <c r="J299" s="712">
        <f t="shared" si="82"/>
        <v>299.12324265923519</v>
      </c>
      <c r="K299" s="712">
        <f t="shared" si="83"/>
        <v>299.01981943899091</v>
      </c>
      <c r="L299" s="712">
        <f t="shared" si="84"/>
        <v>298.98572363609156</v>
      </c>
      <c r="N299" s="582">
        <v>225</v>
      </c>
      <c r="O299" s="712">
        <f t="shared" si="85"/>
        <v>3.3402272536352919</v>
      </c>
      <c r="P299" s="712">
        <f t="shared" si="86"/>
        <v>607.47351227226193</v>
      </c>
      <c r="Q299" s="712">
        <f t="shared" si="87"/>
        <v>591.42729020156719</v>
      </c>
      <c r="R299" s="712">
        <f t="shared" si="88"/>
        <v>579.90243119718218</v>
      </c>
      <c r="S299" s="712">
        <f t="shared" si="89"/>
        <v>572.94853520848642</v>
      </c>
      <c r="T299" s="712">
        <f t="shared" si="90"/>
        <v>570.59511997570735</v>
      </c>
    </row>
    <row r="300" spans="2:20">
      <c r="B300" s="582">
        <v>226</v>
      </c>
      <c r="C300" s="712">
        <f t="shared" si="75"/>
        <v>3.3550727080958933</v>
      </c>
      <c r="D300" s="712">
        <f t="shared" si="76"/>
        <v>1401.0014578229229</v>
      </c>
      <c r="E300" s="712">
        <f t="shared" si="77"/>
        <v>780.46931155481275</v>
      </c>
      <c r="F300" s="712">
        <f t="shared" si="78"/>
        <v>454.42345829000647</v>
      </c>
      <c r="G300" s="712">
        <f t="shared" si="79"/>
        <v>336.43080743238545</v>
      </c>
      <c r="H300" s="719">
        <f t="shared" si="80"/>
        <v>299.58149458788978</v>
      </c>
      <c r="I300" s="712">
        <f t="shared" si="81"/>
        <v>299.32041185519154</v>
      </c>
      <c r="J300" s="712">
        <f t="shared" si="82"/>
        <v>299.14136604289621</v>
      </c>
      <c r="K300" s="712">
        <f t="shared" si="83"/>
        <v>299.03684818170677</v>
      </c>
      <c r="L300" s="712">
        <f t="shared" si="84"/>
        <v>299.00238719675775</v>
      </c>
      <c r="N300" s="582">
        <v>226</v>
      </c>
      <c r="O300" s="712">
        <f t="shared" si="85"/>
        <v>3.3550727080958933</v>
      </c>
      <c r="P300" s="712">
        <f t="shared" si="86"/>
        <v>608.56702249571401</v>
      </c>
      <c r="Q300" s="712">
        <f t="shared" si="87"/>
        <v>592.53786277631411</v>
      </c>
      <c r="R300" s="712">
        <f t="shared" si="88"/>
        <v>581.02518689960141</v>
      </c>
      <c r="S300" s="712">
        <f t="shared" si="89"/>
        <v>574.07854128922838</v>
      </c>
      <c r="T300" s="712">
        <f t="shared" si="90"/>
        <v>571.72741183138805</v>
      </c>
    </row>
    <row r="301" spans="2:20">
      <c r="B301" s="582">
        <v>227</v>
      </c>
      <c r="C301" s="712">
        <f t="shared" si="75"/>
        <v>3.3699181625564947</v>
      </c>
      <c r="D301" s="712">
        <f t="shared" si="76"/>
        <v>1401.4171119100579</v>
      </c>
      <c r="E301" s="712">
        <f t="shared" si="77"/>
        <v>781.82400300963172</v>
      </c>
      <c r="F301" s="712">
        <f t="shared" si="78"/>
        <v>455.38054153002537</v>
      </c>
      <c r="G301" s="712">
        <f t="shared" si="79"/>
        <v>336.8040818062139</v>
      </c>
      <c r="H301" s="719">
        <f t="shared" si="80"/>
        <v>299.60425880123245</v>
      </c>
      <c r="I301" s="712">
        <f t="shared" si="81"/>
        <v>299.34056240549688</v>
      </c>
      <c r="J301" s="712">
        <f t="shared" si="82"/>
        <v>299.15967218140719</v>
      </c>
      <c r="K301" s="712">
        <f t="shared" si="83"/>
        <v>299.05405609982438</v>
      </c>
      <c r="L301" s="712">
        <f t="shared" si="84"/>
        <v>299.01922869804878</v>
      </c>
      <c r="N301" s="582">
        <v>227</v>
      </c>
      <c r="O301" s="712">
        <f t="shared" si="85"/>
        <v>3.3699181625564947</v>
      </c>
      <c r="P301" s="712">
        <f t="shared" si="86"/>
        <v>609.65935265889755</v>
      </c>
      <c r="Q301" s="712">
        <f t="shared" si="87"/>
        <v>593.64723687797641</v>
      </c>
      <c r="R301" s="712">
        <f t="shared" si="88"/>
        <v>582.14673098152809</v>
      </c>
      <c r="S301" s="712">
        <f t="shared" si="89"/>
        <v>575.20732792524052</v>
      </c>
      <c r="T301" s="712">
        <f t="shared" si="90"/>
        <v>572.85848177564753</v>
      </c>
    </row>
    <row r="302" spans="2:20">
      <c r="B302" s="582">
        <v>228</v>
      </c>
      <c r="C302" s="712">
        <f t="shared" si="75"/>
        <v>3.384763617017096</v>
      </c>
      <c r="D302" s="712">
        <f t="shared" si="76"/>
        <v>1401.8304792843919</v>
      </c>
      <c r="E302" s="712">
        <f t="shared" si="77"/>
        <v>783.17254564736913</v>
      </c>
      <c r="F302" s="712">
        <f t="shared" si="78"/>
        <v>456.33676821258359</v>
      </c>
      <c r="G302" s="712">
        <f t="shared" si="79"/>
        <v>337.17842939727029</v>
      </c>
      <c r="H302" s="719">
        <f t="shared" si="80"/>
        <v>299.62721945322795</v>
      </c>
      <c r="I302" s="712">
        <f t="shared" si="81"/>
        <v>299.36090190531166</v>
      </c>
      <c r="J302" s="712">
        <f t="shared" si="82"/>
        <v>299.17816160528884</v>
      </c>
      <c r="K302" s="712">
        <f t="shared" si="83"/>
        <v>299.07144376926021</v>
      </c>
      <c r="L302" s="712">
        <f t="shared" si="84"/>
        <v>299.03624873099602</v>
      </c>
      <c r="N302" s="582">
        <v>228</v>
      </c>
      <c r="O302" s="712">
        <f t="shared" si="85"/>
        <v>3.384763617017096</v>
      </c>
      <c r="P302" s="712">
        <f t="shared" si="86"/>
        <v>610.75050403527337</v>
      </c>
      <c r="Q302" s="712">
        <f t="shared" si="87"/>
        <v>594.75541379988476</v>
      </c>
      <c r="R302" s="712">
        <f t="shared" si="88"/>
        <v>583.26706475048093</v>
      </c>
      <c r="S302" s="712">
        <f t="shared" si="89"/>
        <v>576.33489643248527</v>
      </c>
      <c r="T302" s="712">
        <f t="shared" si="90"/>
        <v>573.98833112711009</v>
      </c>
    </row>
    <row r="303" spans="2:20">
      <c r="B303" s="582">
        <v>229</v>
      </c>
      <c r="C303" s="712">
        <f t="shared" si="75"/>
        <v>3.399609071477697</v>
      </c>
      <c r="D303" s="712">
        <f t="shared" si="76"/>
        <v>1402.2415845234336</v>
      </c>
      <c r="E303" s="712">
        <f t="shared" si="77"/>
        <v>784.51498157979336</v>
      </c>
      <c r="F303" s="712">
        <f t="shared" si="78"/>
        <v>457.2921228696282</v>
      </c>
      <c r="G303" s="712">
        <f t="shared" si="79"/>
        <v>337.55383729489012</v>
      </c>
      <c r="H303" s="719">
        <f t="shared" si="80"/>
        <v>299.65037688850128</v>
      </c>
      <c r="I303" s="712">
        <f t="shared" si="81"/>
        <v>299.38143080290786</v>
      </c>
      <c r="J303" s="712">
        <f t="shared" si="82"/>
        <v>299.19683483774963</v>
      </c>
      <c r="K303" s="712">
        <f t="shared" si="83"/>
        <v>299.08901175849303</v>
      </c>
      <c r="L303" s="712">
        <f t="shared" si="84"/>
        <v>299.05344787915385</v>
      </c>
      <c r="N303" s="582">
        <v>229</v>
      </c>
      <c r="O303" s="712">
        <f t="shared" si="85"/>
        <v>3.399609071477697</v>
      </c>
      <c r="P303" s="712">
        <f t="shared" si="86"/>
        <v>611.84047789692761</v>
      </c>
      <c r="Q303" s="712">
        <f t="shared" si="87"/>
        <v>595.86239483397424</v>
      </c>
      <c r="R303" s="712">
        <f t="shared" si="88"/>
        <v>584.38618951256785</v>
      </c>
      <c r="S303" s="712">
        <f t="shared" si="89"/>
        <v>577.46124812550465</v>
      </c>
      <c r="T303" s="712">
        <f t="shared" si="90"/>
        <v>575.11696120297711</v>
      </c>
    </row>
    <row r="304" spans="2:20">
      <c r="B304" s="582">
        <v>230</v>
      </c>
      <c r="C304" s="712">
        <f t="shared" si="75"/>
        <v>3.4144545259382983</v>
      </c>
      <c r="D304" s="712">
        <f t="shared" si="76"/>
        <v>1402.6504517199505</v>
      </c>
      <c r="E304" s="712">
        <f t="shared" si="77"/>
        <v>785.85135257313391</v>
      </c>
      <c r="F304" s="712">
        <f t="shared" si="78"/>
        <v>458.24659030974834</v>
      </c>
      <c r="G304" s="712">
        <f t="shared" si="79"/>
        <v>337.93029263762122</v>
      </c>
      <c r="H304" s="719">
        <f t="shared" si="80"/>
        <v>299.67373144499015</v>
      </c>
      <c r="I304" s="712">
        <f t="shared" si="81"/>
        <v>299.40214953950527</v>
      </c>
      <c r="J304" s="712">
        <f t="shared" si="82"/>
        <v>299.21569239471114</v>
      </c>
      <c r="K304" s="712">
        <f t="shared" si="83"/>
        <v>299.10676062858477</v>
      </c>
      <c r="L304" s="712">
        <f t="shared" si="84"/>
        <v>299.07082671861968</v>
      </c>
      <c r="N304" s="582">
        <v>230</v>
      </c>
      <c r="O304" s="712">
        <f t="shared" si="85"/>
        <v>3.4144545259382983</v>
      </c>
      <c r="P304" s="712">
        <f t="shared" si="86"/>
        <v>612.92927551457421</v>
      </c>
      <c r="Q304" s="712">
        <f t="shared" si="87"/>
        <v>596.96818127078586</v>
      </c>
      <c r="R304" s="712">
        <f t="shared" si="88"/>
        <v>585.50410657248722</v>
      </c>
      <c r="S304" s="712">
        <f t="shared" si="89"/>
        <v>578.58638431742247</v>
      </c>
      <c r="T304" s="712">
        <f t="shared" si="90"/>
        <v>576.24437331902823</v>
      </c>
    </row>
    <row r="305" spans="2:20">
      <c r="B305" s="582">
        <v>231</v>
      </c>
      <c r="C305" s="712">
        <f t="shared" si="75"/>
        <v>3.4292999803988997</v>
      </c>
      <c r="D305" s="712">
        <f t="shared" si="76"/>
        <v>1403.0571044959909</v>
      </c>
      <c r="E305" s="712">
        <f t="shared" si="77"/>
        <v>787.18170005030368</v>
      </c>
      <c r="F305" s="712">
        <f t="shared" si="78"/>
        <v>459.2001556142672</v>
      </c>
      <c r="G305" s="712">
        <f t="shared" si="79"/>
        <v>338.30778261401281</v>
      </c>
      <c r="H305" s="719">
        <f t="shared" si="80"/>
        <v>299.69728345398426</v>
      </c>
      <c r="I305" s="712">
        <f t="shared" si="81"/>
        <v>299.42305854930356</v>
      </c>
      <c r="J305" s="712">
        <f t="shared" si="82"/>
        <v>299.2347347848339</v>
      </c>
      <c r="K305" s="712">
        <f t="shared" si="83"/>
        <v>299.12469093320294</v>
      </c>
      <c r="L305" s="712">
        <f t="shared" si="84"/>
        <v>299.08838581805435</v>
      </c>
      <c r="N305" s="582">
        <v>231</v>
      </c>
      <c r="O305" s="712">
        <f t="shared" si="85"/>
        <v>3.4292999803988997</v>
      </c>
      <c r="P305" s="712">
        <f t="shared" si="86"/>
        <v>614.01689815755526</v>
      </c>
      <c r="Q305" s="712">
        <f t="shared" si="87"/>
        <v>598.07277439946779</v>
      </c>
      <c r="R305" s="712">
        <f t="shared" si="88"/>
        <v>586.62081723352912</v>
      </c>
      <c r="S305" s="712">
        <f t="shared" si="89"/>
        <v>579.71030631994518</v>
      </c>
      <c r="T305" s="712">
        <f t="shared" si="90"/>
        <v>577.37056878962335</v>
      </c>
    </row>
    <row r="306" spans="2:20">
      <c r="B306" s="582">
        <v>232</v>
      </c>
      <c r="C306" s="712">
        <f t="shared" si="75"/>
        <v>3.4441454348595011</v>
      </c>
      <c r="D306" s="712">
        <f t="shared" si="76"/>
        <v>1403.4615660164302</v>
      </c>
      <c r="E306" s="712">
        <f t="shared" si="77"/>
        <v>788.5060650931465</v>
      </c>
      <c r="F306" s="712">
        <f t="shared" si="78"/>
        <v>460.15280413338337</v>
      </c>
      <c r="G306" s="712">
        <f t="shared" si="79"/>
        <v>338.68629446337962</v>
      </c>
      <c r="H306" s="719">
        <f t="shared" si="80"/>
        <v>299.72103324016473</v>
      </c>
      <c r="I306" s="712">
        <f t="shared" si="81"/>
        <v>299.44415825951455</v>
      </c>
      <c r="J306" s="712">
        <f t="shared" si="82"/>
        <v>299.25396250954373</v>
      </c>
      <c r="K306" s="712">
        <f t="shared" si="83"/>
        <v>299.14280321864271</v>
      </c>
      <c r="L306" s="712">
        <f t="shared" si="84"/>
        <v>299.10612573870327</v>
      </c>
      <c r="N306" s="582">
        <v>232</v>
      </c>
      <c r="O306" s="712">
        <f t="shared" si="85"/>
        <v>3.4441454348595011</v>
      </c>
      <c r="P306" s="712">
        <f t="shared" si="86"/>
        <v>615.10334709384335</v>
      </c>
      <c r="Q306" s="712">
        <f t="shared" si="87"/>
        <v>599.17617550777709</v>
      </c>
      <c r="R306" s="712">
        <f t="shared" si="88"/>
        <v>587.73632279757771</v>
      </c>
      <c r="S306" s="712">
        <f t="shared" si="89"/>
        <v>580.83301544336382</v>
      </c>
      <c r="T306" s="712">
        <f t="shared" si="90"/>
        <v>578.49554892770425</v>
      </c>
    </row>
    <row r="307" spans="2:20">
      <c r="B307" s="582">
        <v>233</v>
      </c>
      <c r="C307" s="712">
        <f t="shared" si="75"/>
        <v>3.4589908893201025</v>
      </c>
      <c r="D307" s="712">
        <f t="shared" si="76"/>
        <v>1403.8638590020573</v>
      </c>
      <c r="E307" s="712">
        <f t="shared" si="77"/>
        <v>789.82448844470878</v>
      </c>
      <c r="F307" s="712">
        <f t="shared" si="78"/>
        <v>461.10452148236152</v>
      </c>
      <c r="G307" s="712">
        <f t="shared" si="79"/>
        <v>339.06581547654105</v>
      </c>
      <c r="H307" s="719">
        <f t="shared" si="80"/>
        <v>299.74498112164406</v>
      </c>
      <c r="I307" s="712">
        <f t="shared" si="81"/>
        <v>299.46544909039471</v>
      </c>
      <c r="J307" s="712">
        <f t="shared" si="82"/>
        <v>299.27337606305861</v>
      </c>
      <c r="K307" s="712">
        <f t="shared" si="83"/>
        <v>299.1610980238504</v>
      </c>
      <c r="L307" s="712">
        <f t="shared" si="84"/>
        <v>299.12404703441854</v>
      </c>
      <c r="N307" s="582">
        <v>233</v>
      </c>
      <c r="O307" s="712">
        <f t="shared" si="85"/>
        <v>3.4589908893201025</v>
      </c>
      <c r="P307" s="712">
        <f t="shared" si="86"/>
        <v>616.18862359004265</v>
      </c>
      <c r="Q307" s="712">
        <f t="shared" si="87"/>
        <v>600.27838588208124</v>
      </c>
      <c r="R307" s="712">
        <f t="shared" si="88"/>
        <v>588.85062456511196</v>
      </c>
      <c r="S307" s="712">
        <f t="shared" si="89"/>
        <v>581.95451299655565</v>
      </c>
      <c r="T307" s="712">
        <f t="shared" si="90"/>
        <v>579.61931504479537</v>
      </c>
    </row>
    <row r="308" spans="2:20">
      <c r="B308" s="582">
        <v>234</v>
      </c>
      <c r="C308" s="712">
        <f t="shared" si="75"/>
        <v>3.4738363437807038</v>
      </c>
      <c r="D308" s="712">
        <f t="shared" si="76"/>
        <v>1404.2640057422161</v>
      </c>
      <c r="E308" s="712">
        <f t="shared" si="77"/>
        <v>791.13701051153328</v>
      </c>
      <c r="F308" s="712">
        <f t="shared" si="78"/>
        <v>462.05529353777223</v>
      </c>
      <c r="G308" s="712">
        <f t="shared" si="79"/>
        <v>339.44633299653668</v>
      </c>
      <c r="H308" s="719">
        <f t="shared" si="80"/>
        <v>299.76912741000541</v>
      </c>
      <c r="I308" s="712">
        <f t="shared" si="81"/>
        <v>299.48693145527807</v>
      </c>
      <c r="J308" s="712">
        <f t="shared" si="82"/>
        <v>299.29297593241603</v>
      </c>
      <c r="K308" s="712">
        <f t="shared" si="83"/>
        <v>299.17957588044709</v>
      </c>
      <c r="L308" s="712">
        <f t="shared" si="84"/>
        <v>299.14215025168113</v>
      </c>
      <c r="N308" s="582">
        <v>234</v>
      </c>
      <c r="O308" s="712">
        <f t="shared" si="85"/>
        <v>3.4738363437807038</v>
      </c>
      <c r="P308" s="712">
        <f t="shared" si="86"/>
        <v>617.27272891139057</v>
      </c>
      <c r="Q308" s="712">
        <f t="shared" si="87"/>
        <v>601.37940680735937</v>
      </c>
      <c r="R308" s="712">
        <f t="shared" si="88"/>
        <v>589.96372383520747</v>
      </c>
      <c r="S308" s="712">
        <f t="shared" si="89"/>
        <v>583.07480028698501</v>
      </c>
      <c r="T308" s="712">
        <f t="shared" si="90"/>
        <v>580.74186845100598</v>
      </c>
    </row>
    <row r="309" spans="2:20">
      <c r="B309" s="582">
        <v>235</v>
      </c>
      <c r="C309" s="712">
        <f t="shared" si="75"/>
        <v>3.4886817982413048</v>
      </c>
      <c r="D309" s="712">
        <f t="shared" si="76"/>
        <v>1404.66202810702</v>
      </c>
      <c r="E309" s="712">
        <f t="shared" si="77"/>
        <v>792.44367136597259</v>
      </c>
      <c r="F309" s="712">
        <f t="shared" si="78"/>
        <v>463.00510643377999</v>
      </c>
      <c r="G309" s="712">
        <f t="shared" si="79"/>
        <v>339.82783441931775</v>
      </c>
      <c r="H309" s="719">
        <f t="shared" si="80"/>
        <v>299.7934724103427</v>
      </c>
      <c r="I309" s="712">
        <f t="shared" si="81"/>
        <v>299.5086057606095</v>
      </c>
      <c r="J309" s="712">
        <f t="shared" si="82"/>
        <v>299.31276259750081</v>
      </c>
      <c r="K309" s="712">
        <f t="shared" si="83"/>
        <v>299.19823731275278</v>
      </c>
      <c r="L309" s="712">
        <f t="shared" si="84"/>
        <v>299.16043592962433</v>
      </c>
      <c r="N309" s="582">
        <v>235</v>
      </c>
      <c r="O309" s="712">
        <f t="shared" si="85"/>
        <v>3.4886817982413048</v>
      </c>
      <c r="P309" s="712">
        <f t="shared" si="86"/>
        <v>618.35566432175904</v>
      </c>
      <c r="Q309" s="712">
        <f t="shared" si="87"/>
        <v>602.4792395672041</v>
      </c>
      <c r="R309" s="712">
        <f t="shared" si="88"/>
        <v>591.07562190553801</v>
      </c>
      <c r="S309" s="712">
        <f t="shared" si="89"/>
        <v>584.19387862070562</v>
      </c>
      <c r="T309" s="712">
        <f t="shared" si="90"/>
        <v>581.86321045503178</v>
      </c>
    </row>
    <row r="310" spans="2:20">
      <c r="B310" s="582">
        <v>236</v>
      </c>
      <c r="C310" s="712">
        <f t="shared" si="75"/>
        <v>3.5035272527019061</v>
      </c>
      <c r="D310" s="712">
        <f t="shared" si="76"/>
        <v>1405.0579475591558</v>
      </c>
      <c r="E310" s="712">
        <f t="shared" si="77"/>
        <v>793.74451074851959</v>
      </c>
      <c r="F310" s="712">
        <f t="shared" si="78"/>
        <v>463.95394655847957</v>
      </c>
      <c r="G310" s="712">
        <f t="shared" si="79"/>
        <v>340.21030719441546</v>
      </c>
      <c r="H310" s="719">
        <f t="shared" si="80"/>
        <v>299.81801642130057</v>
      </c>
      <c r="I310" s="712">
        <f t="shared" si="81"/>
        <v>299.53047240597812</v>
      </c>
      <c r="J310" s="712">
        <f t="shared" si="82"/>
        <v>299.33273653107341</v>
      </c>
      <c r="K310" s="712">
        <f t="shared" si="83"/>
        <v>299.21708283781163</v>
      </c>
      <c r="L310" s="712">
        <f t="shared" si="84"/>
        <v>299.17890460005714</v>
      </c>
      <c r="N310" s="582">
        <v>236</v>
      </c>
      <c r="O310" s="712">
        <f t="shared" si="85"/>
        <v>3.5035272527019061</v>
      </c>
      <c r="P310" s="712">
        <f t="shared" si="86"/>
        <v>619.43743108365618</v>
      </c>
      <c r="Q310" s="712">
        <f t="shared" si="87"/>
        <v>603.57788544382254</v>
      </c>
      <c r="R310" s="712">
        <f t="shared" si="88"/>
        <v>592.1863200723767</v>
      </c>
      <c r="S310" s="712">
        <f t="shared" si="89"/>
        <v>585.31174930236182</v>
      </c>
      <c r="T310" s="712">
        <f t="shared" si="90"/>
        <v>582.98334236415587</v>
      </c>
    </row>
    <row r="311" spans="2:20">
      <c r="B311" s="582">
        <v>237</v>
      </c>
      <c r="C311" s="712">
        <f t="shared" si="75"/>
        <v>3.5183727071625075</v>
      </c>
      <c r="D311" s="712">
        <f t="shared" si="76"/>
        <v>1405.4517851652879</v>
      </c>
      <c r="E311" s="712">
        <f t="shared" si="77"/>
        <v>795.03956807015504</v>
      </c>
      <c r="F311" s="712">
        <f t="shared" si="78"/>
        <v>464.90180055027929</v>
      </c>
      <c r="G311" s="712">
        <f t="shared" si="79"/>
        <v>340.59373882558657</v>
      </c>
      <c r="H311" s="719">
        <f t="shared" si="80"/>
        <v>299.84275973511421</v>
      </c>
      <c r="I311" s="712">
        <f t="shared" si="81"/>
        <v>299.55253178415109</v>
      </c>
      <c r="J311" s="712">
        <f t="shared" si="82"/>
        <v>299.3528981987987</v>
      </c>
      <c r="K311" s="712">
        <f t="shared" si="83"/>
        <v>299.23611296541708</v>
      </c>
      <c r="L311" s="712">
        <f t="shared" si="84"/>
        <v>299.19755678748868</v>
      </c>
      <c r="N311" s="582">
        <v>237</v>
      </c>
      <c r="O311" s="712">
        <f t="shared" si="85"/>
        <v>3.5183727071625075</v>
      </c>
      <c r="P311" s="712">
        <f t="shared" si="86"/>
        <v>620.51803045822737</v>
      </c>
      <c r="Q311" s="712">
        <f t="shared" si="87"/>
        <v>604.67534571803844</v>
      </c>
      <c r="R311" s="712">
        <f t="shared" si="88"/>
        <v>593.29581963059809</v>
      </c>
      <c r="S311" s="712">
        <f t="shared" si="89"/>
        <v>586.42841363518983</v>
      </c>
      <c r="T311" s="712">
        <f t="shared" si="90"/>
        <v>584.10226548425089</v>
      </c>
    </row>
    <row r="312" spans="2:20">
      <c r="B312" s="582">
        <v>238</v>
      </c>
      <c r="C312" s="712">
        <f t="shared" si="75"/>
        <v>3.5332181616231089</v>
      </c>
      <c r="D312" s="712">
        <f t="shared" si="76"/>
        <v>1405.8435616070803</v>
      </c>
      <c r="E312" s="712">
        <f t="shared" si="77"/>
        <v>796.32888241470903</v>
      </c>
      <c r="F312" s="712">
        <f t="shared" si="78"/>
        <v>465.84865529433193</v>
      </c>
      <c r="G312" s="712">
        <f t="shared" si="79"/>
        <v>340.9781168714365</v>
      </c>
      <c r="H312" s="719">
        <f t="shared" si="80"/>
        <v>299.86770263764964</v>
      </c>
      <c r="I312" s="712">
        <f t="shared" si="81"/>
        <v>299.57478428110795</v>
      </c>
      <c r="J312" s="712">
        <f t="shared" si="82"/>
        <v>299.37324805927494</v>
      </c>
      <c r="K312" s="712">
        <f t="shared" si="83"/>
        <v>299.25532819813793</v>
      </c>
      <c r="L312" s="712">
        <f t="shared" si="84"/>
        <v>299.21639300915314</v>
      </c>
      <c r="N312" s="582">
        <v>238</v>
      </c>
      <c r="O312" s="712">
        <f t="shared" si="85"/>
        <v>3.5332181616231089</v>
      </c>
      <c r="P312" s="712">
        <f t="shared" si="86"/>
        <v>621.59746370525761</v>
      </c>
      <c r="Q312" s="712">
        <f t="shared" si="87"/>
        <v>605.77162166929338</v>
      </c>
      <c r="R312" s="712">
        <f t="shared" si="88"/>
        <v>594.40412187367929</v>
      </c>
      <c r="S312" s="712">
        <f t="shared" si="89"/>
        <v>587.54387292101944</v>
      </c>
      <c r="T312" s="712">
        <f t="shared" si="90"/>
        <v>585.21998111977996</v>
      </c>
    </row>
    <row r="313" spans="2:20">
      <c r="B313" s="582">
        <v>239</v>
      </c>
      <c r="C313" s="712">
        <f t="shared" si="75"/>
        <v>3.5480636160837102</v>
      </c>
      <c r="D313" s="712">
        <f t="shared" si="76"/>
        <v>1406.2332971918499</v>
      </c>
      <c r="E313" s="712">
        <f t="shared" si="77"/>
        <v>797.6124925412347</v>
      </c>
      <c r="F313" s="712">
        <f t="shared" si="78"/>
        <v>466.79449791901175</v>
      </c>
      <c r="G313" s="712">
        <f t="shared" si="79"/>
        <v>341.36342894602024</v>
      </c>
      <c r="H313" s="719">
        <f t="shared" si="80"/>
        <v>299.89284540844369</v>
      </c>
      <c r="I313" s="712">
        <f t="shared" si="81"/>
        <v>299.59723027607475</v>
      </c>
      <c r="J313" s="712">
        <f t="shared" si="82"/>
        <v>299.3937865640637</v>
      </c>
      <c r="K313" s="712">
        <f t="shared" si="83"/>
        <v>299.27472903134492</v>
      </c>
      <c r="L313" s="712">
        <f t="shared" si="84"/>
        <v>299.23541377503506</v>
      </c>
      <c r="N313" s="582">
        <v>239</v>
      </c>
      <c r="O313" s="712">
        <f t="shared" si="85"/>
        <v>3.5480636160837102</v>
      </c>
      <c r="P313" s="712">
        <f t="shared" si="86"/>
        <v>622.67573208317174</v>
      </c>
      <c r="Q313" s="712">
        <f t="shared" si="87"/>
        <v>606.86671457564785</v>
      </c>
      <c r="R313" s="712">
        <f t="shared" si="88"/>
        <v>595.51122809370145</v>
      </c>
      <c r="S313" s="712">
        <f t="shared" si="89"/>
        <v>588.65812846027575</v>
      </c>
      <c r="T313" s="712">
        <f t="shared" si="90"/>
        <v>586.33649057379853</v>
      </c>
    </row>
    <row r="314" spans="2:20">
      <c r="B314" s="582">
        <v>240</v>
      </c>
      <c r="C314" s="712">
        <f t="shared" si="75"/>
        <v>3.5629090705443116</v>
      </c>
      <c r="D314" s="712">
        <f t="shared" si="76"/>
        <v>1406.6210118628626</v>
      </c>
      <c r="E314" s="712">
        <f t="shared" si="77"/>
        <v>798.89043688639288</v>
      </c>
      <c r="F314" s="712">
        <f t="shared" si="78"/>
        <v>467.73931579243805</v>
      </c>
      <c r="G314" s="712">
        <f t="shared" si="79"/>
        <v>341.74966271942213</v>
      </c>
      <c r="H314" s="719">
        <f t="shared" si="80"/>
        <v>299.91818832074438</v>
      </c>
      <c r="I314" s="712">
        <f t="shared" si="81"/>
        <v>299.61987014155864</v>
      </c>
      <c r="J314" s="712">
        <f t="shared" si="82"/>
        <v>299.41451415771968</v>
      </c>
      <c r="K314" s="712">
        <f t="shared" si="83"/>
        <v>299.29431595323746</v>
      </c>
      <c r="L314" s="712">
        <f t="shared" si="84"/>
        <v>299.25461958789509</v>
      </c>
      <c r="N314" s="582">
        <v>240</v>
      </c>
      <c r="O314" s="712">
        <f t="shared" si="85"/>
        <v>3.5629090705443116</v>
      </c>
      <c r="P314" s="712">
        <f t="shared" si="86"/>
        <v>623.75283684903718</v>
      </c>
      <c r="Q314" s="712">
        <f t="shared" si="87"/>
        <v>607.96062571378343</v>
      </c>
      <c r="R314" s="712">
        <f t="shared" si="88"/>
        <v>596.61713958135147</v>
      </c>
      <c r="S314" s="712">
        <f t="shared" si="89"/>
        <v>589.77118155198048</v>
      </c>
      <c r="T314" s="712">
        <f t="shared" si="90"/>
        <v>587.45179514795609</v>
      </c>
    </row>
    <row r="315" spans="2:20">
      <c r="B315" s="582">
        <v>241</v>
      </c>
      <c r="C315" s="712">
        <f t="shared" si="75"/>
        <v>3.5777545250049125</v>
      </c>
      <c r="D315" s="712">
        <f t="shared" si="76"/>
        <v>1407.0067252092858</v>
      </c>
      <c r="E315" s="712">
        <f t="shared" si="77"/>
        <v>800.16275356684685</v>
      </c>
      <c r="F315" s="712">
        <f t="shared" si="78"/>
        <v>468.68309651904383</v>
      </c>
      <c r="G315" s="712">
        <f t="shared" si="79"/>
        <v>342.13680591831456</v>
      </c>
      <c r="H315" s="719">
        <f t="shared" si="80"/>
        <v>299.9437316415511</v>
      </c>
      <c r="I315" s="712">
        <f t="shared" si="81"/>
        <v>299.64270424338287</v>
      </c>
      <c r="J315" s="712">
        <f t="shared" si="82"/>
        <v>299.43543127782107</v>
      </c>
      <c r="K315" s="712">
        <f t="shared" si="83"/>
        <v>299.31408944487134</v>
      </c>
      <c r="L315" s="712">
        <f t="shared" si="84"/>
        <v>299.27401094329679</v>
      </c>
      <c r="N315" s="582">
        <v>241</v>
      </c>
      <c r="O315" s="712">
        <f t="shared" si="85"/>
        <v>3.5777545250049125</v>
      </c>
      <c r="P315" s="712">
        <f t="shared" si="86"/>
        <v>624.82877925856428</v>
      </c>
      <c r="Q315" s="712">
        <f t="shared" si="87"/>
        <v>609.05335635900406</v>
      </c>
      <c r="R315" s="712">
        <f t="shared" si="88"/>
        <v>597.72185762592335</v>
      </c>
      <c r="S315" s="712">
        <f t="shared" si="89"/>
        <v>590.8830334937536</v>
      </c>
      <c r="T315" s="712">
        <f t="shared" si="90"/>
        <v>588.56589614249742</v>
      </c>
    </row>
    <row r="316" spans="2:20">
      <c r="B316" s="582">
        <v>242</v>
      </c>
      <c r="C316" s="712">
        <f t="shared" si="75"/>
        <v>3.5925999794655139</v>
      </c>
      <c r="D316" s="712">
        <f t="shared" si="76"/>
        <v>1407.3904564758116</v>
      </c>
      <c r="E316" s="712">
        <f t="shared" si="77"/>
        <v>801.42948038166435</v>
      </c>
      <c r="F316" s="712">
        <f t="shared" si="78"/>
        <v>469.62582793619009</v>
      </c>
      <c r="G316" s="712">
        <f t="shared" si="79"/>
        <v>342.52484632649509</v>
      </c>
      <c r="H316" s="719">
        <f t="shared" si="80"/>
        <v>299.96947563165509</v>
      </c>
      <c r="I316" s="712">
        <f t="shared" si="81"/>
        <v>299.66573294072185</v>
      </c>
      <c r="J316" s="712">
        <f t="shared" si="82"/>
        <v>299.45653835500036</v>
      </c>
      <c r="K316" s="712">
        <f t="shared" si="83"/>
        <v>299.33404998018653</v>
      </c>
      <c r="L316" s="712">
        <f t="shared" si="84"/>
        <v>299.29358832963334</v>
      </c>
      <c r="N316" s="582">
        <v>242</v>
      </c>
      <c r="O316" s="712">
        <f t="shared" si="85"/>
        <v>3.5925999794655139</v>
      </c>
      <c r="P316" s="712">
        <f t="shared" si="86"/>
        <v>625.90356056610869</v>
      </c>
      <c r="Q316" s="712">
        <f t="shared" si="87"/>
        <v>610.14490778523702</v>
      </c>
      <c r="R316" s="712">
        <f t="shared" si="88"/>
        <v>598.82538351531991</v>
      </c>
      <c r="S316" s="712">
        <f t="shared" si="89"/>
        <v>591.99368558181459</v>
      </c>
      <c r="T316" s="712">
        <f t="shared" si="90"/>
        <v>589.67879485626395</v>
      </c>
    </row>
    <row r="317" spans="2:20">
      <c r="B317" s="582">
        <v>243</v>
      </c>
      <c r="C317" s="712">
        <f t="shared" si="75"/>
        <v>3.6074454339261153</v>
      </c>
      <c r="D317" s="712">
        <f t="shared" si="76"/>
        <v>1407.7722245719576</v>
      </c>
      <c r="E317" s="712">
        <f t="shared" si="77"/>
        <v>802.69065481472614</v>
      </c>
      <c r="F317" s="712">
        <f t="shared" si="78"/>
        <v>470.56749811082449</v>
      </c>
      <c r="G317" s="712">
        <f t="shared" si="79"/>
        <v>342.91377178540438</v>
      </c>
      <c r="H317" s="719">
        <f t="shared" si="80"/>
        <v>299.99542054567956</v>
      </c>
      <c r="I317" s="712">
        <f t="shared" si="81"/>
        <v>299.68895658613644</v>
      </c>
      <c r="J317" s="712">
        <f t="shared" si="82"/>
        <v>299.47783581297534</v>
      </c>
      <c r="K317" s="712">
        <f t="shared" si="83"/>
        <v>299.35419802603559</v>
      </c>
      <c r="L317" s="712">
        <f t="shared" si="84"/>
        <v>299.31335222815494</v>
      </c>
      <c r="N317" s="582">
        <v>243</v>
      </c>
      <c r="O317" s="712">
        <f t="shared" si="85"/>
        <v>3.6074454339261153</v>
      </c>
      <c r="P317" s="712">
        <f t="shared" si="86"/>
        <v>626.97718202467206</v>
      </c>
      <c r="Q317" s="712">
        <f t="shared" si="87"/>
        <v>611.23528126503538</v>
      </c>
      <c r="R317" s="712">
        <f t="shared" si="88"/>
        <v>599.92771853605382</v>
      </c>
      <c r="S317" s="712">
        <f t="shared" si="89"/>
        <v>593.1031391109841</v>
      </c>
      <c r="T317" s="712">
        <f t="shared" si="90"/>
        <v>590.79049258669545</v>
      </c>
    </row>
    <row r="318" spans="2:20">
      <c r="B318" s="582">
        <v>244</v>
      </c>
      <c r="C318" s="712">
        <f t="shared" si="75"/>
        <v>3.6222908883867166</v>
      </c>
      <c r="D318" s="712">
        <f t="shared" si="76"/>
        <v>1408.1520480810627</v>
      </c>
      <c r="E318" s="712">
        <f t="shared" si="77"/>
        <v>803.94631403714084</v>
      </c>
      <c r="F318" s="712">
        <f t="shared" si="78"/>
        <v>471.50809533618445</v>
      </c>
      <c r="G318" s="712">
        <f t="shared" si="79"/>
        <v>343.30357019462332</v>
      </c>
      <c r="H318" s="719">
        <f t="shared" si="80"/>
        <v>300.02156663212048</v>
      </c>
      <c r="I318" s="712">
        <f t="shared" si="81"/>
        <v>299.71237552560933</v>
      </c>
      <c r="J318" s="712">
        <f t="shared" si="82"/>
        <v>299.4993240685809</v>
      </c>
      <c r="K318" s="712">
        <f t="shared" si="83"/>
        <v>299.37453404221242</v>
      </c>
      <c r="L318" s="712">
        <f t="shared" si="84"/>
        <v>299.33330311299682</v>
      </c>
      <c r="N318" s="582">
        <v>244</v>
      </c>
      <c r="O318" s="712">
        <f t="shared" si="85"/>
        <v>3.6222908883867166</v>
      </c>
      <c r="P318" s="712">
        <f t="shared" si="86"/>
        <v>628.04964488590417</v>
      </c>
      <c r="Q318" s="712">
        <f t="shared" si="87"/>
        <v>612.32447806957839</v>
      </c>
      <c r="R318" s="712">
        <f t="shared" si="88"/>
        <v>601.02886397324971</v>
      </c>
      <c r="S318" s="712">
        <f t="shared" si="89"/>
        <v>594.21139537468548</v>
      </c>
      <c r="T318" s="712">
        <f t="shared" si="90"/>
        <v>591.90099062983177</v>
      </c>
    </row>
    <row r="319" spans="2:20">
      <c r="B319" s="582">
        <v>245</v>
      </c>
      <c r="C319" s="712">
        <f t="shared" si="75"/>
        <v>3.637136342847318</v>
      </c>
      <c r="D319" s="712">
        <f t="shared" si="76"/>
        <v>1408.529945268984</v>
      </c>
      <c r="E319" s="712">
        <f t="shared" si="77"/>
        <v>805.19649490966242</v>
      </c>
      <c r="F319" s="712">
        <f t="shared" si="78"/>
        <v>472.44760812854366</v>
      </c>
      <c r="G319" s="712">
        <f t="shared" si="79"/>
        <v>343.69422951235106</v>
      </c>
      <c r="H319" s="719">
        <f t="shared" si="80"/>
        <v>300.0479141333866</v>
      </c>
      <c r="I319" s="712">
        <f t="shared" si="81"/>
        <v>299.73599009858117</v>
      </c>
      <c r="J319" s="712">
        <f t="shared" si="82"/>
        <v>299.5210035318006</v>
      </c>
      <c r="K319" s="712">
        <f t="shared" si="83"/>
        <v>299.39505848148167</v>
      </c>
      <c r="L319" s="712">
        <f t="shared" si="84"/>
        <v>299.3534414512074</v>
      </c>
      <c r="N319" s="582">
        <v>245</v>
      </c>
      <c r="O319" s="712">
        <f t="shared" si="85"/>
        <v>3.637136342847318</v>
      </c>
      <c r="P319" s="712">
        <f t="shared" si="86"/>
        <v>629.12095040010399</v>
      </c>
      <c r="Q319" s="712">
        <f t="shared" si="87"/>
        <v>613.41249946867379</v>
      </c>
      <c r="R319" s="712">
        <f t="shared" si="88"/>
        <v>602.12882111064528</v>
      </c>
      <c r="S319" s="712">
        <f t="shared" si="89"/>
        <v>595.31845566494644</v>
      </c>
      <c r="T319" s="712">
        <f t="shared" si="90"/>
        <v>593.01029028031405</v>
      </c>
    </row>
    <row r="320" spans="2:20">
      <c r="B320" s="582">
        <v>246</v>
      </c>
      <c r="C320" s="712">
        <f t="shared" si="75"/>
        <v>3.6519817973079194</v>
      </c>
      <c r="D320" s="712">
        <f t="shared" si="76"/>
        <v>1408.905934092508</v>
      </c>
      <c r="E320" s="712">
        <f t="shared" si="77"/>
        <v>806.44123398511135</v>
      </c>
      <c r="F320" s="712">
        <f t="shared" si="78"/>
        <v>473.38602522400214</v>
      </c>
      <c r="G320" s="712">
        <f t="shared" si="79"/>
        <v>344.08573775586348</v>
      </c>
      <c r="H320" s="719">
        <f t="shared" si="80"/>
        <v>300.07446328584024</v>
      </c>
      <c r="I320" s="712">
        <f t="shared" si="81"/>
        <v>299.75980063798602</v>
      </c>
      <c r="J320" s="712">
        <f t="shared" si="82"/>
        <v>299.54287460579883</v>
      </c>
      <c r="K320" s="712">
        <f t="shared" si="83"/>
        <v>299.41577178960819</v>
      </c>
      <c r="L320" s="712">
        <f t="shared" si="84"/>
        <v>299.37376770277746</v>
      </c>
      <c r="N320" s="582">
        <v>246</v>
      </c>
      <c r="O320" s="712">
        <f t="shared" si="85"/>
        <v>3.6519817973079194</v>
      </c>
      <c r="P320" s="712">
        <f t="shared" si="86"/>
        <v>630.19109981622103</v>
      </c>
      <c r="Q320" s="712">
        <f t="shared" si="87"/>
        <v>614.49934673075916</v>
      </c>
      <c r="R320" s="712">
        <f t="shared" si="88"/>
        <v>603.22759123059268</v>
      </c>
      <c r="S320" s="712">
        <f t="shared" si="89"/>
        <v>596.42432127240045</v>
      </c>
      <c r="T320" s="712">
        <f t="shared" si="90"/>
        <v>594.11839283138625</v>
      </c>
    </row>
    <row r="321" spans="2:20">
      <c r="B321" s="582">
        <v>247</v>
      </c>
      <c r="C321" s="712">
        <f t="shared" si="75"/>
        <v>3.6668272517685203</v>
      </c>
      <c r="D321" s="712">
        <f t="shared" si="76"/>
        <v>1409.2800322074861</v>
      </c>
      <c r="E321" s="712">
        <f t="shared" si="77"/>
        <v>807.68056751079723</v>
      </c>
      <c r="F321" s="712">
        <f t="shared" si="78"/>
        <v>474.32333557531894</v>
      </c>
      <c r="G321" s="712">
        <f t="shared" si="79"/>
        <v>344.47808300195345</v>
      </c>
      <c r="H321" s="719">
        <f t="shared" si="80"/>
        <v>300.10121431983754</v>
      </c>
      <c r="I321" s="712">
        <f t="shared" si="81"/>
        <v>299.78380747028785</v>
      </c>
      <c r="J321" s="712">
        <f t="shared" si="82"/>
        <v>299.56493768695339</v>
      </c>
      <c r="K321" s="712">
        <f t="shared" si="83"/>
        <v>299.43667440538729</v>
      </c>
      <c r="L321" s="712">
        <f t="shared" si="84"/>
        <v>299.39428232066876</v>
      </c>
      <c r="N321" s="582">
        <v>247</v>
      </c>
      <c r="O321" s="712">
        <f t="shared" si="85"/>
        <v>3.6668272517685203</v>
      </c>
      <c r="P321" s="712">
        <f t="shared" si="86"/>
        <v>631.26009438185736</v>
      </c>
      <c r="Q321" s="712">
        <f t="shared" si="87"/>
        <v>615.58502112290284</v>
      </c>
      <c r="R321" s="712">
        <f t="shared" si="88"/>
        <v>604.32517561406053</v>
      </c>
      <c r="S321" s="712">
        <f t="shared" si="89"/>
        <v>597.52899348628785</v>
      </c>
      <c r="T321" s="712">
        <f t="shared" si="90"/>
        <v>595.22529957489701</v>
      </c>
    </row>
    <row r="322" spans="2:20">
      <c r="B322" s="582">
        <v>248</v>
      </c>
      <c r="C322" s="712">
        <f t="shared" si="75"/>
        <v>3.6816727062291217</v>
      </c>
      <c r="D322" s="712">
        <f t="shared" si="76"/>
        <v>1409.6522569767019</v>
      </c>
      <c r="E322" s="712">
        <f t="shared" si="77"/>
        <v>808.91453143094179</v>
      </c>
      <c r="F322" s="712">
        <f t="shared" si="78"/>
        <v>475.25952834878723</v>
      </c>
      <c r="G322" s="712">
        <f t="shared" si="79"/>
        <v>344.87125338735189</v>
      </c>
      <c r="H322" s="719">
        <f t="shared" si="80"/>
        <v>300.12816745976914</v>
      </c>
      <c r="I322" s="712">
        <f t="shared" si="81"/>
        <v>299.8080109155166</v>
      </c>
      <c r="J322" s="712">
        <f t="shared" si="82"/>
        <v>299.58719316488828</v>
      </c>
      <c r="K322" s="712">
        <f t="shared" si="83"/>
        <v>299.4577667606751</v>
      </c>
      <c r="L322" s="712">
        <f t="shared" si="84"/>
        <v>299.41498575084438</v>
      </c>
      <c r="N322" s="582">
        <v>248</v>
      </c>
      <c r="O322" s="712">
        <f t="shared" si="85"/>
        <v>3.6816727062291217</v>
      </c>
      <c r="P322" s="712">
        <f t="shared" si="86"/>
        <v>632.32793534326845</v>
      </c>
      <c r="Q322" s="712">
        <f t="shared" si="87"/>
        <v>616.66952391080622</v>
      </c>
      <c r="R322" s="712">
        <f t="shared" si="88"/>
        <v>605.42157554063488</v>
      </c>
      <c r="S322" s="712">
        <f t="shared" si="89"/>
        <v>598.63247359445791</v>
      </c>
      <c r="T322" s="712">
        <f t="shared" si="90"/>
        <v>596.33101180130029</v>
      </c>
    </row>
    <row r="323" spans="2:20">
      <c r="B323" s="582">
        <v>249</v>
      </c>
      <c r="C323" s="712">
        <f t="shared" si="75"/>
        <v>3.6965181606897231</v>
      </c>
      <c r="D323" s="712">
        <f t="shared" si="76"/>
        <v>1410.0226254774843</v>
      </c>
      <c r="E323" s="712">
        <f t="shared" si="77"/>
        <v>810.14316138910135</v>
      </c>
      <c r="F323" s="712">
        <f t="shared" si="78"/>
        <v>476.19459292115107</v>
      </c>
      <c r="G323" s="712">
        <f t="shared" si="79"/>
        <v>345.26523710913148</v>
      </c>
      <c r="H323" s="719">
        <f t="shared" si="80"/>
        <v>300.15532292410052</v>
      </c>
      <c r="I323" s="712">
        <f t="shared" si="81"/>
        <v>299.83241128730486</v>
      </c>
      <c r="J323" s="712">
        <f t="shared" si="82"/>
        <v>299.60964142250651</v>
      </c>
      <c r="K323" s="712">
        <f t="shared" si="83"/>
        <v>299.4790492804193</v>
      </c>
      <c r="L323" s="712">
        <f t="shared" si="84"/>
        <v>299.43587843229807</v>
      </c>
      <c r="N323" s="582">
        <v>249</v>
      </c>
      <c r="O323" s="712">
        <f t="shared" si="85"/>
        <v>3.6965181606897231</v>
      </c>
      <c r="P323" s="712">
        <f t="shared" si="86"/>
        <v>633.39462394536497</v>
      </c>
      <c r="Q323" s="712">
        <f t="shared" si="87"/>
        <v>617.75285635880459</v>
      </c>
      <c r="R323" s="712">
        <f t="shared" si="88"/>
        <v>606.51679228852117</v>
      </c>
      <c r="S323" s="712">
        <f t="shared" si="89"/>
        <v>599.73476288337019</v>
      </c>
      <c r="T323" s="712">
        <f t="shared" si="90"/>
        <v>597.43553079965818</v>
      </c>
    </row>
    <row r="324" spans="2:20">
      <c r="B324" s="582">
        <v>250</v>
      </c>
      <c r="C324" s="712">
        <f t="shared" si="75"/>
        <v>3.7113636151503244</v>
      </c>
      <c r="D324" s="712">
        <f t="shared" si="76"/>
        <v>1410.3911545090702</v>
      </c>
      <c r="E324" s="712">
        <f t="shared" si="77"/>
        <v>811.36649273058879</v>
      </c>
      <c r="F324" s="712">
        <f t="shared" si="78"/>
        <v>477.12851887656382</v>
      </c>
      <c r="G324" s="712">
        <f t="shared" si="79"/>
        <v>345.66002242509222</v>
      </c>
      <c r="H324" s="719">
        <f t="shared" si="80"/>
        <v>300.18268092541263</v>
      </c>
      <c r="I324" s="712">
        <f t="shared" si="81"/>
        <v>299.85700889292417</v>
      </c>
      <c r="J324" s="712">
        <f t="shared" si="82"/>
        <v>299.63228283602371</v>
      </c>
      <c r="K324" s="712">
        <f t="shared" si="83"/>
        <v>299.50052238269041</v>
      </c>
      <c r="L324" s="712">
        <f t="shared" si="84"/>
        <v>299.456960797085</v>
      </c>
      <c r="N324" s="582">
        <v>250</v>
      </c>
      <c r="O324" s="712">
        <f t="shared" si="85"/>
        <v>3.7113636151503244</v>
      </c>
      <c r="P324" s="712">
        <f t="shared" si="86"/>
        <v>634.46016143171403</v>
      </c>
      <c r="Q324" s="712">
        <f t="shared" si="87"/>
        <v>618.83501972986892</v>
      </c>
      <c r="R324" s="712">
        <f t="shared" si="88"/>
        <v>607.61082713454505</v>
      </c>
      <c r="S324" s="712">
        <f t="shared" si="89"/>
        <v>600.83586263809582</v>
      </c>
      <c r="T324" s="712">
        <f t="shared" si="90"/>
        <v>598.53885785764101</v>
      </c>
    </row>
    <row r="325" spans="2:20">
      <c r="B325" s="582">
        <v>251</v>
      </c>
      <c r="C325" s="712">
        <f t="shared" si="75"/>
        <v>3.7262090696109258</v>
      </c>
      <c r="D325" s="712">
        <f t="shared" si="76"/>
        <v>1410.7578605997298</v>
      </c>
      <c r="E325" s="712">
        <f t="shared" si="77"/>
        <v>812.58456050489121</v>
      </c>
      <c r="F325" s="712">
        <f t="shared" si="78"/>
        <v>478.06129600358713</v>
      </c>
      <c r="G325" s="712">
        <f t="shared" si="79"/>
        <v>346.05559765412983</v>
      </c>
      <c r="H325" s="719">
        <f t="shared" si="80"/>
        <v>300.21024167044226</v>
      </c>
      <c r="I325" s="712">
        <f t="shared" si="81"/>
        <v>299.88180403332211</v>
      </c>
      <c r="J325" s="712">
        <f t="shared" si="82"/>
        <v>299.65511777500171</v>
      </c>
      <c r="K325" s="712">
        <f t="shared" si="83"/>
        <v>299.52218647871319</v>
      </c>
      <c r="L325" s="712">
        <f t="shared" si="84"/>
        <v>299.47823327035263</v>
      </c>
      <c r="N325" s="582">
        <v>251</v>
      </c>
      <c r="O325" s="712">
        <f t="shared" si="85"/>
        <v>3.7262090696109258</v>
      </c>
      <c r="P325" s="712">
        <f t="shared" si="86"/>
        <v>635.52454904454089</v>
      </c>
      <c r="Q325" s="712">
        <f t="shared" si="87"/>
        <v>619.91601528560716</v>
      </c>
      <c r="R325" s="712">
        <f t="shared" si="88"/>
        <v>608.7036813541547</v>
      </c>
      <c r="S325" s="712">
        <f t="shared" si="89"/>
        <v>601.93577414231925</v>
      </c>
      <c r="T325" s="712">
        <f t="shared" si="90"/>
        <v>599.64099426152995</v>
      </c>
    </row>
    <row r="326" spans="2:20">
      <c r="B326" s="582">
        <v>252</v>
      </c>
      <c r="C326" s="712">
        <f t="shared" si="75"/>
        <v>3.7410545240715272</v>
      </c>
      <c r="D326" s="712">
        <f t="shared" si="76"/>
        <v>1411.1227600136599</v>
      </c>
      <c r="E326" s="712">
        <f t="shared" si="77"/>
        <v>813.79739946808638</v>
      </c>
      <c r="F326" s="712">
        <f t="shared" si="78"/>
        <v>478.99291429223052</v>
      </c>
      <c r="G326" s="712">
        <f t="shared" si="79"/>
        <v>346.45195117658693</v>
      </c>
      <c r="H326" s="719">
        <f t="shared" si="80"/>
        <v>300.23800536012249</v>
      </c>
      <c r="I326" s="712">
        <f t="shared" si="81"/>
        <v>299.90679700315894</v>
      </c>
      <c r="J326" s="712">
        <f t="shared" si="82"/>
        <v>299.6781466023823</v>
      </c>
      <c r="K326" s="712">
        <f t="shared" si="83"/>
        <v>299.5440419728987</v>
      </c>
      <c r="L326" s="712">
        <f t="shared" si="84"/>
        <v>299.49969627037154</v>
      </c>
      <c r="N326" s="582">
        <v>252</v>
      </c>
      <c r="O326" s="712">
        <f t="shared" si="85"/>
        <v>3.7410545240715272</v>
      </c>
      <c r="P326" s="712">
        <f t="shared" si="86"/>
        <v>636.58778802473023</v>
      </c>
      <c r="Q326" s="712">
        <f t="shared" si="87"/>
        <v>620.99584428626588</v>
      </c>
      <c r="R326" s="712">
        <f t="shared" si="88"/>
        <v>609.79535622142168</v>
      </c>
      <c r="S326" s="712">
        <f t="shared" si="89"/>
        <v>603.03449867833967</v>
      </c>
      <c r="T326" s="712">
        <f t="shared" si="90"/>
        <v>600.74194129621799</v>
      </c>
    </row>
    <row r="327" spans="2:20">
      <c r="B327" s="582">
        <v>253</v>
      </c>
      <c r="C327" s="712">
        <f t="shared" si="75"/>
        <v>3.7558999785321281</v>
      </c>
      <c r="D327" s="712">
        <f t="shared" si="76"/>
        <v>1411.4858687576566</v>
      </c>
      <c r="E327" s="712">
        <f t="shared" si="77"/>
        <v>815.00504408525364</v>
      </c>
      <c r="F327" s="712">
        <f t="shared" si="78"/>
        <v>479.92336393103079</v>
      </c>
      <c r="G327" s="712">
        <f t="shared" si="79"/>
        <v>346.84907143458787</v>
      </c>
      <c r="H327" s="719">
        <f t="shared" si="80"/>
        <v>300.26597218962337</v>
      </c>
      <c r="I327" s="712">
        <f t="shared" si="81"/>
        <v>299.93198809084487</v>
      </c>
      <c r="J327" s="712">
        <f t="shared" si="82"/>
        <v>299.70136967452152</v>
      </c>
      <c r="K327" s="712">
        <f t="shared" si="83"/>
        <v>299.56608926287623</v>
      </c>
      <c r="L327" s="712">
        <f t="shared" si="84"/>
        <v>299.52135020856718</v>
      </c>
      <c r="N327" s="582">
        <v>253</v>
      </c>
      <c r="O327" s="712">
        <f t="shared" si="85"/>
        <v>3.7558999785321281</v>
      </c>
      <c r="P327" s="712">
        <f t="shared" si="86"/>
        <v>637.6498796118276</v>
      </c>
      <c r="Q327" s="712">
        <f t="shared" si="87"/>
        <v>622.07450799073149</v>
      </c>
      <c r="R327" s="712">
        <f t="shared" si="88"/>
        <v>610.88585300904265</v>
      </c>
      <c r="S327" s="712">
        <f t="shared" si="89"/>
        <v>604.13203752707238</v>
      </c>
      <c r="T327" s="712">
        <f t="shared" si="90"/>
        <v>601.84170024521154</v>
      </c>
    </row>
    <row r="328" spans="2:20">
      <c r="B328" s="582">
        <v>254</v>
      </c>
      <c r="C328" s="712">
        <f t="shared" si="75"/>
        <v>3.7707454329927295</v>
      </c>
      <c r="D328" s="712">
        <f t="shared" si="76"/>
        <v>1411.8472025875722</v>
      </c>
      <c r="E328" s="712">
        <f t="shared" si="77"/>
        <v>816.20752853288059</v>
      </c>
      <c r="F328" s="712">
        <f t="shared" si="78"/>
        <v>480.8526353041716</v>
      </c>
      <c r="G328" s="712">
        <f t="shared" si="79"/>
        <v>347.24694693235705</v>
      </c>
      <c r="H328" s="719">
        <f t="shared" si="80"/>
        <v>300.29414234839214</v>
      </c>
      <c r="I328" s="712">
        <f t="shared" si="81"/>
        <v>299.95737757857705</v>
      </c>
      <c r="J328" s="712">
        <f t="shared" si="82"/>
        <v>299.72478734122376</v>
      </c>
      <c r="K328" s="712">
        <f t="shared" si="83"/>
        <v>299.58832873952593</v>
      </c>
      <c r="L328" s="712">
        <f t="shared" si="84"/>
        <v>299.54319548955164</v>
      </c>
      <c r="N328" s="582">
        <v>254</v>
      </c>
      <c r="O328" s="712">
        <f t="shared" si="85"/>
        <v>3.7707454329927295</v>
      </c>
      <c r="P328" s="712">
        <f t="shared" si="86"/>
        <v>638.71082504404092</v>
      </c>
      <c r="Q328" s="712">
        <f t="shared" si="87"/>
        <v>623.15200765653208</v>
      </c>
      <c r="R328" s="712">
        <f t="shared" si="88"/>
        <v>611.97517298834077</v>
      </c>
      <c r="S328" s="712">
        <f t="shared" si="89"/>
        <v>605.22839196805035</v>
      </c>
      <c r="T328" s="712">
        <f t="shared" si="90"/>
        <v>602.94027239063166</v>
      </c>
    </row>
    <row r="329" spans="2:20">
      <c r="B329" s="582">
        <v>255</v>
      </c>
      <c r="C329" s="712">
        <f t="shared" si="75"/>
        <v>3.7855908874533308</v>
      </c>
      <c r="D329" s="712">
        <f t="shared" si="76"/>
        <v>1412.2067770145648</v>
      </c>
      <c r="E329" s="712">
        <f t="shared" si="77"/>
        <v>817.40488670126388</v>
      </c>
      <c r="F329" s="712">
        <f t="shared" si="78"/>
        <v>481.78071898864079</v>
      </c>
      <c r="G329" s="712">
        <f t="shared" si="79"/>
        <v>347.64556623652106</v>
      </c>
      <c r="H329" s="719">
        <f t="shared" si="80"/>
        <v>300.32251602019358</v>
      </c>
      <c r="I329" s="712">
        <f t="shared" si="81"/>
        <v>299.9829657423769</v>
      </c>
      <c r="J329" s="712">
        <f t="shared" si="82"/>
        <v>299.74839994577661</v>
      </c>
      <c r="K329" s="712">
        <f t="shared" si="83"/>
        <v>299.6107607870116</v>
      </c>
      <c r="L329" s="712">
        <f t="shared" si="84"/>
        <v>299.56523251115567</v>
      </c>
      <c r="N329" s="582">
        <v>255</v>
      </c>
      <c r="O329" s="712">
        <f t="shared" si="85"/>
        <v>3.7855908874533308</v>
      </c>
      <c r="P329" s="712">
        <f t="shared" si="86"/>
        <v>639.7706255582417</v>
      </c>
      <c r="Q329" s="712">
        <f t="shared" si="87"/>
        <v>624.22834453983864</v>
      </c>
      <c r="R329" s="712">
        <f t="shared" si="88"/>
        <v>613.0633174292675</v>
      </c>
      <c r="S329" s="712">
        <f t="shared" si="89"/>
        <v>606.3235632794258</v>
      </c>
      <c r="T329" s="712">
        <f t="shared" si="90"/>
        <v>604.0376590132164</v>
      </c>
    </row>
    <row r="330" spans="2:20">
      <c r="B330" s="582">
        <v>256</v>
      </c>
      <c r="C330" s="712">
        <f t="shared" si="75"/>
        <v>3.8004363419139322</v>
      </c>
      <c r="D330" s="712">
        <f t="shared" si="76"/>
        <v>1412.5646073111495</v>
      </c>
      <c r="E330" s="712">
        <f t="shared" si="77"/>
        <v>818.59715219690327</v>
      </c>
      <c r="F330" s="712">
        <f t="shared" si="78"/>
        <v>482.70760575142754</v>
      </c>
      <c r="G330" s="712">
        <f t="shared" si="79"/>
        <v>348.04491797639571</v>
      </c>
      <c r="H330" s="719">
        <f t="shared" si="80"/>
        <v>300.3510933831505</v>
      </c>
      <c r="I330" s="712">
        <f t="shared" si="81"/>
        <v>300.00875285212749</v>
      </c>
      <c r="J330" s="712">
        <f t="shared" si="82"/>
        <v>299.77220782498551</v>
      </c>
      <c r="K330" s="712">
        <f t="shared" si="83"/>
        <v>299.6333857828136</v>
      </c>
      <c r="L330" s="712">
        <f t="shared" si="84"/>
        <v>299.58746166446133</v>
      </c>
      <c r="N330" s="582">
        <v>256</v>
      </c>
      <c r="O330" s="712">
        <f t="shared" si="85"/>
        <v>3.8004363419139322</v>
      </c>
      <c r="P330" s="712">
        <f t="shared" si="86"/>
        <v>640.82928238996703</v>
      </c>
      <c r="Q330" s="712">
        <f t="shared" si="87"/>
        <v>625.30351989546648</v>
      </c>
      <c r="R330" s="712">
        <f t="shared" si="88"/>
        <v>614.15028760040366</v>
      </c>
      <c r="S330" s="712">
        <f t="shared" si="89"/>
        <v>607.41755273797185</v>
      </c>
      <c r="T330" s="712">
        <f t="shared" si="90"/>
        <v>605.13386139232102</v>
      </c>
    </row>
    <row r="331" spans="2:20">
      <c r="B331" s="582">
        <v>257</v>
      </c>
      <c r="C331" s="712">
        <f t="shared" ref="C331:C394" si="91">$C$73*B331</f>
        <v>3.8152817963745336</v>
      </c>
      <c r="D331" s="712">
        <f t="shared" ref="D331:D394" si="92">(1-2*FoAb-2*FoAb*BiCombAb)*D330+2*FoAb*E330+2*FoAb*BiCombAb*Tcomb</f>
        <v>1412.9207085170556</v>
      </c>
      <c r="E331" s="712">
        <f t="shared" ref="E331:E394" si="93">FoAb*D330+(1-2*FoAb)*E330+FoAb*F330</f>
        <v>819.78435834488926</v>
      </c>
      <c r="F331" s="712">
        <f t="shared" ref="F331:F394" si="94">FoAb*E330+(1-2*FoAb)*F330+FoAb*G330</f>
        <v>483.63328654675706</v>
      </c>
      <c r="G331" s="712">
        <f t="shared" ref="G331:G394" si="95">FoAb*F330+(1-2*FoAb)*G330+FoAb*H330</f>
        <v>348.44499084425706</v>
      </c>
      <c r="H331" s="719">
        <f t="shared" ref="H331:H394" si="96">_FoN1*G330+(1-_FoN1-_FoN2)*H330+_FoN2*I330</f>
        <v>300.37987460978417</v>
      </c>
      <c r="I331" s="712">
        <f t="shared" ref="I331:I394" si="97">FoCase*H330+(1-2*FoCase)*I330+FoCase*J330</f>
        <v>300.03473917161091</v>
      </c>
      <c r="J331" s="712">
        <f t="shared" ref="J331:J394" si="98">FoCase*I330+(1-2*FoCase)*J330+FoCase*K330</f>
        <v>299.79621130920884</v>
      </c>
      <c r="K331" s="712">
        <f t="shared" ref="K331:K394" si="99">FoCase*J330+(1-2*FoCase)*K330+FoCase*L330</f>
        <v>299.65620409776244</v>
      </c>
      <c r="L331" s="712">
        <f t="shared" ref="L331:L394" si="100">(1-2*FoCase-2*FoCase*BiAtmCase)*L330+2*FoCase*K330+2*FoCase*BiAtmCase*Tatm</f>
        <v>299.60988333383449</v>
      </c>
      <c r="N331" s="582">
        <v>257</v>
      </c>
      <c r="O331" s="712">
        <f t="shared" ref="O331:O394" si="101">$O$73*N331</f>
        <v>3.8152817963745336</v>
      </c>
      <c r="P331" s="712">
        <f t="shared" ref="P331:P394" si="102">(1-2*FoCase-2*FoCase*BiCombCase)*P330+2*FoCase*Q330+2*FoCase*BiCombCase*Tcomb</f>
        <v>641.88679677342054</v>
      </c>
      <c r="Q331" s="712">
        <f t="shared" ref="Q331:Q394" si="103">FoCase*P330+(1-2*FoCase)*Q330+FoCase*R330</f>
        <v>626.37753497687686</v>
      </c>
      <c r="R331" s="712">
        <f t="shared" ref="R331:R394" si="104">FoCase*Q330+(1-2*FoCase)*R330+FoCase*S330</f>
        <v>615.23608476896106</v>
      </c>
      <c r="S331" s="712">
        <f t="shared" ref="S331:S394" si="105">FoCase*R330+(1-2*FoCase)*S330+FoCase*T330</f>
        <v>608.51036161908337</v>
      </c>
      <c r="T331" s="712">
        <f t="shared" ref="T331:T394" si="106">(1-2*FoCase-2*FoCase*BiAtmCase)*T330+2*FoCase*S330+2*FoCase*BiAtmCase*Tatm</f>
        <v>606.22888080592054</v>
      </c>
    </row>
    <row r="332" spans="2:20">
      <c r="B332" s="582">
        <v>258</v>
      </c>
      <c r="C332" s="712">
        <f t="shared" si="91"/>
        <v>3.8301272508351349</v>
      </c>
      <c r="D332" s="712">
        <f t="shared" si="92"/>
        <v>1413.2750954448984</v>
      </c>
      <c r="E332" s="712">
        <f t="shared" si="93"/>
        <v>820.96653819128267</v>
      </c>
      <c r="F332" s="712">
        <f t="shared" si="94"/>
        <v>484.55775251336291</v>
      </c>
      <c r="G332" s="712">
        <f t="shared" si="95"/>
        <v>348.84577359559785</v>
      </c>
      <c r="H332" s="719">
        <f t="shared" si="96"/>
        <v>300.40885986705433</v>
      </c>
      <c r="I332" s="712">
        <f t="shared" si="97"/>
        <v>300.06092495854625</v>
      </c>
      <c r="J332" s="712">
        <f t="shared" si="98"/>
        <v>299.82041072239309</v>
      </c>
      <c r="K332" s="712">
        <f t="shared" si="99"/>
        <v>299.67921609607214</v>
      </c>
      <c r="L332" s="712">
        <f t="shared" si="100"/>
        <v>299.63249789695811</v>
      </c>
      <c r="N332" s="582">
        <v>258</v>
      </c>
      <c r="O332" s="712">
        <f t="shared" si="101"/>
        <v>3.8301272508351349</v>
      </c>
      <c r="P332" s="712">
        <f t="shared" si="102"/>
        <v>642.94316994147391</v>
      </c>
      <c r="Q332" s="712">
        <f t="shared" si="103"/>
        <v>627.45039103617842</v>
      </c>
      <c r="R332" s="712">
        <f t="shared" si="104"/>
        <v>616.32071020078411</v>
      </c>
      <c r="S332" s="712">
        <f t="shared" si="105"/>
        <v>609.60199119677918</v>
      </c>
      <c r="T332" s="712">
        <f t="shared" si="106"/>
        <v>607.32271853061081</v>
      </c>
    </row>
    <row r="333" spans="2:20">
      <c r="B333" s="582">
        <v>259</v>
      </c>
      <c r="C333" s="712">
        <f t="shared" si="91"/>
        <v>3.8449727052957363</v>
      </c>
      <c r="D333" s="712">
        <f t="shared" si="92"/>
        <v>1413.6277826856717</v>
      </c>
      <c r="E333" s="712">
        <f t="shared" si="93"/>
        <v>822.14372450548524</v>
      </c>
      <c r="F333" s="712">
        <f t="shared" si="94"/>
        <v>485.4809949717968</v>
      </c>
      <c r="G333" s="712">
        <f t="shared" si="95"/>
        <v>349.2472550493689</v>
      </c>
      <c r="H333" s="719">
        <f t="shared" si="96"/>
        <v>300.43804931639966</v>
      </c>
      <c r="I333" s="712">
        <f t="shared" si="97"/>
        <v>300.08731046462674</v>
      </c>
      <c r="J333" s="712">
        <f t="shared" si="98"/>
        <v>299.84480638210823</v>
      </c>
      <c r="K333" s="712">
        <f t="shared" si="99"/>
        <v>299.70242213537432</v>
      </c>
      <c r="L333" s="712">
        <f t="shared" si="100"/>
        <v>299.65530572486551</v>
      </c>
      <c r="N333" s="582">
        <v>259</v>
      </c>
      <c r="O333" s="712">
        <f t="shared" si="101"/>
        <v>3.8449727052957363</v>
      </c>
      <c r="P333" s="712">
        <f t="shared" si="102"/>
        <v>643.99840312566835</v>
      </c>
      <c r="Q333" s="712">
        <f t="shared" si="103"/>
        <v>628.52208932412827</v>
      </c>
      <c r="R333" s="712">
        <f t="shared" si="104"/>
        <v>617.40416516035111</v>
      </c>
      <c r="S333" s="712">
        <f t="shared" si="105"/>
        <v>610.69244274370317</v>
      </c>
      <c r="T333" s="712">
        <f t="shared" si="106"/>
        <v>608.41537584161006</v>
      </c>
    </row>
    <row r="334" spans="2:20">
      <c r="B334" s="582">
        <v>260</v>
      </c>
      <c r="C334" s="712">
        <f t="shared" si="91"/>
        <v>3.8598181597563372</v>
      </c>
      <c r="D334" s="712">
        <f t="shared" si="92"/>
        <v>1413.9787846140675</v>
      </c>
      <c r="E334" s="712">
        <f t="shared" si="93"/>
        <v>823.31594978260262</v>
      </c>
      <c r="F334" s="712">
        <f t="shared" si="94"/>
        <v>486.40300542177499</v>
      </c>
      <c r="G334" s="712">
        <f t="shared" si="95"/>
        <v>349.6494240882065</v>
      </c>
      <c r="H334" s="719">
        <f t="shared" si="96"/>
        <v>300.46744311377785</v>
      </c>
      <c r="I334" s="712">
        <f t="shared" si="97"/>
        <v>300.11389593555782</v>
      </c>
      <c r="J334" s="712">
        <f t="shared" si="98"/>
        <v>299.86939859958335</v>
      </c>
      <c r="K334" s="712">
        <f t="shared" si="99"/>
        <v>299.72582256675207</v>
      </c>
      <c r="L334" s="712">
        <f t="shared" si="100"/>
        <v>299.67830718197388</v>
      </c>
      <c r="N334" s="582">
        <v>260</v>
      </c>
      <c r="O334" s="712">
        <f t="shared" si="101"/>
        <v>3.8598181597563372</v>
      </c>
      <c r="P334" s="712">
        <f t="shared" si="102"/>
        <v>645.05249755621605</v>
      </c>
      <c r="Q334" s="712">
        <f t="shared" si="103"/>
        <v>629.59263109013409</v>
      </c>
      <c r="R334" s="712">
        <f t="shared" si="104"/>
        <v>618.48645091077594</v>
      </c>
      <c r="S334" s="712">
        <f t="shared" si="105"/>
        <v>611.78171753112576</v>
      </c>
      <c r="T334" s="712">
        <f t="shared" si="106"/>
        <v>609.5068540127603</v>
      </c>
    </row>
    <row r="335" spans="2:20">
      <c r="B335" s="582">
        <v>261</v>
      </c>
      <c r="C335" s="712">
        <f t="shared" si="91"/>
        <v>3.8746636142169386</v>
      </c>
      <c r="D335" s="712">
        <f t="shared" si="92"/>
        <v>1414.3281153936284</v>
      </c>
      <c r="E335" s="712">
        <f t="shared" si="93"/>
        <v>824.48324624579652</v>
      </c>
      <c r="F335" s="712">
        <f t="shared" si="94"/>
        <v>487.32377553956115</v>
      </c>
      <c r="G335" s="712">
        <f t="shared" si="95"/>
        <v>350.05226965864546</v>
      </c>
      <c r="H335" s="719">
        <f t="shared" si="96"/>
        <v>300.49704140970573</v>
      </c>
      <c r="I335" s="712">
        <f t="shared" si="97"/>
        <v>300.14068161109469</v>
      </c>
      <c r="J335" s="712">
        <f t="shared" si="98"/>
        <v>299.89418767974234</v>
      </c>
      <c r="K335" s="712">
        <f t="shared" si="99"/>
        <v>299.74941773477457</v>
      </c>
      <c r="L335" s="712">
        <f t="shared" si="100"/>
        <v>299.70150262611804</v>
      </c>
      <c r="N335" s="582">
        <v>261</v>
      </c>
      <c r="O335" s="712">
        <f t="shared" si="101"/>
        <v>3.8746636142169386</v>
      </c>
      <c r="P335" s="712">
        <f t="shared" si="102"/>
        <v>646.10545446200183</v>
      </c>
      <c r="Q335" s="712">
        <f t="shared" si="103"/>
        <v>630.66201758225532</v>
      </c>
      <c r="R335" s="712">
        <f t="shared" si="104"/>
        <v>619.56756871380901</v>
      </c>
      <c r="S335" s="712">
        <f t="shared" si="105"/>
        <v>612.86981682894589</v>
      </c>
      <c r="T335" s="712">
        <f t="shared" si="106"/>
        <v>610.59715431652899</v>
      </c>
    </row>
    <row r="336" spans="2:20">
      <c r="B336" s="582">
        <v>262</v>
      </c>
      <c r="C336" s="712">
        <f t="shared" si="91"/>
        <v>3.88950906867754</v>
      </c>
      <c r="D336" s="712">
        <f t="shared" si="92"/>
        <v>1414.6757889817377</v>
      </c>
      <c r="E336" s="712">
        <f t="shared" si="93"/>
        <v>825.64564584862808</v>
      </c>
      <c r="F336" s="712">
        <f t="shared" si="94"/>
        <v>488.24329717538478</v>
      </c>
      <c r="G336" s="712">
        <f t="shared" si="95"/>
        <v>350.45578077131796</v>
      </c>
      <c r="H336" s="719">
        <f t="shared" si="96"/>
        <v>300.52684434929938</v>
      </c>
      <c r="I336" s="712">
        <f t="shared" si="97"/>
        <v>300.16766772508043</v>
      </c>
      <c r="J336" s="712">
        <f t="shared" si="98"/>
        <v>299.9191739212398</v>
      </c>
      <c r="K336" s="712">
        <f t="shared" si="99"/>
        <v>299.77320797753134</v>
      </c>
      <c r="L336" s="712">
        <f t="shared" si="100"/>
        <v>299.72489240858471</v>
      </c>
      <c r="N336" s="582">
        <v>262</v>
      </c>
      <c r="O336" s="712">
        <f t="shared" si="101"/>
        <v>3.88950906867754</v>
      </c>
      <c r="P336" s="712">
        <f t="shared" si="102"/>
        <v>647.15727507058398</v>
      </c>
      <c r="Q336" s="712">
        <f t="shared" si="103"/>
        <v>631.73025004720432</v>
      </c>
      <c r="R336" s="712">
        <f t="shared" si="104"/>
        <v>620.64751982983944</v>
      </c>
      <c r="S336" s="712">
        <f t="shared" si="105"/>
        <v>613.95674190569139</v>
      </c>
      <c r="T336" s="712">
        <f t="shared" si="106"/>
        <v>611.68627802401022</v>
      </c>
    </row>
    <row r="337" spans="2:20">
      <c r="B337" s="582">
        <v>263</v>
      </c>
      <c r="C337" s="712">
        <f t="shared" si="91"/>
        <v>3.9043545231381414</v>
      </c>
      <c r="D337" s="712">
        <f t="shared" si="92"/>
        <v>1415.0218191344557</v>
      </c>
      <c r="E337" s="712">
        <f t="shared" si="93"/>
        <v>826.80318027738986</v>
      </c>
      <c r="F337" s="712">
        <f t="shared" si="94"/>
        <v>489.16156235089557</v>
      </c>
      <c r="G337" s="712">
        <f t="shared" si="95"/>
        <v>350.8599465011398</v>
      </c>
      <c r="H337" s="719">
        <f t="shared" si="96"/>
        <v>300.55685207231409</v>
      </c>
      <c r="I337" s="712">
        <f t="shared" si="97"/>
        <v>300.19485450548387</v>
      </c>
      <c r="J337" s="712">
        <f t="shared" si="98"/>
        <v>299.94435761649726</v>
      </c>
      <c r="K337" s="712">
        <f t="shared" si="99"/>
        <v>299.79719362666719</v>
      </c>
      <c r="L337" s="712">
        <f t="shared" si="100"/>
        <v>299.74847687414666</v>
      </c>
      <c r="N337" s="582">
        <v>263</v>
      </c>
      <c r="O337" s="712">
        <f t="shared" si="101"/>
        <v>3.9043545231381414</v>
      </c>
      <c r="P337" s="712">
        <f t="shared" si="102"/>
        <v>648.20796060819646</v>
      </c>
      <c r="Q337" s="712">
        <f t="shared" si="103"/>
        <v>632.79732973034811</v>
      </c>
      <c r="R337" s="712">
        <f t="shared" si="104"/>
        <v>621.72630551789621</v>
      </c>
      <c r="S337" s="712">
        <f t="shared" si="105"/>
        <v>615.04249402852179</v>
      </c>
      <c r="T337" s="712">
        <f t="shared" si="106"/>
        <v>612.77422640492648</v>
      </c>
    </row>
    <row r="338" spans="2:20">
      <c r="B338" s="582">
        <v>264</v>
      </c>
      <c r="C338" s="712">
        <f t="shared" si="91"/>
        <v>3.9191999775987427</v>
      </c>
      <c r="D338" s="712">
        <f t="shared" si="92"/>
        <v>1415.3662194112053</v>
      </c>
      <c r="E338" s="712">
        <f t="shared" si="93"/>
        <v>827.95588095342737</v>
      </c>
      <c r="F338" s="712">
        <f t="shared" si="94"/>
        <v>490.07856325665233</v>
      </c>
      <c r="G338" s="712">
        <f t="shared" si="95"/>
        <v>351.26475598748249</v>
      </c>
      <c r="H338" s="719">
        <f t="shared" si="96"/>
        <v>300.5870647131843</v>
      </c>
      <c r="I338" s="712">
        <f t="shared" si="97"/>
        <v>300.22224217443744</v>
      </c>
      <c r="J338" s="712">
        <f t="shared" si="98"/>
        <v>299.96973905173911</v>
      </c>
      <c r="K338" s="712">
        <f t="shared" si="99"/>
        <v>299.8213750074172</v>
      </c>
      <c r="L338" s="712">
        <f t="shared" si="100"/>
        <v>299.77225636109739</v>
      </c>
      <c r="N338" s="582">
        <v>264</v>
      </c>
      <c r="O338" s="712">
        <f t="shared" si="101"/>
        <v>3.9191999775987427</v>
      </c>
      <c r="P338" s="712">
        <f t="shared" si="102"/>
        <v>649.25751229974969</v>
      </c>
      <c r="Q338" s="712">
        <f t="shared" si="103"/>
        <v>633.86325787570979</v>
      </c>
      <c r="R338" s="712">
        <f t="shared" si="104"/>
        <v>622.80392703564962</v>
      </c>
      <c r="S338" s="712">
        <f t="shared" si="105"/>
        <v>616.12707446322884</v>
      </c>
      <c r="T338" s="712">
        <f t="shared" si="106"/>
        <v>613.86100072762997</v>
      </c>
    </row>
    <row r="339" spans="2:20">
      <c r="B339" s="582">
        <v>265</v>
      </c>
      <c r="C339" s="712">
        <f t="shared" si="91"/>
        <v>3.9340454320593441</v>
      </c>
      <c r="D339" s="712">
        <f t="shared" si="92"/>
        <v>1415.7090031793127</v>
      </c>
      <c r="E339" s="712">
        <f t="shared" si="93"/>
        <v>829.10377903544884</v>
      </c>
      <c r="F339" s="712">
        <f t="shared" si="94"/>
        <v>490.99429224964666</v>
      </c>
      <c r="G339" s="712">
        <f t="shared" si="95"/>
        <v>351.67019843433303</v>
      </c>
      <c r="H339" s="719">
        <f t="shared" si="96"/>
        <v>300.6174824010634</v>
      </c>
      <c r="I339" s="712">
        <f t="shared" si="97"/>
        <v>300.2498309482753</v>
      </c>
      <c r="J339" s="712">
        <f t="shared" si="98"/>
        <v>299.99531850702908</v>
      </c>
      <c r="K339" s="712">
        <f t="shared" si="99"/>
        <v>299.84575243864197</v>
      </c>
      <c r="L339" s="712">
        <f t="shared" si="100"/>
        <v>299.79623120128582</v>
      </c>
      <c r="N339" s="582">
        <v>265</v>
      </c>
      <c r="O339" s="712">
        <f t="shared" si="101"/>
        <v>3.9340454320593441</v>
      </c>
      <c r="P339" s="712">
        <f t="shared" si="102"/>
        <v>650.30593136883226</v>
      </c>
      <c r="Q339" s="712">
        <f t="shared" si="103"/>
        <v>634.92803572597006</v>
      </c>
      <c r="R339" s="712">
        <f t="shared" si="104"/>
        <v>623.88038563941245</v>
      </c>
      <c r="S339" s="712">
        <f t="shared" si="105"/>
        <v>617.21048447423834</v>
      </c>
      <c r="T339" s="712">
        <f t="shared" si="106"/>
        <v>614.94660225910457</v>
      </c>
    </row>
    <row r="340" spans="2:20">
      <c r="B340" s="582">
        <v>266</v>
      </c>
      <c r="C340" s="712">
        <f t="shared" si="91"/>
        <v>3.948890886519945</v>
      </c>
      <c r="D340" s="712">
        <f t="shared" si="92"/>
        <v>1416.0501836184067</v>
      </c>
      <c r="E340" s="712">
        <f t="shared" si="93"/>
        <v>830.24690542182418</v>
      </c>
      <c r="F340" s="712">
        <f t="shared" si="94"/>
        <v>491.90874185086108</v>
      </c>
      <c r="G340" s="712">
        <f t="shared" si="95"/>
        <v>352.07626311044032</v>
      </c>
      <c r="H340" s="719">
        <f t="shared" si="96"/>
        <v>300.64810525986366</v>
      </c>
      <c r="I340" s="712">
        <f t="shared" si="97"/>
        <v>300.27762103757129</v>
      </c>
      <c r="J340" s="712">
        <f t="shared" si="98"/>
        <v>300.02109625630675</v>
      </c>
      <c r="K340" s="712">
        <f t="shared" si="99"/>
        <v>299.87032623286257</v>
      </c>
      <c r="L340" s="712">
        <f t="shared" si="100"/>
        <v>299.82040172015121</v>
      </c>
      <c r="N340" s="582">
        <v>266</v>
      </c>
      <c r="O340" s="712">
        <f t="shared" si="101"/>
        <v>3.948890886519945</v>
      </c>
      <c r="P340" s="712">
        <f t="shared" si="102"/>
        <v>651.35321903771239</v>
      </c>
      <c r="Q340" s="712">
        <f t="shared" si="103"/>
        <v>635.99166452246857</v>
      </c>
      <c r="R340" s="712">
        <f t="shared" si="104"/>
        <v>624.9556825841421</v>
      </c>
      <c r="S340" s="712">
        <f t="shared" si="105"/>
        <v>618.29272532461175</v>
      </c>
      <c r="T340" s="712">
        <f t="shared" si="106"/>
        <v>616.03103226496614</v>
      </c>
    </row>
    <row r="341" spans="2:20">
      <c r="B341" s="582">
        <v>267</v>
      </c>
      <c r="C341" s="712">
        <f t="shared" si="91"/>
        <v>3.9637363409805464</v>
      </c>
      <c r="D341" s="712">
        <f t="shared" si="92"/>
        <v>1416.3897737246855</v>
      </c>
      <c r="E341" s="712">
        <f t="shared" si="93"/>
        <v>831.38529075287045</v>
      </c>
      <c r="F341" s="712">
        <f t="shared" si="94"/>
        <v>492.82190474286</v>
      </c>
      <c r="G341" s="712">
        <f t="shared" si="95"/>
        <v>352.48293934945019</v>
      </c>
      <c r="H341" s="719">
        <f t="shared" si="96"/>
        <v>300.67893340829562</v>
      </c>
      <c r="I341" s="712">
        <f t="shared" si="97"/>
        <v>300.30561264717727</v>
      </c>
      <c r="J341" s="712">
        <f t="shared" si="98"/>
        <v>300.04707256742398</v>
      </c>
      <c r="K341" s="712">
        <f t="shared" si="99"/>
        <v>299.89509669629666</v>
      </c>
      <c r="L341" s="712">
        <f t="shared" si="100"/>
        <v>299.84476823675817</v>
      </c>
      <c r="N341" s="582">
        <v>267</v>
      </c>
      <c r="O341" s="712">
        <f t="shared" si="101"/>
        <v>3.9637363409805464</v>
      </c>
      <c r="P341" s="712">
        <f t="shared" si="102"/>
        <v>652.39937652733954</v>
      </c>
      <c r="Q341" s="712">
        <f t="shared" si="103"/>
        <v>637.05414550520527</v>
      </c>
      <c r="R341" s="712">
        <f t="shared" si="104"/>
        <v>626.0298191234416</v>
      </c>
      <c r="S341" s="712">
        <f t="shared" si="105"/>
        <v>619.37379827604741</v>
      </c>
      <c r="T341" s="712">
        <f t="shared" si="106"/>
        <v>617.11429200946532</v>
      </c>
    </row>
    <row r="342" spans="2:20">
      <c r="B342" s="582">
        <v>268</v>
      </c>
      <c r="C342" s="712">
        <f t="shared" si="91"/>
        <v>3.9785817954411478</v>
      </c>
      <c r="D342" s="712">
        <f t="shared" si="92"/>
        <v>1416.7277863150518</v>
      </c>
      <c r="E342" s="712">
        <f t="shared" si="93"/>
        <v>832.5189654131259</v>
      </c>
      <c r="F342" s="712">
        <f t="shared" si="94"/>
        <v>493.73377376741513</v>
      </c>
      <c r="G342" s="712">
        <f t="shared" si="95"/>
        <v>352.89021655002733</v>
      </c>
      <c r="H342" s="719">
        <f t="shared" si="96"/>
        <v>300.70996695990812</v>
      </c>
      <c r="I342" s="712">
        <f t="shared" si="97"/>
        <v>300.33380597626086</v>
      </c>
      <c r="J342" s="712">
        <f t="shared" si="98"/>
        <v>300.07324770218179</v>
      </c>
      <c r="K342" s="712">
        <f t="shared" si="99"/>
        <v>299.92006412889367</v>
      </c>
      <c r="L342" s="712">
        <f t="shared" si="100"/>
        <v>299.86933106383242</v>
      </c>
      <c r="N342" s="582">
        <v>268</v>
      </c>
      <c r="O342" s="712">
        <f t="shared" si="101"/>
        <v>3.9785817954411478</v>
      </c>
      <c r="P342" s="712">
        <f t="shared" si="102"/>
        <v>653.44440505734497</v>
      </c>
      <c r="Q342" s="712">
        <f t="shared" si="103"/>
        <v>638.11547991284203</v>
      </c>
      <c r="R342" s="712">
        <f t="shared" si="104"/>
        <v>627.10279650956102</v>
      </c>
      <c r="S342" s="712">
        <f t="shared" si="105"/>
        <v>620.45370458888192</v>
      </c>
      <c r="T342" s="712">
        <f t="shared" si="106"/>
        <v>618.19638275548846</v>
      </c>
    </row>
    <row r="343" spans="2:20">
      <c r="B343" s="582">
        <v>269</v>
      </c>
      <c r="C343" s="712">
        <f t="shared" si="91"/>
        <v>3.9934272499017491</v>
      </c>
      <c r="D343" s="712">
        <f t="shared" si="92"/>
        <v>1417.0642340311219</v>
      </c>
      <c r="E343" s="712">
        <f t="shared" si="93"/>
        <v>833.64795953361067</v>
      </c>
      <c r="F343" s="712">
        <f t="shared" si="94"/>
        <v>494.64434192316276</v>
      </c>
      <c r="G343" s="712">
        <f t="shared" si="95"/>
        <v>353.29808417596576</v>
      </c>
      <c r="H343" s="719">
        <f t="shared" si="96"/>
        <v>300.74120602312746</v>
      </c>
      <c r="I343" s="712">
        <f t="shared" si="97"/>
        <v>300.36220121834384</v>
      </c>
      <c r="J343" s="712">
        <f t="shared" si="98"/>
        <v>300.09962191636703</v>
      </c>
      <c r="K343" s="712">
        <f t="shared" si="99"/>
        <v>299.94522882437093</v>
      </c>
      <c r="L343" s="712">
        <f t="shared" si="100"/>
        <v>299.89409050779585</v>
      </c>
      <c r="N343" s="582">
        <v>269</v>
      </c>
      <c r="O343" s="712">
        <f t="shared" si="101"/>
        <v>3.9934272499017491</v>
      </c>
      <c r="P343" s="712">
        <f t="shared" si="102"/>
        <v>654.48830584604423</v>
      </c>
      <c r="Q343" s="712">
        <f t="shared" si="103"/>
        <v>639.175668982704</v>
      </c>
      <c r="R343" s="712">
        <f t="shared" si="104"/>
        <v>628.17461599339924</v>
      </c>
      <c r="S343" s="712">
        <f t="shared" si="105"/>
        <v>621.53244552209219</v>
      </c>
      <c r="T343" s="712">
        <f t="shared" si="106"/>
        <v>619.27730576455861</v>
      </c>
    </row>
    <row r="344" spans="2:20">
      <c r="B344" s="582">
        <v>270</v>
      </c>
      <c r="C344" s="712">
        <f t="shared" si="91"/>
        <v>4.0082727043623505</v>
      </c>
      <c r="D344" s="712">
        <f t="shared" si="92"/>
        <v>1417.3991293431136</v>
      </c>
      <c r="E344" s="712">
        <f t="shared" si="93"/>
        <v>834.77230299407449</v>
      </c>
      <c r="F344" s="712">
        <f t="shared" si="94"/>
        <v>495.55360236329415</v>
      </c>
      <c r="G344" s="712">
        <f t="shared" si="95"/>
        <v>353.70653175628763</v>
      </c>
      <c r="H344" s="719">
        <f t="shared" si="96"/>
        <v>300.77265070129698</v>
      </c>
      <c r="I344" s="712">
        <f t="shared" si="97"/>
        <v>300.39079856134026</v>
      </c>
      <c r="J344" s="712">
        <f t="shared" si="98"/>
        <v>300.1261954597893</v>
      </c>
      <c r="K344" s="712">
        <f t="shared" si="99"/>
        <v>299.97059107024955</v>
      </c>
      <c r="L344" s="712">
        <f t="shared" si="100"/>
        <v>299.9190468688023</v>
      </c>
      <c r="N344" s="582">
        <v>270</v>
      </c>
      <c r="O344" s="712">
        <f t="shared" si="101"/>
        <v>4.0082727043623505</v>
      </c>
      <c r="P344" s="712">
        <f t="shared" si="102"/>
        <v>655.5310801104381</v>
      </c>
      <c r="Q344" s="712">
        <f t="shared" si="103"/>
        <v>640.23471395078116</v>
      </c>
      <c r="R344" s="712">
        <f t="shared" si="104"/>
        <v>629.24527882450502</v>
      </c>
      <c r="S344" s="712">
        <f t="shared" si="105"/>
        <v>622.61002233329611</v>
      </c>
      <c r="T344" s="712">
        <f t="shared" si="106"/>
        <v>620.35706229683785</v>
      </c>
    </row>
    <row r="345" spans="2:20">
      <c r="B345" s="582">
        <v>271</v>
      </c>
      <c r="C345" s="712">
        <f t="shared" si="91"/>
        <v>4.0231181588229514</v>
      </c>
      <c r="D345" s="712">
        <f t="shared" si="92"/>
        <v>1417.7324845536177</v>
      </c>
      <c r="E345" s="712">
        <f t="shared" si="93"/>
        <v>835.89202542523128</v>
      </c>
      <c r="F345" s="712">
        <f t="shared" si="94"/>
        <v>496.46154839327772</v>
      </c>
      <c r="G345" s="712">
        <f t="shared" si="95"/>
        <v>354.11554888533095</v>
      </c>
      <c r="H345" s="719">
        <f t="shared" si="96"/>
        <v>300.80430109271634</v>
      </c>
      <c r="I345" s="712">
        <f t="shared" si="97"/>
        <v>300.41959818759437</v>
      </c>
      <c r="J345" s="712">
        <f t="shared" si="98"/>
        <v>300.1529685763179</v>
      </c>
      <c r="K345" s="712">
        <f t="shared" si="99"/>
        <v>299.99615114789071</v>
      </c>
      <c r="L345" s="712">
        <f t="shared" si="100"/>
        <v>299.9442004407735</v>
      </c>
      <c r="N345" s="582">
        <v>271</v>
      </c>
      <c r="O345" s="712">
        <f t="shared" si="101"/>
        <v>4.0231181588229514</v>
      </c>
      <c r="P345" s="712">
        <f t="shared" si="102"/>
        <v>656.57272906621392</v>
      </c>
      <c r="Q345" s="712">
        <f t="shared" si="103"/>
        <v>641.29261605172951</v>
      </c>
      <c r="R345" s="712">
        <f t="shared" si="104"/>
        <v>630.31478625107889</v>
      </c>
      <c r="S345" s="712">
        <f t="shared" si="105"/>
        <v>623.68643627875463</v>
      </c>
      <c r="T345" s="712">
        <f t="shared" si="106"/>
        <v>621.43565361112826</v>
      </c>
    </row>
    <row r="346" spans="2:20">
      <c r="B346" s="582">
        <v>272</v>
      </c>
      <c r="C346" s="712">
        <f t="shared" si="91"/>
        <v>4.0379636132835532</v>
      </c>
      <c r="D346" s="712">
        <f t="shared" si="92"/>
        <v>1418.064311801254</v>
      </c>
      <c r="E346" s="712">
        <f t="shared" si="93"/>
        <v>837.0071562109797</v>
      </c>
      <c r="F346" s="712">
        <f t="shared" si="94"/>
        <v>497.36817346861278</v>
      </c>
      <c r="G346" s="712">
        <f t="shared" si="95"/>
        <v>354.52512522282569</v>
      </c>
      <c r="H346" s="719">
        <f t="shared" si="96"/>
        <v>300.83615729068072</v>
      </c>
      <c r="I346" s="712">
        <f t="shared" si="97"/>
        <v>300.44860027391917</v>
      </c>
      <c r="J346" s="712">
        <f t="shared" si="98"/>
        <v>300.17994150391894</v>
      </c>
      <c r="K346" s="712">
        <f t="shared" si="99"/>
        <v>300.02190933253161</v>
      </c>
      <c r="L346" s="712">
        <f t="shared" si="100"/>
        <v>299.9695515114351</v>
      </c>
      <c r="N346" s="582">
        <v>272</v>
      </c>
      <c r="O346" s="712">
        <f t="shared" si="101"/>
        <v>4.0379636132835532</v>
      </c>
      <c r="P346" s="712">
        <f t="shared" si="102"/>
        <v>657.61325392774711</v>
      </c>
      <c r="Q346" s="712">
        <f t="shared" si="103"/>
        <v>642.34937651887287</v>
      </c>
      <c r="R346" s="712">
        <f t="shared" si="104"/>
        <v>631.38313951997407</v>
      </c>
      <c r="S346" s="712">
        <f t="shared" si="105"/>
        <v>624.76168861337294</v>
      </c>
      <c r="T346" s="712">
        <f t="shared" si="106"/>
        <v>622.51308096487344</v>
      </c>
    </row>
    <row r="347" spans="2:20">
      <c r="B347" s="582">
        <v>273</v>
      </c>
      <c r="C347" s="712">
        <f t="shared" si="91"/>
        <v>4.0528090677441542</v>
      </c>
      <c r="D347" s="712">
        <f t="shared" si="92"/>
        <v>1418.3946230642207</v>
      </c>
      <c r="E347" s="712">
        <f t="shared" si="93"/>
        <v>838.11772449060902</v>
      </c>
      <c r="F347" s="712">
        <f t="shared" si="94"/>
        <v>498.27347119261464</v>
      </c>
      <c r="G347" s="712">
        <f t="shared" si="95"/>
        <v>354.93525049395936</v>
      </c>
      <c r="H347" s="719">
        <f t="shared" si="96"/>
        <v>300.86821938352011</v>
      </c>
      <c r="I347" s="712">
        <f t="shared" si="97"/>
        <v>300.47780499163417</v>
      </c>
      <c r="J347" s="712">
        <f t="shared" si="98"/>
        <v>300.20711447469239</v>
      </c>
      <c r="K347" s="712">
        <f t="shared" si="99"/>
        <v>300.04786589332224</v>
      </c>
      <c r="L347" s="712">
        <f t="shared" si="100"/>
        <v>299.9951003623525</v>
      </c>
      <c r="N347" s="582">
        <v>273</v>
      </c>
      <c r="O347" s="712">
        <f t="shared" si="101"/>
        <v>4.0528090677441542</v>
      </c>
      <c r="P347" s="712">
        <f t="shared" si="102"/>
        <v>658.6526559081027</v>
      </c>
      <c r="Q347" s="712">
        <f t="shared" si="103"/>
        <v>643.4049965842039</v>
      </c>
      <c r="R347" s="712">
        <f t="shared" si="104"/>
        <v>632.45033987669888</v>
      </c>
      <c r="S347" s="712">
        <f t="shared" si="105"/>
        <v>625.83578059070192</v>
      </c>
      <c r="T347" s="712">
        <f t="shared" si="106"/>
        <v>623.58934561416004</v>
      </c>
    </row>
    <row r="348" spans="2:20">
      <c r="B348" s="582">
        <v>274</v>
      </c>
      <c r="C348" s="712">
        <f t="shared" si="91"/>
        <v>4.067654522204756</v>
      </c>
      <c r="D348" s="712">
        <f t="shared" si="92"/>
        <v>1418.7234301637359</v>
      </c>
      <c r="E348" s="712">
        <f t="shared" si="93"/>
        <v>839.22375916099259</v>
      </c>
      <c r="F348" s="712">
        <f t="shared" si="94"/>
        <v>499.17743531423076</v>
      </c>
      <c r="G348" s="712">
        <f t="shared" si="95"/>
        <v>355.34591448943212</v>
      </c>
      <c r="H348" s="719">
        <f t="shared" si="96"/>
        <v>300.90048745463821</v>
      </c>
      <c r="I348" s="712">
        <f t="shared" si="97"/>
        <v>300.50721250660376</v>
      </c>
      <c r="J348" s="712">
        <f t="shared" si="98"/>
        <v>300.23448771490945</v>
      </c>
      <c r="K348" s="712">
        <f t="shared" si="99"/>
        <v>300.07402109336164</v>
      </c>
      <c r="L348" s="712">
        <f t="shared" si="100"/>
        <v>300.02084726896737</v>
      </c>
      <c r="N348" s="582">
        <v>274</v>
      </c>
      <c r="O348" s="712">
        <f t="shared" si="101"/>
        <v>4.067654522204756</v>
      </c>
      <c r="P348" s="712">
        <f t="shared" si="102"/>
        <v>659.69093621903653</v>
      </c>
      <c r="Q348" s="712">
        <f t="shared" si="103"/>
        <v>644.45947747838591</v>
      </c>
      <c r="R348" s="712">
        <f t="shared" si="104"/>
        <v>633.51638856541672</v>
      </c>
      <c r="S348" s="712">
        <f t="shared" si="105"/>
        <v>626.90871346293989</v>
      </c>
      <c r="T348" s="712">
        <f t="shared" si="106"/>
        <v>624.66444881371922</v>
      </c>
    </row>
    <row r="349" spans="2:20">
      <c r="B349" s="582">
        <v>275</v>
      </c>
      <c r="C349" s="712">
        <f t="shared" si="91"/>
        <v>4.0824999766653569</v>
      </c>
      <c r="D349" s="712">
        <f t="shared" si="92"/>
        <v>1419.0507447673783</v>
      </c>
      <c r="E349" s="712">
        <f t="shared" si="93"/>
        <v>840.32528887876583</v>
      </c>
      <c r="F349" s="712">
        <f t="shared" si="94"/>
        <v>500.08005972588671</v>
      </c>
      <c r="G349" s="712">
        <f t="shared" si="95"/>
        <v>355.75710706550086</v>
      </c>
      <c r="H349" s="719">
        <f t="shared" si="96"/>
        <v>300.93296158255123</v>
      </c>
      <c r="I349" s="712">
        <f t="shared" si="97"/>
        <v>300.53682297927526</v>
      </c>
      <c r="J349" s="712">
        <f t="shared" si="98"/>
        <v>300.2620614450496</v>
      </c>
      <c r="K349" s="712">
        <f t="shared" si="99"/>
        <v>300.10037518973462</v>
      </c>
      <c r="L349" s="712">
        <f t="shared" si="100"/>
        <v>300.0467925006339</v>
      </c>
      <c r="N349" s="582">
        <v>275</v>
      </c>
      <c r="O349" s="712">
        <f t="shared" si="101"/>
        <v>4.0824999766653569</v>
      </c>
      <c r="P349" s="712">
        <f t="shared" si="102"/>
        <v>660.72809607099691</v>
      </c>
      <c r="Q349" s="712">
        <f t="shared" si="103"/>
        <v>645.51282043075412</v>
      </c>
      <c r="R349" s="712">
        <f t="shared" si="104"/>
        <v>634.58128682894892</v>
      </c>
      <c r="S349" s="712">
        <f t="shared" si="105"/>
        <v>627.98048848093367</v>
      </c>
      <c r="T349" s="712">
        <f t="shared" si="106"/>
        <v>625.73839181692802</v>
      </c>
    </row>
    <row r="350" spans="2:20">
      <c r="B350" s="582">
        <v>276</v>
      </c>
      <c r="C350" s="712">
        <f t="shared" si="91"/>
        <v>4.0973454311259578</v>
      </c>
      <c r="D350" s="712">
        <f t="shared" si="92"/>
        <v>1419.3765783923297</v>
      </c>
      <c r="E350" s="712">
        <f t="shared" si="93"/>
        <v>841.42234206248929</v>
      </c>
      <c r="F350" s="712">
        <f t="shared" si="94"/>
        <v>500.98133846136284</v>
      </c>
      <c r="G350" s="712">
        <f t="shared" si="95"/>
        <v>356.16881814401415</v>
      </c>
      <c r="H350" s="719">
        <f t="shared" si="96"/>
        <v>300.96564184092688</v>
      </c>
      <c r="I350" s="712">
        <f t="shared" si="97"/>
        <v>300.56663656471699</v>
      </c>
      <c r="J350" s="712">
        <f t="shared" si="98"/>
        <v>300.28983587983805</v>
      </c>
      <c r="K350" s="712">
        <f t="shared" si="99"/>
        <v>300.12692843354836</v>
      </c>
      <c r="L350" s="712">
        <f t="shared" si="100"/>
        <v>300.07293632065534</v>
      </c>
      <c r="N350" s="582">
        <v>276</v>
      </c>
      <c r="O350" s="712">
        <f t="shared" si="101"/>
        <v>4.0973454311259578</v>
      </c>
      <c r="P350" s="712">
        <f t="shared" si="102"/>
        <v>661.76413667312579</v>
      </c>
      <c r="Q350" s="712">
        <f t="shared" si="103"/>
        <v>646.56502666931715</v>
      </c>
      <c r="R350" s="712">
        <f t="shared" si="104"/>
        <v>635.64503590877553</v>
      </c>
      <c r="S350" s="712">
        <f t="shared" si="105"/>
        <v>629.05110689418029</v>
      </c>
      <c r="T350" s="712">
        <f t="shared" si="106"/>
        <v>626.81117587581116</v>
      </c>
    </row>
    <row r="351" spans="2:20">
      <c r="B351" s="582">
        <v>277</v>
      </c>
      <c r="C351" s="712">
        <f t="shared" si="91"/>
        <v>4.1121908855865597</v>
      </c>
      <c r="D351" s="712">
        <f t="shared" si="92"/>
        <v>1419.7009424085209</v>
      </c>
      <c r="E351" s="712">
        <f t="shared" si="93"/>
        <v>842.51494689479784</v>
      </c>
      <c r="F351" s="712">
        <f t="shared" si="94"/>
        <v>501.88126569370019</v>
      </c>
      <c r="G351" s="712">
        <f t="shared" si="95"/>
        <v>356.58103771243628</v>
      </c>
      <c r="H351" s="719">
        <f t="shared" si="96"/>
        <v>300.99852829862294</v>
      </c>
      <c r="I351" s="712">
        <f t="shared" si="97"/>
        <v>300.59665341265645</v>
      </c>
      <c r="J351" s="712">
        <f t="shared" si="98"/>
        <v>300.31781122828306</v>
      </c>
      <c r="K351" s="712">
        <f t="shared" si="99"/>
        <v>300.15368106996925</v>
      </c>
      <c r="L351" s="712">
        <f t="shared" si="100"/>
        <v>300.09927898632048</v>
      </c>
      <c r="N351" s="582">
        <v>277</v>
      </c>
      <c r="O351" s="712">
        <f t="shared" si="101"/>
        <v>4.1121908855865597</v>
      </c>
      <c r="P351" s="712">
        <f t="shared" si="102"/>
        <v>662.79905923326021</v>
      </c>
      <c r="Q351" s="712">
        <f t="shared" si="103"/>
        <v>647.61609742075825</v>
      </c>
      <c r="R351" s="712">
        <f t="shared" si="104"/>
        <v>636.70763704503679</v>
      </c>
      <c r="S351" s="712">
        <f t="shared" si="105"/>
        <v>630.12056995082855</v>
      </c>
      <c r="T351" s="712">
        <f t="shared" si="106"/>
        <v>627.88280224104176</v>
      </c>
    </row>
    <row r="352" spans="2:20">
      <c r="B352" s="582">
        <v>278</v>
      </c>
      <c r="C352" s="712">
        <f t="shared" si="91"/>
        <v>4.1270363400471606</v>
      </c>
      <c r="D352" s="712">
        <f t="shared" si="92"/>
        <v>1420.023848041687</v>
      </c>
      <c r="E352" s="712">
        <f t="shared" si="93"/>
        <v>843.60313132453416</v>
      </c>
      <c r="F352" s="712">
        <f t="shared" si="94"/>
        <v>502.77983573313571</v>
      </c>
      <c r="G352" s="712">
        <f t="shared" si="95"/>
        <v>356.99375582386227</v>
      </c>
      <c r="H352" s="719">
        <f t="shared" si="96"/>
        <v>301.03162101972595</v>
      </c>
      <c r="I352" s="712">
        <f t="shared" si="97"/>
        <v>300.62687366751823</v>
      </c>
      <c r="J352" s="712">
        <f t="shared" si="98"/>
        <v>300.34598769371331</v>
      </c>
      <c r="K352" s="712">
        <f t="shared" si="99"/>
        <v>300.18063333826001</v>
      </c>
      <c r="L352" s="712">
        <f t="shared" si="100"/>
        <v>300.1258207489405</v>
      </c>
      <c r="N352" s="582">
        <v>278</v>
      </c>
      <c r="O352" s="712">
        <f t="shared" si="101"/>
        <v>4.1270363400471606</v>
      </c>
      <c r="P352" s="712">
        <f t="shared" si="102"/>
        <v>663.83286495793402</v>
      </c>
      <c r="Q352" s="712">
        <f t="shared" si="103"/>
        <v>648.66603391043714</v>
      </c>
      <c r="R352" s="712">
        <f t="shared" si="104"/>
        <v>637.76909147653441</v>
      </c>
      <c r="S352" s="712">
        <f t="shared" si="105"/>
        <v>631.18887889767996</v>
      </c>
      <c r="T352" s="712">
        <f t="shared" si="106"/>
        <v>628.95327216194369</v>
      </c>
    </row>
    <row r="353" spans="2:20">
      <c r="B353" s="582">
        <v>279</v>
      </c>
      <c r="C353" s="712">
        <f t="shared" si="91"/>
        <v>4.1418817945077624</v>
      </c>
      <c r="D353" s="712">
        <f t="shared" si="92"/>
        <v>1420.3453063763338</v>
      </c>
      <c r="E353" s="712">
        <f t="shared" si="93"/>
        <v>844.68692306886805</v>
      </c>
      <c r="F353" s="712">
        <f t="shared" si="94"/>
        <v>503.67704302506667</v>
      </c>
      <c r="G353" s="712">
        <f t="shared" si="95"/>
        <v>357.40696259702332</v>
      </c>
      <c r="H353" s="719">
        <f t="shared" si="96"/>
        <v>301.06492006358951</v>
      </c>
      <c r="I353" s="712">
        <f t="shared" si="97"/>
        <v>300.65729746846216</v>
      </c>
      <c r="J353" s="712">
        <f t="shared" si="98"/>
        <v>300.37436547381543</v>
      </c>
      <c r="K353" s="712">
        <f t="shared" si="99"/>
        <v>300.20778547181618</v>
      </c>
      <c r="L353" s="712">
        <f t="shared" si="100"/>
        <v>300.15256185388563</v>
      </c>
      <c r="N353" s="582">
        <v>279</v>
      </c>
      <c r="O353" s="712">
        <f t="shared" si="101"/>
        <v>4.1418817945077624</v>
      </c>
      <c r="P353" s="712">
        <f t="shared" si="102"/>
        <v>664.86555505237891</v>
      </c>
      <c r="Q353" s="712">
        <f t="shared" si="103"/>
        <v>649.71483736239088</v>
      </c>
      <c r="R353" s="712">
        <f t="shared" si="104"/>
        <v>638.82940044073371</v>
      </c>
      <c r="S353" s="712">
        <f t="shared" si="105"/>
        <v>632.25603498019086</v>
      </c>
      <c r="T353" s="712">
        <f t="shared" si="106"/>
        <v>630.02258688649249</v>
      </c>
    </row>
    <row r="354" spans="2:20">
      <c r="B354" s="582">
        <v>280</v>
      </c>
      <c r="C354" s="712">
        <f t="shared" si="91"/>
        <v>4.1567272489683633</v>
      </c>
      <c r="D354" s="712">
        <f t="shared" si="92"/>
        <v>1420.6653283586177</v>
      </c>
      <c r="E354" s="712">
        <f t="shared" si="93"/>
        <v>845.76634961539924</v>
      </c>
      <c r="F354" s="712">
        <f t="shared" si="94"/>
        <v>504.57288214804299</v>
      </c>
      <c r="G354" s="712">
        <f t="shared" si="95"/>
        <v>357.82064821628268</v>
      </c>
      <c r="H354" s="719">
        <f t="shared" si="96"/>
        <v>301.09842548487268</v>
      </c>
      <c r="I354" s="712">
        <f t="shared" si="97"/>
        <v>300.68792494942124</v>
      </c>
      <c r="J354" s="712">
        <f t="shared" si="98"/>
        <v>300.40294476067129</v>
      </c>
      <c r="K354" s="712">
        <f t="shared" si="99"/>
        <v>300.23513769820369</v>
      </c>
      <c r="L354" s="712">
        <f t="shared" si="100"/>
        <v>300.17950254062202</v>
      </c>
      <c r="N354" s="582">
        <v>280</v>
      </c>
      <c r="O354" s="712">
        <f t="shared" si="101"/>
        <v>4.1567272489683633</v>
      </c>
      <c r="P354" s="712">
        <f t="shared" si="102"/>
        <v>665.89713072052575</v>
      </c>
      <c r="Q354" s="712">
        <f t="shared" si="103"/>
        <v>650.76250899933598</v>
      </c>
      <c r="R354" s="712">
        <f t="shared" si="104"/>
        <v>639.88856517376439</v>
      </c>
      <c r="S354" s="712">
        <f t="shared" si="105"/>
        <v>633.3220394424734</v>
      </c>
      <c r="T354" s="712">
        <f t="shared" si="106"/>
        <v>631.09074766131698</v>
      </c>
    </row>
    <row r="355" spans="2:20">
      <c r="B355" s="582">
        <v>281</v>
      </c>
      <c r="C355" s="712">
        <f t="shared" si="91"/>
        <v>4.1715727034289642</v>
      </c>
      <c r="D355" s="712">
        <f t="shared" si="92"/>
        <v>1420.9839247991433</v>
      </c>
      <c r="E355" s="712">
        <f t="shared" si="93"/>
        <v>846.84143822424653</v>
      </c>
      <c r="F355" s="712">
        <f t="shared" si="94"/>
        <v>505.4673478117885</v>
      </c>
      <c r="G355" s="712">
        <f t="shared" si="95"/>
        <v>358.23480293162288</v>
      </c>
      <c r="H355" s="719">
        <f t="shared" si="96"/>
        <v>301.13213733357816</v>
      </c>
      <c r="I355" s="712">
        <f t="shared" si="97"/>
        <v>300.71875623913962</v>
      </c>
      <c r="J355" s="712">
        <f t="shared" si="98"/>
        <v>300.43172574079568</v>
      </c>
      <c r="K355" s="712">
        <f t="shared" si="99"/>
        <v>300.26269023919554</v>
      </c>
      <c r="L355" s="712">
        <f t="shared" si="100"/>
        <v>300.20664304274891</v>
      </c>
      <c r="N355" s="582">
        <v>281</v>
      </c>
      <c r="O355" s="712">
        <f t="shared" si="101"/>
        <v>4.1715727034289642</v>
      </c>
      <c r="P355" s="712">
        <f t="shared" si="102"/>
        <v>666.92759316500644</v>
      </c>
      <c r="Q355" s="712">
        <f t="shared" si="103"/>
        <v>651.80905004266924</v>
      </c>
      <c r="R355" s="712">
        <f t="shared" si="104"/>
        <v>640.94658691042207</v>
      </c>
      <c r="S355" s="712">
        <f t="shared" si="105"/>
        <v>634.38689352729716</v>
      </c>
      <c r="T355" s="712">
        <f t="shared" si="106"/>
        <v>632.1577557317006</v>
      </c>
    </row>
    <row r="356" spans="2:20">
      <c r="B356" s="582">
        <v>282</v>
      </c>
      <c r="C356" s="712">
        <f t="shared" si="91"/>
        <v>4.1864181578895661</v>
      </c>
      <c r="D356" s="712">
        <f t="shared" si="92"/>
        <v>1421.3011063756815</v>
      </c>
      <c r="E356" s="712">
        <f t="shared" si="93"/>
        <v>847.91221593011971</v>
      </c>
      <c r="F356" s="712">
        <f t="shared" si="94"/>
        <v>506.36043485524903</v>
      </c>
      <c r="G356" s="712">
        <f t="shared" si="95"/>
        <v>358.64941705862407</v>
      </c>
      <c r="H356" s="719">
        <f t="shared" si="96"/>
        <v>301.16605565509042</v>
      </c>
      <c r="I356" s="712">
        <f t="shared" si="97"/>
        <v>300.74979146121041</v>
      </c>
      <c r="J356" s="712">
        <f t="shared" si="98"/>
        <v>300.46070859517374</v>
      </c>
      <c r="K356" s="712">
        <f t="shared" si="99"/>
        <v>300.29044331080922</v>
      </c>
      <c r="L356" s="712">
        <f t="shared" si="100"/>
        <v>300.2339835880353</v>
      </c>
      <c r="N356" s="582">
        <v>282</v>
      </c>
      <c r="O356" s="712">
        <f t="shared" si="101"/>
        <v>4.1864181578895661</v>
      </c>
      <c r="P356" s="712">
        <f t="shared" si="102"/>
        <v>667.95694358715502</v>
      </c>
      <c r="Q356" s="712">
        <f t="shared" si="103"/>
        <v>652.8544617124694</v>
      </c>
      <c r="R356" s="712">
        <f t="shared" si="104"/>
        <v>642.00346688416994</v>
      </c>
      <c r="S356" s="712">
        <f t="shared" si="105"/>
        <v>635.4505984760907</v>
      </c>
      <c r="T356" s="712">
        <f t="shared" si="106"/>
        <v>633.22361234158291</v>
      </c>
    </row>
    <row r="357" spans="2:20">
      <c r="B357" s="582">
        <v>283</v>
      </c>
      <c r="C357" s="712">
        <f t="shared" si="91"/>
        <v>4.201263612350167</v>
      </c>
      <c r="D357" s="712">
        <f t="shared" si="92"/>
        <v>1421.6168836358081</v>
      </c>
      <c r="E357" s="712">
        <f t="shared" si="93"/>
        <v>848.97870954437724</v>
      </c>
      <c r="F357" s="712">
        <f t="shared" si="94"/>
        <v>507.25213824466857</v>
      </c>
      <c r="G357" s="712">
        <f t="shared" si="95"/>
        <v>359.06448097843338</v>
      </c>
      <c r="H357" s="719">
        <f t="shared" si="96"/>
        <v>301.20018049021354</v>
      </c>
      <c r="I357" s="712">
        <f t="shared" si="97"/>
        <v>300.78103073411359</v>
      </c>
      <c r="J357" s="712">
        <f t="shared" si="98"/>
        <v>300.48989349929838</v>
      </c>
      <c r="K357" s="712">
        <f t="shared" si="99"/>
        <v>300.3183971233438</v>
      </c>
      <c r="L357" s="712">
        <f t="shared" si="100"/>
        <v>300.26152439845742</v>
      </c>
      <c r="N357" s="582">
        <v>283</v>
      </c>
      <c r="O357" s="712">
        <f t="shared" si="101"/>
        <v>4.201263612350167</v>
      </c>
      <c r="P357" s="712">
        <f t="shared" si="102"/>
        <v>668.98518318700906</v>
      </c>
      <c r="Q357" s="712">
        <f t="shared" si="103"/>
        <v>653.89874522749847</v>
      </c>
      <c r="R357" s="712">
        <f t="shared" si="104"/>
        <v>643.05920632714015</v>
      </c>
      <c r="S357" s="712">
        <f t="shared" si="105"/>
        <v>636.51315552894289</v>
      </c>
      <c r="T357" s="712">
        <f t="shared" si="106"/>
        <v>634.28831873356125</v>
      </c>
    </row>
    <row r="358" spans="2:20">
      <c r="B358" s="582">
        <v>284</v>
      </c>
      <c r="C358" s="712">
        <f t="shared" si="91"/>
        <v>4.2161090668107688</v>
      </c>
      <c r="D358" s="712">
        <f t="shared" si="92"/>
        <v>1421.9312669994708</v>
      </c>
      <c r="E358" s="712">
        <f t="shared" si="93"/>
        <v>850.04094565706794</v>
      </c>
      <c r="F358" s="712">
        <f t="shared" si="94"/>
        <v>508.14245307169233</v>
      </c>
      <c r="G358" s="712">
        <f t="shared" si="95"/>
        <v>359.47998513772671</v>
      </c>
      <c r="H358" s="719">
        <f t="shared" si="96"/>
        <v>301.23451187520914</v>
      </c>
      <c r="I358" s="712">
        <f t="shared" si="97"/>
        <v>300.81247417125371</v>
      </c>
      <c r="J358" s="712">
        <f t="shared" si="98"/>
        <v>300.51928062320792</v>
      </c>
      <c r="K358" s="712">
        <f t="shared" si="99"/>
        <v>300.34655188141716</v>
      </c>
      <c r="L358" s="712">
        <f t="shared" si="100"/>
        <v>300.28926569023548</v>
      </c>
      <c r="N358" s="582">
        <v>284</v>
      </c>
      <c r="O358" s="712">
        <f t="shared" si="101"/>
        <v>4.2161090668107688</v>
      </c>
      <c r="P358" s="712">
        <f t="shared" si="102"/>
        <v>670.01231316331121</v>
      </c>
      <c r="Q358" s="712">
        <f t="shared" si="103"/>
        <v>654.94190180520343</v>
      </c>
      <c r="R358" s="712">
        <f t="shared" si="104"/>
        <v>644.11380647013516</v>
      </c>
      <c r="S358" s="712">
        <f t="shared" si="105"/>
        <v>637.57456592460403</v>
      </c>
      <c r="T358" s="712">
        <f t="shared" si="106"/>
        <v>635.35187614889196</v>
      </c>
    </row>
    <row r="359" spans="2:20">
      <c r="B359" s="582">
        <v>285</v>
      </c>
      <c r="C359" s="712">
        <f t="shared" si="91"/>
        <v>4.2309545212713697</v>
      </c>
      <c r="D359" s="712">
        <f t="shared" si="92"/>
        <v>1422.244266761481</v>
      </c>
      <c r="E359" s="712">
        <f t="shared" si="93"/>
        <v>851.09895063895635</v>
      </c>
      <c r="F359" s="712">
        <f t="shared" si="94"/>
        <v>509.03137455149624</v>
      </c>
      <c r="G359" s="712">
        <f t="shared" si="95"/>
        <v>359.89592004866148</v>
      </c>
      <c r="H359" s="719">
        <f t="shared" si="96"/>
        <v>301.26904984183392</v>
      </c>
      <c r="I359" s="712">
        <f t="shared" si="97"/>
        <v>300.8441218809977</v>
      </c>
      <c r="J359" s="712">
        <f t="shared" si="98"/>
        <v>300.5488701315237</v>
      </c>
      <c r="K359" s="712">
        <f t="shared" si="99"/>
        <v>300.37490778400343</v>
      </c>
      <c r="L359" s="712">
        <f t="shared" si="100"/>
        <v>300.31720767387122</v>
      </c>
      <c r="N359" s="582">
        <v>285</v>
      </c>
      <c r="O359" s="712">
        <f t="shared" si="101"/>
        <v>4.2309545212713697</v>
      </c>
      <c r="P359" s="712">
        <f t="shared" si="102"/>
        <v>671.03833471351027</v>
      </c>
      <c r="Q359" s="712">
        <f t="shared" si="103"/>
        <v>655.98393266171729</v>
      </c>
      <c r="R359" s="712">
        <f t="shared" si="104"/>
        <v>645.16726854262913</v>
      </c>
      <c r="S359" s="712">
        <f t="shared" si="105"/>
        <v>638.63483090048817</v>
      </c>
      <c r="T359" s="712">
        <f t="shared" si="106"/>
        <v>636.41428582749177</v>
      </c>
    </row>
    <row r="360" spans="2:20">
      <c r="B360" s="582">
        <v>286</v>
      </c>
      <c r="C360" s="712">
        <f t="shared" si="91"/>
        <v>4.2457999757319715</v>
      </c>
      <c r="D360" s="712">
        <f t="shared" si="92"/>
        <v>1422.5558930939374</v>
      </c>
      <c r="E360" s="712">
        <f t="shared" si="93"/>
        <v>852.15275064353341</v>
      </c>
      <c r="F360" s="712">
        <f t="shared" si="94"/>
        <v>509.91889802094295</v>
      </c>
      <c r="G360" s="712">
        <f t="shared" si="95"/>
        <v>360.31227628882169</v>
      </c>
      <c r="H360" s="719">
        <f t="shared" si="96"/>
        <v>301.30379441737728</v>
      </c>
      <c r="I360" s="712">
        <f t="shared" si="97"/>
        <v>300.87597396671259</v>
      </c>
      <c r="J360" s="712">
        <f t="shared" si="98"/>
        <v>300.57866218348721</v>
      </c>
      <c r="K360" s="712">
        <f t="shared" si="99"/>
        <v>300.40346502447017</v>
      </c>
      <c r="L360" s="712">
        <f t="shared" si="100"/>
        <v>300.34535055418479</v>
      </c>
      <c r="N360" s="582">
        <v>286</v>
      </c>
      <c r="O360" s="712">
        <f t="shared" si="101"/>
        <v>4.2457999757319715</v>
      </c>
      <c r="P360" s="712">
        <f t="shared" si="102"/>
        <v>672.0632490337631</v>
      </c>
      <c r="Q360" s="712">
        <f t="shared" si="103"/>
        <v>657.02483901186099</v>
      </c>
      <c r="R360" s="712">
        <f t="shared" si="104"/>
        <v>646.21959377276949</v>
      </c>
      <c r="S360" s="712">
        <f t="shared" si="105"/>
        <v>639.69395169267341</v>
      </c>
      <c r="T360" s="712">
        <f t="shared" si="106"/>
        <v>637.47554900793943</v>
      </c>
    </row>
    <row r="361" spans="2:20">
      <c r="B361" s="582">
        <v>287</v>
      </c>
      <c r="C361" s="712">
        <f t="shared" si="91"/>
        <v>4.2606454301925725</v>
      </c>
      <c r="D361" s="712">
        <f t="shared" si="92"/>
        <v>1422.8661560485818</v>
      </c>
      <c r="E361" s="712">
        <f t="shared" si="93"/>
        <v>853.20237160901036</v>
      </c>
      <c r="F361" s="712">
        <f t="shared" si="94"/>
        <v>510.80501893676382</v>
      </c>
      <c r="G361" s="712">
        <f t="shared" si="95"/>
        <v>360.72904450115539</v>
      </c>
      <c r="H361" s="719">
        <f t="shared" si="96"/>
        <v>301.33874562469873</v>
      </c>
      <c r="I361" s="712">
        <f t="shared" si="97"/>
        <v>300.9080305268028</v>
      </c>
      <c r="J361" s="712">
        <f t="shared" si="98"/>
        <v>300.60865693299803</v>
      </c>
      <c r="K361" s="712">
        <f t="shared" si="99"/>
        <v>300.43222379061569</v>
      </c>
      <c r="L361" s="712">
        <f t="shared" si="100"/>
        <v>300.37369453035234</v>
      </c>
      <c r="N361" s="582">
        <v>287</v>
      </c>
      <c r="O361" s="712">
        <f t="shared" si="101"/>
        <v>4.2606454301925725</v>
      </c>
      <c r="P361" s="712">
        <f t="shared" si="102"/>
        <v>673.08705731893554</v>
      </c>
      <c r="Q361" s="712">
        <f t="shared" si="103"/>
        <v>658.06462206914409</v>
      </c>
      <c r="R361" s="712">
        <f t="shared" si="104"/>
        <v>647.27078338737829</v>
      </c>
      <c r="S361" s="712">
        <f t="shared" si="105"/>
        <v>640.75192953590442</v>
      </c>
      <c r="T361" s="712">
        <f t="shared" si="106"/>
        <v>638.535666927477</v>
      </c>
    </row>
    <row r="362" spans="2:20">
      <c r="B362" s="582">
        <v>288</v>
      </c>
      <c r="C362" s="712">
        <f t="shared" si="91"/>
        <v>4.2754908846531734</v>
      </c>
      <c r="D362" s="712">
        <f t="shared" si="92"/>
        <v>1423.1750655590899</v>
      </c>
      <c r="E362" s="712">
        <f t="shared" si="93"/>
        <v>854.24783926029738</v>
      </c>
      <c r="F362" s="712">
        <f t="shared" si="94"/>
        <v>511.68973287376616</v>
      </c>
      <c r="G362" s="712">
        <f t="shared" si="95"/>
        <v>361.14621539390419</v>
      </c>
      <c r="H362" s="719">
        <f t="shared" si="96"/>
        <v>301.37390348226506</v>
      </c>
      <c r="I362" s="712">
        <f t="shared" si="97"/>
        <v>300.94029165474819</v>
      </c>
      <c r="J362" s="712">
        <f t="shared" si="98"/>
        <v>300.638854528651</v>
      </c>
      <c r="K362" s="712">
        <f t="shared" si="99"/>
        <v>300.46118426470667</v>
      </c>
      <c r="L362" s="712">
        <f t="shared" si="100"/>
        <v>300.40223979594333</v>
      </c>
      <c r="N362" s="582">
        <v>288</v>
      </c>
      <c r="O362" s="712">
        <f t="shared" si="101"/>
        <v>4.2754908846531734</v>
      </c>
      <c r="P362" s="712">
        <f t="shared" si="102"/>
        <v>674.10976076260397</v>
      </c>
      <c r="Q362" s="712">
        <f t="shared" si="103"/>
        <v>659.10328304576672</v>
      </c>
      <c r="R362" s="712">
        <f t="shared" si="104"/>
        <v>648.32083861195383</v>
      </c>
      <c r="S362" s="712">
        <f t="shared" si="105"/>
        <v>641.80876566359325</v>
      </c>
      <c r="T362" s="712">
        <f t="shared" si="106"/>
        <v>639.59464082201157</v>
      </c>
    </row>
    <row r="363" spans="2:20">
      <c r="B363" s="582">
        <v>289</v>
      </c>
      <c r="C363" s="712">
        <f t="shared" si="91"/>
        <v>4.2903363391137752</v>
      </c>
      <c r="D363" s="712">
        <f t="shared" si="92"/>
        <v>1423.482631443298</v>
      </c>
      <c r="E363" s="712">
        <f t="shared" si="93"/>
        <v>855.28917911096619</v>
      </c>
      <c r="F363" s="712">
        <f t="shared" si="94"/>
        <v>512.57303552306655</v>
      </c>
      <c r="G363" s="712">
        <f t="shared" si="95"/>
        <v>361.5637797405256</v>
      </c>
      <c r="H363" s="719">
        <f t="shared" si="96"/>
        <v>301.4092680041876</v>
      </c>
      <c r="I363" s="712">
        <f t="shared" si="97"/>
        <v>300.97275743914093</v>
      </c>
      <c r="J363" s="712">
        <f t="shared" si="98"/>
        <v>300.66925511377406</v>
      </c>
      <c r="K363" s="712">
        <f t="shared" si="99"/>
        <v>300.49034662351517</v>
      </c>
      <c r="L363" s="712">
        <f t="shared" si="100"/>
        <v>300.43098653895754</v>
      </c>
      <c r="N363" s="582">
        <v>289</v>
      </c>
      <c r="O363" s="712">
        <f t="shared" si="101"/>
        <v>4.2903363391137752</v>
      </c>
      <c r="P363" s="712">
        <f t="shared" si="102"/>
        <v>675.13136055705684</v>
      </c>
      <c r="Q363" s="712">
        <f t="shared" si="103"/>
        <v>660.1408231526209</v>
      </c>
      <c r="R363" s="712">
        <f t="shared" si="104"/>
        <v>649.36976067067178</v>
      </c>
      <c r="S363" s="712">
        <f t="shared" si="105"/>
        <v>642.86446130782076</v>
      </c>
      <c r="T363" s="712">
        <f t="shared" si="106"/>
        <v>640.65247192611628</v>
      </c>
    </row>
    <row r="364" spans="2:20">
      <c r="B364" s="582">
        <v>290</v>
      </c>
      <c r="C364" s="712">
        <f t="shared" si="91"/>
        <v>4.3051817935743761</v>
      </c>
      <c r="D364" s="712">
        <f t="shared" si="92"/>
        <v>1423.78886340537</v>
      </c>
      <c r="E364" s="712">
        <f t="shared" si="93"/>
        <v>856.32641646519596</v>
      </c>
      <c r="F364" s="712">
        <f t="shared" si="94"/>
        <v>513.45492269034787</v>
      </c>
      <c r="G364" s="712">
        <f t="shared" si="95"/>
        <v>361.98172837960806</v>
      </c>
      <c r="H364" s="719">
        <f t="shared" si="96"/>
        <v>301.44483920025908</v>
      </c>
      <c r="I364" s="712">
        <f t="shared" si="97"/>
        <v>301.00542796372338</v>
      </c>
      <c r="J364" s="712">
        <f t="shared" si="98"/>
        <v>300.69985882646517</v>
      </c>
      <c r="K364" s="712">
        <f t="shared" si="99"/>
        <v>300.51971103835638</v>
      </c>
      <c r="L364" s="712">
        <f t="shared" si="100"/>
        <v>300.45993494186268</v>
      </c>
      <c r="N364" s="582">
        <v>290</v>
      </c>
      <c r="O364" s="712">
        <f t="shared" si="101"/>
        <v>4.3051817935743761</v>
      </c>
      <c r="P364" s="712">
        <f t="shared" si="102"/>
        <v>676.15185789329598</v>
      </c>
      <c r="Q364" s="712">
        <f t="shared" si="103"/>
        <v>661.17724359929196</v>
      </c>
      <c r="R364" s="712">
        <f t="shared" si="104"/>
        <v>650.41755078638664</v>
      </c>
      <c r="S364" s="712">
        <f t="shared" si="105"/>
        <v>643.9190176993385</v>
      </c>
      <c r="T364" s="712">
        <f t="shared" si="106"/>
        <v>641.70916147303205</v>
      </c>
    </row>
    <row r="365" spans="2:20">
      <c r="B365" s="582">
        <v>291</v>
      </c>
      <c r="C365" s="712">
        <f t="shared" si="91"/>
        <v>4.320027248034978</v>
      </c>
      <c r="D365" s="712">
        <f t="shared" si="92"/>
        <v>1424.0937710379042</v>
      </c>
      <c r="E365" s="712">
        <f t="shared" si="93"/>
        <v>857.35957641970469</v>
      </c>
      <c r="F365" s="712">
        <f t="shared" si="94"/>
        <v>514.33539029414226</v>
      </c>
      <c r="G365" s="712">
        <f t="shared" si="95"/>
        <v>362.40005221477861</v>
      </c>
      <c r="H365" s="719">
        <f t="shared" si="96"/>
        <v>301.48061707599049</v>
      </c>
      <c r="I365" s="712">
        <f t="shared" si="97"/>
        <v>301.03830330742488</v>
      </c>
      <c r="J365" s="712">
        <f t="shared" si="98"/>
        <v>300.73066579963023</v>
      </c>
      <c r="K365" s="712">
        <f t="shared" si="99"/>
        <v>300.54927767512567</v>
      </c>
      <c r="L365" s="712">
        <f t="shared" si="100"/>
        <v>300.48908518163182</v>
      </c>
      <c r="N365" s="582">
        <v>291</v>
      </c>
      <c r="O365" s="712">
        <f t="shared" si="101"/>
        <v>4.320027248034978</v>
      </c>
      <c r="P365" s="712">
        <f t="shared" si="102"/>
        <v>677.17125396103779</v>
      </c>
      <c r="Q365" s="712">
        <f t="shared" si="103"/>
        <v>662.21254559405975</v>
      </c>
      <c r="R365" s="712">
        <f t="shared" si="104"/>
        <v>651.46421018063336</v>
      </c>
      <c r="S365" s="712">
        <f t="shared" si="105"/>
        <v>644.97243606756945</v>
      </c>
      <c r="T365" s="712">
        <f t="shared" si="106"/>
        <v>642.76471069466913</v>
      </c>
    </row>
    <row r="366" spans="2:20">
      <c r="B366" s="582">
        <v>292</v>
      </c>
      <c r="C366" s="712">
        <f t="shared" si="91"/>
        <v>4.3348727024955789</v>
      </c>
      <c r="D366" s="712">
        <f t="shared" si="92"/>
        <v>1424.3973638239843</v>
      </c>
      <c r="E366" s="712">
        <f t="shared" si="93"/>
        <v>858.38868386566344</v>
      </c>
      <c r="F366" s="712">
        <f t="shared" si="94"/>
        <v>515.21443436413733</v>
      </c>
      <c r="G366" s="712">
        <f t="shared" si="95"/>
        <v>362.81874221460436</v>
      </c>
      <c r="H366" s="719">
        <f t="shared" si="96"/>
        <v>301.51660163264768</v>
      </c>
      <c r="I366" s="712">
        <f t="shared" si="97"/>
        <v>301.07138354439951</v>
      </c>
      <c r="J366" s="712">
        <f t="shared" si="98"/>
        <v>300.76167616102003</v>
      </c>
      <c r="K366" s="712">
        <f t="shared" si="99"/>
        <v>300.5790466943364</v>
      </c>
      <c r="L366" s="712">
        <f t="shared" si="100"/>
        <v>300.51843742978053</v>
      </c>
      <c r="N366" s="582">
        <v>292</v>
      </c>
      <c r="O366" s="712">
        <f t="shared" si="101"/>
        <v>4.3348727024955789</v>
      </c>
      <c r="P366" s="712">
        <f t="shared" si="102"/>
        <v>678.1895499487149</v>
      </c>
      <c r="Q366" s="712">
        <f t="shared" si="103"/>
        <v>663.24673034390059</v>
      </c>
      <c r="R366" s="712">
        <f t="shared" si="104"/>
        <v>652.50974007362868</v>
      </c>
      <c r="S366" s="712">
        <f t="shared" si="105"/>
        <v>646.02471764061033</v>
      </c>
      <c r="T366" s="712">
        <f t="shared" si="106"/>
        <v>643.81912082160807</v>
      </c>
    </row>
    <row r="367" spans="2:20">
      <c r="B367" s="582">
        <v>293</v>
      </c>
      <c r="C367" s="712">
        <f t="shared" si="91"/>
        <v>4.3497181569561798</v>
      </c>
      <c r="D367" s="712">
        <f t="shared" si="92"/>
        <v>1424.6996511391746</v>
      </c>
      <c r="E367" s="712">
        <f t="shared" si="93"/>
        <v>859.41376349059487</v>
      </c>
      <c r="F367" s="712">
        <f t="shared" si="94"/>
        <v>516.09205103950694</v>
      </c>
      <c r="G367" s="712">
        <f t="shared" si="95"/>
        <v>363.23778941248639</v>
      </c>
      <c r="H367" s="719">
        <f t="shared" si="96"/>
        <v>301.55279286728796</v>
      </c>
      <c r="I367" s="712">
        <f t="shared" si="97"/>
        <v>301.10466874406268</v>
      </c>
      <c r="J367" s="712">
        <f t="shared" si="98"/>
        <v>300.79289003326801</v>
      </c>
      <c r="K367" s="712">
        <f t="shared" si="99"/>
        <v>300.60901825115695</v>
      </c>
      <c r="L367" s="712">
        <f t="shared" si="100"/>
        <v>300.54799185240455</v>
      </c>
      <c r="N367" s="582">
        <v>293</v>
      </c>
      <c r="O367" s="712">
        <f t="shared" si="101"/>
        <v>4.3497181569561798</v>
      </c>
      <c r="P367" s="712">
        <f t="shared" si="102"/>
        <v>679.20674704347732</v>
      </c>
      <c r="Q367" s="712">
        <f t="shared" si="103"/>
        <v>664.27979905448774</v>
      </c>
      <c r="R367" s="712">
        <f t="shared" si="104"/>
        <v>653.55414168427262</v>
      </c>
      <c r="S367" s="712">
        <f t="shared" si="105"/>
        <v>647.07586364523218</v>
      </c>
      <c r="T367" s="712">
        <f t="shared" si="106"/>
        <v>644.87239308310154</v>
      </c>
    </row>
    <row r="368" spans="2:20">
      <c r="B368" s="582">
        <v>294</v>
      </c>
      <c r="C368" s="712">
        <f t="shared" si="91"/>
        <v>4.3645636114167816</v>
      </c>
      <c r="D368" s="712">
        <f t="shared" si="92"/>
        <v>1425.0006422534618</v>
      </c>
      <c r="E368" s="712">
        <f t="shared" si="93"/>
        <v>860.43483978025643</v>
      </c>
      <c r="F368" s="712">
        <f t="shared" si="94"/>
        <v>516.96823656726474</v>
      </c>
      <c r="G368" s="712">
        <f t="shared" si="95"/>
        <v>363.65718490654797</v>
      </c>
      <c r="H368" s="719">
        <f t="shared" si="96"/>
        <v>301.58919077279654</v>
      </c>
      <c r="I368" s="712">
        <f t="shared" si="97"/>
        <v>301.13815897112858</v>
      </c>
      <c r="J368" s="712">
        <f t="shared" si="98"/>
        <v>300.8243075339272</v>
      </c>
      <c r="K368" s="712">
        <f t="shared" si="99"/>
        <v>300.63919249544824</v>
      </c>
      <c r="L368" s="712">
        <f t="shared" si="100"/>
        <v>300.57774861021682</v>
      </c>
      <c r="N368" s="582">
        <v>294</v>
      </c>
      <c r="O368" s="712">
        <f t="shared" si="101"/>
        <v>4.3645636114167816</v>
      </c>
      <c r="P368" s="712">
        <f t="shared" si="102"/>
        <v>680.22284643119417</v>
      </c>
      <c r="Q368" s="712">
        <f t="shared" si="103"/>
        <v>665.31175293019385</v>
      </c>
      <c r="R368" s="712">
        <f t="shared" si="104"/>
        <v>654.59741623014975</v>
      </c>
      <c r="S368" s="712">
        <f t="shared" si="105"/>
        <v>648.12587530688234</v>
      </c>
      <c r="T368" s="712">
        <f t="shared" si="106"/>
        <v>645.92452870707575</v>
      </c>
    </row>
    <row r="369" spans="2:20">
      <c r="B369" s="582">
        <v>295</v>
      </c>
      <c r="C369" s="712">
        <f t="shared" si="91"/>
        <v>4.3794090658773825</v>
      </c>
      <c r="D369" s="712">
        <f t="shared" si="92"/>
        <v>1425.3003463331449</v>
      </c>
      <c r="E369" s="712">
        <f t="shared" si="93"/>
        <v>861.45193702050665</v>
      </c>
      <c r="F369" s="712">
        <f t="shared" si="94"/>
        <v>517.84298730064222</v>
      </c>
      <c r="G369" s="712">
        <f t="shared" si="95"/>
        <v>364.07691985951556</v>
      </c>
      <c r="H369" s="719">
        <f t="shared" si="96"/>
        <v>301.62579533792263</v>
      </c>
      <c r="I369" s="712">
        <f t="shared" si="97"/>
        <v>301.17185428564682</v>
      </c>
      <c r="J369" s="712">
        <f t="shared" si="98"/>
        <v>300.85592877550766</v>
      </c>
      <c r="K369" s="712">
        <f t="shared" si="99"/>
        <v>300.66956957180105</v>
      </c>
      <c r="L369" s="712">
        <f t="shared" si="100"/>
        <v>300.60770785858523</v>
      </c>
      <c r="N369" s="582">
        <v>295</v>
      </c>
      <c r="O369" s="712">
        <f t="shared" si="101"/>
        <v>4.3794090658773825</v>
      </c>
      <c r="P369" s="712">
        <f t="shared" si="102"/>
        <v>681.23784929645478</v>
      </c>
      <c r="Q369" s="712">
        <f t="shared" si="103"/>
        <v>666.34259317409158</v>
      </c>
      <c r="R369" s="712">
        <f t="shared" si="104"/>
        <v>655.63956492753061</v>
      </c>
      <c r="S369" s="712">
        <f t="shared" si="105"/>
        <v>649.17475384968566</v>
      </c>
      <c r="T369" s="712">
        <f t="shared" si="106"/>
        <v>646.97552892013186</v>
      </c>
    </row>
    <row r="370" spans="2:20">
      <c r="B370" s="582">
        <v>296</v>
      </c>
      <c r="C370" s="712">
        <f t="shared" si="91"/>
        <v>4.3942545203379844</v>
      </c>
      <c r="D370" s="712">
        <f t="shared" si="92"/>
        <v>1425.5987724426764</v>
      </c>
      <c r="E370" s="712">
        <f t="shared" si="93"/>
        <v>862.46507929915583</v>
      </c>
      <c r="F370" s="712">
        <f t="shared" si="94"/>
        <v>518.71629969748903</v>
      </c>
      <c r="G370" s="712">
        <f t="shared" si="95"/>
        <v>364.49698549859437</v>
      </c>
      <c r="H370" s="719">
        <f t="shared" si="96"/>
        <v>301.66260654731553</v>
      </c>
      <c r="I370" s="712">
        <f t="shared" si="97"/>
        <v>301.20575474303939</v>
      </c>
      <c r="J370" s="712">
        <f t="shared" si="98"/>
        <v>300.88775386551367</v>
      </c>
      <c r="K370" s="712">
        <f t="shared" si="99"/>
        <v>300.70014961957338</v>
      </c>
      <c r="L370" s="712">
        <f t="shared" si="100"/>
        <v>300.63786974756982</v>
      </c>
      <c r="N370" s="582">
        <v>296</v>
      </c>
      <c r="O370" s="712">
        <f t="shared" si="101"/>
        <v>4.3942545203379844</v>
      </c>
      <c r="P370" s="712">
        <f t="shared" si="102"/>
        <v>682.25175682256986</v>
      </c>
      <c r="Q370" s="712">
        <f t="shared" si="103"/>
        <v>667.37232098795539</v>
      </c>
      <c r="R370" s="712">
        <f t="shared" si="104"/>
        <v>656.68058899137327</v>
      </c>
      <c r="S370" s="712">
        <f t="shared" si="105"/>
        <v>650.22250049644617</v>
      </c>
      <c r="T370" s="712">
        <f t="shared" si="106"/>
        <v>648.02539494754694</v>
      </c>
    </row>
    <row r="371" spans="2:20">
      <c r="B371" s="582">
        <v>297</v>
      </c>
      <c r="C371" s="712">
        <f t="shared" si="91"/>
        <v>4.4090999747985853</v>
      </c>
      <c r="D371" s="712">
        <f t="shared" si="92"/>
        <v>1425.8959295464538</v>
      </c>
      <c r="E371" s="712">
        <f t="shared" si="93"/>
        <v>863.47429050780124</v>
      </c>
      <c r="F371" s="712">
        <f t="shared" si="94"/>
        <v>519.58817031869535</v>
      </c>
      <c r="G371" s="712">
        <f t="shared" si="95"/>
        <v>364.91737311533734</v>
      </c>
      <c r="H371" s="719">
        <f t="shared" si="96"/>
        <v>301.69962438156057</v>
      </c>
      <c r="I371" s="712">
        <f t="shared" si="97"/>
        <v>301.23986039413745</v>
      </c>
      <c r="J371" s="712">
        <f t="shared" si="98"/>
        <v>300.9197829064808</v>
      </c>
      <c r="K371" s="712">
        <f t="shared" si="99"/>
        <v>300.73093277292787</v>
      </c>
      <c r="L371" s="712">
        <f t="shared" si="100"/>
        <v>300.66823442195988</v>
      </c>
      <c r="N371" s="582">
        <v>297</v>
      </c>
      <c r="O371" s="712">
        <f t="shared" si="101"/>
        <v>4.4090999747985853</v>
      </c>
      <c r="P371" s="712">
        <f t="shared" si="102"/>
        <v>683.2645701915734</v>
      </c>
      <c r="Q371" s="712">
        <f t="shared" si="103"/>
        <v>668.40093757226282</v>
      </c>
      <c r="R371" s="712">
        <f t="shared" si="104"/>
        <v>657.72048963532472</v>
      </c>
      <c r="S371" s="712">
        <f t="shared" si="105"/>
        <v>651.26911646864801</v>
      </c>
      <c r="T371" s="712">
        <f t="shared" si="106"/>
        <v>649.07412801327632</v>
      </c>
    </row>
    <row r="372" spans="2:20">
      <c r="B372" s="582">
        <v>298</v>
      </c>
      <c r="C372" s="712">
        <f t="shared" si="91"/>
        <v>4.4239454292591871</v>
      </c>
      <c r="D372" s="712">
        <f t="shared" si="92"/>
        <v>1426.1918265105655</v>
      </c>
      <c r="E372" s="712">
        <f t="shared" si="93"/>
        <v>864.47959434364611</v>
      </c>
      <c r="F372" s="712">
        <f t="shared" si="94"/>
        <v>520.45859582663832</v>
      </c>
      <c r="G372" s="712">
        <f t="shared" si="95"/>
        <v>365.33807406550858</v>
      </c>
      <c r="H372" s="719">
        <f t="shared" si="96"/>
        <v>301.73684881721482</v>
      </c>
      <c r="I372" s="712">
        <f t="shared" si="97"/>
        <v>301.27417128521785</v>
      </c>
      <c r="J372" s="712">
        <f t="shared" si="98"/>
        <v>300.95201599601307</v>
      </c>
      <c r="K372" s="712">
        <f t="shared" si="99"/>
        <v>300.76191916086879</v>
      </c>
      <c r="L372" s="712">
        <f t="shared" si="100"/>
        <v>300.69880202131191</v>
      </c>
      <c r="N372" s="582">
        <v>298</v>
      </c>
      <c r="O372" s="712">
        <f t="shared" si="101"/>
        <v>4.4239454292591871</v>
      </c>
      <c r="P372" s="712">
        <f t="shared" si="102"/>
        <v>684.27629058422383</v>
      </c>
      <c r="Q372" s="712">
        <f t="shared" si="103"/>
        <v>669.42844412619593</v>
      </c>
      <c r="R372" s="712">
        <f t="shared" si="104"/>
        <v>658.7592680717222</v>
      </c>
      <c r="S372" s="712">
        <f t="shared" si="105"/>
        <v>652.31460298645732</v>
      </c>
      <c r="T372" s="712">
        <f t="shared" si="106"/>
        <v>650.12172933995419</v>
      </c>
    </row>
    <row r="373" spans="2:20">
      <c r="B373" s="582">
        <v>299</v>
      </c>
      <c r="C373" s="712">
        <f t="shared" si="91"/>
        <v>4.438790883719788</v>
      </c>
      <c r="D373" s="712">
        <f t="shared" si="92"/>
        <v>1426.4864721044908</v>
      </c>
      <c r="E373" s="712">
        <f t="shared" si="93"/>
        <v>865.48101431130226</v>
      </c>
      <c r="F373" s="712">
        <f t="shared" si="94"/>
        <v>521.32757298364834</v>
      </c>
      <c r="G373" s="712">
        <f t="shared" si="95"/>
        <v>365.75907976894075</v>
      </c>
      <c r="H373" s="719">
        <f t="shared" si="96"/>
        <v>301.77427982684276</v>
      </c>
      <c r="I373" s="712">
        <f t="shared" si="97"/>
        <v>301.30868745803969</v>
      </c>
      <c r="J373" s="712">
        <f t="shared" si="98"/>
        <v>300.98445322681988</v>
      </c>
      <c r="K373" s="712">
        <f t="shared" si="99"/>
        <v>300.79310890727959</v>
      </c>
      <c r="L373" s="712">
        <f t="shared" si="100"/>
        <v>300.72957267998606</v>
      </c>
      <c r="N373" s="582">
        <v>299</v>
      </c>
      <c r="O373" s="712">
        <f t="shared" si="101"/>
        <v>4.438790883719788</v>
      </c>
      <c r="P373" s="712">
        <f t="shared" si="102"/>
        <v>685.28691918000538</v>
      </c>
      <c r="Q373" s="712">
        <f t="shared" si="103"/>
        <v>670.4548418476428</v>
      </c>
      <c r="R373" s="712">
        <f t="shared" si="104"/>
        <v>659.79692551159474</v>
      </c>
      <c r="S373" s="712">
        <f t="shared" si="105"/>
        <v>653.35896126872342</v>
      </c>
      <c r="T373" s="712">
        <f t="shared" si="106"/>
        <v>651.16820014889549</v>
      </c>
    </row>
    <row r="374" spans="2:20">
      <c r="B374" s="582">
        <v>300</v>
      </c>
      <c r="C374" s="712">
        <f t="shared" si="91"/>
        <v>4.453636338180389</v>
      </c>
      <c r="D374" s="712">
        <f t="shared" si="92"/>
        <v>1426.7798750027562</v>
      </c>
      <c r="E374" s="712">
        <f t="shared" si="93"/>
        <v>866.47857372457804</v>
      </c>
      <c r="F374" s="712">
        <f t="shared" si="94"/>
        <v>522.19509865049918</v>
      </c>
      <c r="G374" s="712">
        <f t="shared" si="95"/>
        <v>366.18038170938718</v>
      </c>
      <c r="H374" s="719">
        <f t="shared" si="96"/>
        <v>301.81191737905169</v>
      </c>
      <c r="I374" s="712">
        <f t="shared" si="97"/>
        <v>301.34340894988077</v>
      </c>
      <c r="J374" s="712">
        <f t="shared" si="98"/>
        <v>301.01709468675296</v>
      </c>
      <c r="K374" s="712">
        <f t="shared" si="99"/>
        <v>300.82450213095979</v>
      </c>
      <c r="L374" s="712">
        <f t="shared" si="100"/>
        <v>300.7605465271842</v>
      </c>
      <c r="N374" s="582">
        <v>300</v>
      </c>
      <c r="O374" s="712">
        <f t="shared" si="101"/>
        <v>4.453636338180389</v>
      </c>
      <c r="P374" s="712">
        <f t="shared" si="102"/>
        <v>686.29645715712923</v>
      </c>
      <c r="Q374" s="712">
        <f t="shared" si="103"/>
        <v>671.48013193319866</v>
      </c>
      <c r="R374" s="712">
        <f t="shared" si="104"/>
        <v>660.83346316466429</v>
      </c>
      <c r="S374" s="712">
        <f t="shared" si="105"/>
        <v>654.40219253298051</v>
      </c>
      <c r="T374" s="712">
        <f t="shared" si="106"/>
        <v>652.21354166009689</v>
      </c>
    </row>
    <row r="375" spans="2:20">
      <c r="B375" s="582">
        <v>301</v>
      </c>
      <c r="C375" s="712">
        <f t="shared" si="91"/>
        <v>4.4684817926409908</v>
      </c>
      <c r="D375" s="712">
        <f t="shared" si="92"/>
        <v>1427.0720437865496</v>
      </c>
      <c r="E375" s="712">
        <f t="shared" si="93"/>
        <v>867.47229570824936</v>
      </c>
      <c r="F375" s="712">
        <f t="shared" si="94"/>
        <v>523.06116978491787</v>
      </c>
      <c r="G375" s="712">
        <f t="shared" si="95"/>
        <v>366.60197143436847</v>
      </c>
      <c r="H375" s="719">
        <f t="shared" si="96"/>
        <v>301.84976143852685</v>
      </c>
      <c r="I375" s="712">
        <f t="shared" si="97"/>
        <v>301.3783357935738</v>
      </c>
      <c r="J375" s="712">
        <f t="shared" si="98"/>
        <v>301.04994045884342</v>
      </c>
      <c r="K375" s="712">
        <f t="shared" si="99"/>
        <v>300.8560989456625</v>
      </c>
      <c r="L375" s="712">
        <f t="shared" si="100"/>
        <v>300.79172368698659</v>
      </c>
      <c r="N375" s="582">
        <v>301</v>
      </c>
      <c r="O375" s="712">
        <f t="shared" si="101"/>
        <v>4.4684817926409908</v>
      </c>
      <c r="P375" s="712">
        <f t="shared" si="102"/>
        <v>687.30490569253527</v>
      </c>
      <c r="Q375" s="712">
        <f t="shared" si="103"/>
        <v>672.50431557816728</v>
      </c>
      <c r="R375" s="712">
        <f t="shared" si="104"/>
        <v>661.86888223934761</v>
      </c>
      <c r="S375" s="712">
        <f t="shared" si="105"/>
        <v>655.44429799544866</v>
      </c>
      <c r="T375" s="712">
        <f t="shared" si="106"/>
        <v>653.25775509223888</v>
      </c>
    </row>
    <row r="376" spans="2:20">
      <c r="B376" s="582">
        <v>302</v>
      </c>
      <c r="C376" s="712">
        <f t="shared" si="91"/>
        <v>4.4833272471015917</v>
      </c>
      <c r="D376" s="712">
        <f t="shared" si="92"/>
        <v>1427.3629869452941</v>
      </c>
      <c r="E376" s="712">
        <f t="shared" si="93"/>
        <v>868.4622031998158</v>
      </c>
      <c r="F376" s="712">
        <f t="shared" si="94"/>
        <v>523.9257834401169</v>
      </c>
      <c r="G376" s="712">
        <f t="shared" si="95"/>
        <v>367.02384055501346</v>
      </c>
      <c r="H376" s="719">
        <f t="shared" si="96"/>
        <v>301.88781196606675</v>
      </c>
      <c r="I376" s="712">
        <f t="shared" si="97"/>
        <v>301.41346801754287</v>
      </c>
      <c r="J376" s="712">
        <f t="shared" si="98"/>
        <v>301.08299062133835</v>
      </c>
      <c r="K376" s="712">
        <f t="shared" si="99"/>
        <v>300.88789946013122</v>
      </c>
      <c r="L376" s="712">
        <f t="shared" si="100"/>
        <v>300.82310427838945</v>
      </c>
      <c r="N376" s="582">
        <v>302</v>
      </c>
      <c r="O376" s="712">
        <f t="shared" si="101"/>
        <v>4.4833272471015917</v>
      </c>
      <c r="P376" s="712">
        <f t="shared" si="102"/>
        <v>688.3122659618931</v>
      </c>
      <c r="Q376" s="712">
        <f t="shared" si="103"/>
        <v>673.52739397656296</v>
      </c>
      <c r="R376" s="712">
        <f t="shared" si="104"/>
        <v>662.9031839427571</v>
      </c>
      <c r="S376" s="712">
        <f t="shared" si="105"/>
        <v>656.48527887103558</v>
      </c>
      <c r="T376" s="712">
        <f t="shared" si="106"/>
        <v>654.30084166268671</v>
      </c>
    </row>
    <row r="377" spans="2:20">
      <c r="B377" s="582">
        <v>303</v>
      </c>
      <c r="C377" s="712">
        <f t="shared" si="91"/>
        <v>4.4981727015621935</v>
      </c>
      <c r="D377" s="712">
        <f t="shared" si="92"/>
        <v>1427.6527128781804</v>
      </c>
      <c r="E377" s="712">
        <f t="shared" si="93"/>
        <v>869.44831895124071</v>
      </c>
      <c r="F377" s="712">
        <f t="shared" si="94"/>
        <v>524.78893676334678</v>
      </c>
      <c r="G377" s="712">
        <f t="shared" si="95"/>
        <v>367.44598074589584</v>
      </c>
      <c r="H377" s="719">
        <f t="shared" si="96"/>
        <v>301.92606891861794</v>
      </c>
      <c r="I377" s="712">
        <f t="shared" si="97"/>
        <v>301.44880564583906</v>
      </c>
      <c r="J377" s="712">
        <f t="shared" si="98"/>
        <v>301.11624524773782</v>
      </c>
      <c r="K377" s="712">
        <f t="shared" si="99"/>
        <v>300.9199037781371</v>
      </c>
      <c r="L377" s="712">
        <f t="shared" si="100"/>
        <v>300.85468841534185</v>
      </c>
      <c r="N377" s="582">
        <v>303</v>
      </c>
      <c r="O377" s="712">
        <f t="shared" si="101"/>
        <v>4.4981727015621935</v>
      </c>
      <c r="P377" s="712">
        <f t="shared" si="102"/>
        <v>689.3185391396039</v>
      </c>
      <c r="Q377" s="712">
        <f t="shared" si="103"/>
        <v>674.54936832111105</v>
      </c>
      <c r="R377" s="712">
        <f t="shared" si="104"/>
        <v>663.93636948070275</v>
      </c>
      <c r="S377" s="712">
        <f t="shared" si="105"/>
        <v>657.52513637333777</v>
      </c>
      <c r="T377" s="712">
        <f t="shared" si="106"/>
        <v>655.34280258749163</v>
      </c>
    </row>
    <row r="378" spans="2:20">
      <c r="B378" s="582">
        <v>304</v>
      </c>
      <c r="C378" s="712">
        <f t="shared" si="91"/>
        <v>4.5130181560227944</v>
      </c>
      <c r="D378" s="712">
        <f t="shared" si="92"/>
        <v>1427.9412298956627</v>
      </c>
      <c r="E378" s="712">
        <f t="shared" si="93"/>
        <v>870.43066553067513</v>
      </c>
      <c r="F378" s="712">
        <f t="shared" si="94"/>
        <v>525.65062699446901</v>
      </c>
      <c r="G378" s="712">
        <f t="shared" si="95"/>
        <v>367.86838374486496</v>
      </c>
      <c r="H378" s="719">
        <f t="shared" si="96"/>
        <v>301.96453224930991</v>
      </c>
      <c r="I378" s="712">
        <f t="shared" si="97"/>
        <v>301.48434869817686</v>
      </c>
      <c r="J378" s="712">
        <f t="shared" si="98"/>
        <v>301.14970440683112</v>
      </c>
      <c r="K378" s="712">
        <f t="shared" si="99"/>
        <v>300.95211199851576</v>
      </c>
      <c r="L378" s="712">
        <f t="shared" si="100"/>
        <v>300.8864762067829</v>
      </c>
      <c r="N378" s="582">
        <v>304</v>
      </c>
      <c r="O378" s="712">
        <f t="shared" si="101"/>
        <v>4.5130181560227944</v>
      </c>
      <c r="P378" s="712">
        <f t="shared" si="102"/>
        <v>690.32372639880134</v>
      </c>
      <c r="Q378" s="712">
        <f t="shared" si="103"/>
        <v>675.57023980325016</v>
      </c>
      <c r="R378" s="712">
        <f t="shared" si="104"/>
        <v>664.96844005769321</v>
      </c>
      <c r="S378" s="712">
        <f t="shared" si="105"/>
        <v>658.56387171464235</v>
      </c>
      <c r="T378" s="712">
        <f t="shared" si="106"/>
        <v>656.38363908139308</v>
      </c>
    </row>
    <row r="379" spans="2:20">
      <c r="B379" s="582">
        <v>305</v>
      </c>
      <c r="C379" s="712">
        <f t="shared" si="91"/>
        <v>4.5278636104833954</v>
      </c>
      <c r="D379" s="712">
        <f t="shared" si="92"/>
        <v>1428.2285462209161</v>
      </c>
      <c r="E379" s="712">
        <f t="shared" si="93"/>
        <v>871.40926532416756</v>
      </c>
      <c r="F379" s="712">
        <f t="shared" si="94"/>
        <v>526.51085146454955</v>
      </c>
      <c r="G379" s="712">
        <f t="shared" si="95"/>
        <v>368.29104135287236</v>
      </c>
      <c r="H379" s="719">
        <f t="shared" si="96"/>
        <v>302.00320190748965</v>
      </c>
      <c r="I379" s="712">
        <f t="shared" si="97"/>
        <v>301.52009718996982</v>
      </c>
      <c r="J379" s="712">
        <f t="shared" si="98"/>
        <v>301.1833681627337</v>
      </c>
      <c r="K379" s="712">
        <f t="shared" si="99"/>
        <v>300.98452421520437</v>
      </c>
      <c r="L379" s="712">
        <f t="shared" si="100"/>
        <v>300.91846775667881</v>
      </c>
      <c r="N379" s="582">
        <v>305</v>
      </c>
      <c r="O379" s="712">
        <f t="shared" si="101"/>
        <v>4.5278636104833954</v>
      </c>
      <c r="P379" s="712">
        <f t="shared" si="102"/>
        <v>691.32782891135298</v>
      </c>
      <c r="Q379" s="712">
        <f t="shared" si="103"/>
        <v>676.59000961313291</v>
      </c>
      <c r="R379" s="712">
        <f t="shared" si="104"/>
        <v>665.99939687693723</v>
      </c>
      <c r="S379" s="712">
        <f t="shared" si="105"/>
        <v>659.60148610592785</v>
      </c>
      <c r="T379" s="712">
        <f t="shared" si="106"/>
        <v>657.42335235781923</v>
      </c>
    </row>
    <row r="380" spans="2:20">
      <c r="B380" s="582">
        <v>306</v>
      </c>
      <c r="C380" s="712">
        <f t="shared" si="91"/>
        <v>4.5427090649439972</v>
      </c>
      <c r="D380" s="712">
        <f t="shared" si="92"/>
        <v>1428.5146699912586</v>
      </c>
      <c r="E380" s="712">
        <f t="shared" si="93"/>
        <v>872.38414053735733</v>
      </c>
      <c r="F380" s="712">
        <f t="shared" si="94"/>
        <v>527.36960759447243</v>
      </c>
      <c r="G380" s="712">
        <f t="shared" si="95"/>
        <v>368.71394543379301</v>
      </c>
      <c r="H380" s="719">
        <f t="shared" si="96"/>
        <v>302.04207783875609</v>
      </c>
      <c r="I380" s="712">
        <f t="shared" si="97"/>
        <v>301.55605113236606</v>
      </c>
      <c r="J380" s="712">
        <f t="shared" si="98"/>
        <v>301.21723657492345</v>
      </c>
      <c r="K380" s="712">
        <f t="shared" si="99"/>
        <v>301.01714051727839</v>
      </c>
      <c r="L380" s="712">
        <f t="shared" si="100"/>
        <v>300.9506631640599</v>
      </c>
      <c r="N380" s="582">
        <v>306</v>
      </c>
      <c r="O380" s="712">
        <f t="shared" si="101"/>
        <v>4.5427090649439972</v>
      </c>
      <c r="P380" s="712">
        <f t="shared" si="102"/>
        <v>692.33084784786195</v>
      </c>
      <c r="Q380" s="712">
        <f t="shared" si="103"/>
        <v>677.60867893962745</v>
      </c>
      <c r="R380" s="712">
        <f t="shared" si="104"/>
        <v>667.02924114034522</v>
      </c>
      <c r="S380" s="712">
        <f t="shared" si="105"/>
        <v>660.63798075686634</v>
      </c>
      <c r="T380" s="712">
        <f t="shared" si="106"/>
        <v>658.46194362888878</v>
      </c>
    </row>
    <row r="381" spans="2:20">
      <c r="B381" s="582">
        <v>307</v>
      </c>
      <c r="C381" s="712">
        <f t="shared" si="91"/>
        <v>4.5575545194045981</v>
      </c>
      <c r="D381" s="712">
        <f t="shared" si="92"/>
        <v>1428.7996092595386</v>
      </c>
      <c r="E381" s="712">
        <f t="shared" si="93"/>
        <v>873.35531319715199</v>
      </c>
      <c r="F381" s="712">
        <f t="shared" si="94"/>
        <v>528.22689289357311</v>
      </c>
      <c r="G381" s="712">
        <f t="shared" si="95"/>
        <v>369.13708791424284</v>
      </c>
      <c r="H381" s="719">
        <f t="shared" si="96"/>
        <v>302.08115998499431</v>
      </c>
      <c r="I381" s="712">
        <f t="shared" si="97"/>
        <v>301.59221053228441</v>
      </c>
      <c r="J381" s="712">
        <f t="shared" si="98"/>
        <v>301.25130969827717</v>
      </c>
      <c r="K381" s="712">
        <f t="shared" si="99"/>
        <v>301.04996098898857</v>
      </c>
      <c r="L381" s="712">
        <f t="shared" si="100"/>
        <v>300.98306252305741</v>
      </c>
      <c r="N381" s="582">
        <v>307</v>
      </c>
      <c r="O381" s="712">
        <f t="shared" si="101"/>
        <v>4.5575545194045981</v>
      </c>
      <c r="P381" s="712">
        <f t="shared" si="102"/>
        <v>693.33278437766819</v>
      </c>
      <c r="Q381" s="712">
        <f t="shared" si="103"/>
        <v>678.62624897031924</v>
      </c>
      <c r="R381" s="712">
        <f t="shared" si="104"/>
        <v>668.05797404853047</v>
      </c>
      <c r="S381" s="712">
        <f t="shared" si="105"/>
        <v>661.67335687582431</v>
      </c>
      <c r="T381" s="712">
        <f t="shared" si="106"/>
        <v>659.4994141054126</v>
      </c>
    </row>
    <row r="382" spans="2:20">
      <c r="B382" s="582">
        <v>308</v>
      </c>
      <c r="C382" s="712">
        <f t="shared" si="91"/>
        <v>4.5723999738651999</v>
      </c>
      <c r="D382" s="712">
        <f t="shared" si="92"/>
        <v>1429.0833719954871</v>
      </c>
      <c r="E382" s="712">
        <f t="shared" si="93"/>
        <v>874.32280515339062</v>
      </c>
      <c r="F382" s="712">
        <f t="shared" si="94"/>
        <v>529.08270495829049</v>
      </c>
      <c r="G382" s="712">
        <f t="shared" si="95"/>
        <v>369.56046078339097</v>
      </c>
      <c r="H382" s="719">
        <f t="shared" si="96"/>
        <v>302.1204482844098</v>
      </c>
      <c r="I382" s="712">
        <f t="shared" si="97"/>
        <v>301.62857539244914</v>
      </c>
      <c r="J382" s="712">
        <f t="shared" si="98"/>
        <v>301.28558758310686</v>
      </c>
      <c r="K382" s="712">
        <f t="shared" si="99"/>
        <v>301.08298570979753</v>
      </c>
      <c r="L382" s="712">
        <f t="shared" si="100"/>
        <v>301.01566592294051</v>
      </c>
      <c r="N382" s="582">
        <v>308</v>
      </c>
      <c r="O382" s="712">
        <f t="shared" si="101"/>
        <v>4.5723999738651999</v>
      </c>
      <c r="P382" s="712">
        <f t="shared" si="102"/>
        <v>694.3336396688494</v>
      </c>
      <c r="Q382" s="712">
        <f t="shared" si="103"/>
        <v>679.642720891512</v>
      </c>
      <c r="R382" s="712">
        <f t="shared" si="104"/>
        <v>669.08559680081055</v>
      </c>
      <c r="S382" s="712">
        <f t="shared" si="105"/>
        <v>662.70761566986403</v>
      </c>
      <c r="T382" s="712">
        <f t="shared" si="106"/>
        <v>660.53576499689484</v>
      </c>
    </row>
    <row r="383" spans="2:20">
      <c r="B383" s="582">
        <v>309</v>
      </c>
      <c r="C383" s="712">
        <f t="shared" si="91"/>
        <v>4.5872454283258008</v>
      </c>
      <c r="D383" s="712">
        <f t="shared" si="92"/>
        <v>1429.3659660870389</v>
      </c>
      <c r="E383" s="712">
        <f t="shared" si="93"/>
        <v>875.28663808049123</v>
      </c>
      <c r="F383" s="712">
        <f t="shared" si="94"/>
        <v>529.93704147083929</v>
      </c>
      <c r="G383" s="712">
        <f t="shared" si="95"/>
        <v>369.98405609276801</v>
      </c>
      <c r="H383" s="719">
        <f t="shared" si="96"/>
        <v>302.15994267156236</v>
      </c>
      <c r="I383" s="712">
        <f t="shared" si="97"/>
        <v>301.66514571142596</v>
      </c>
      <c r="J383" s="712">
        <f t="shared" si="98"/>
        <v>301.32007027519592</v>
      </c>
      <c r="K383" s="712">
        <f t="shared" si="99"/>
        <v>301.11621475441638</v>
      </c>
      <c r="L383" s="712">
        <f t="shared" si="100"/>
        <v>301.04847344815312</v>
      </c>
      <c r="N383" s="582">
        <v>309</v>
      </c>
      <c r="O383" s="712">
        <f t="shared" si="101"/>
        <v>4.5872454283258008</v>
      </c>
      <c r="P383" s="712">
        <f t="shared" si="102"/>
        <v>695.33341488822305</v>
      </c>
      <c r="Q383" s="712">
        <f t="shared" si="103"/>
        <v>680.65809588822947</v>
      </c>
      <c r="R383" s="712">
        <f t="shared" si="104"/>
        <v>670.11211059520895</v>
      </c>
      <c r="S383" s="712">
        <f t="shared" si="105"/>
        <v>663.74075834474559</v>
      </c>
      <c r="T383" s="712">
        <f t="shared" si="106"/>
        <v>661.57099751153419</v>
      </c>
    </row>
    <row r="384" spans="2:20">
      <c r="B384" s="582">
        <v>310</v>
      </c>
      <c r="C384" s="712">
        <f t="shared" si="91"/>
        <v>4.6020908827864027</v>
      </c>
      <c r="D384" s="712">
        <f t="shared" si="92"/>
        <v>1429.6473993416212</v>
      </c>
      <c r="E384" s="712">
        <f t="shared" si="93"/>
        <v>876.24683347908274</v>
      </c>
      <c r="F384" s="712">
        <f t="shared" si="94"/>
        <v>530.78990019790069</v>
      </c>
      <c r="G384" s="712">
        <f t="shared" si="95"/>
        <v>370.40786595607011</v>
      </c>
      <c r="H384" s="719">
        <f t="shared" si="96"/>
        <v>302.19964307739968</v>
      </c>
      <c r="I384" s="712">
        <f t="shared" si="97"/>
        <v>301.70192148365686</v>
      </c>
      <c r="J384" s="712">
        <f t="shared" si="98"/>
        <v>301.35475781583517</v>
      </c>
      <c r="K384" s="712">
        <f t="shared" si="99"/>
        <v>301.14964819284148</v>
      </c>
      <c r="L384" s="712">
        <f t="shared" si="100"/>
        <v>301.08148517835031</v>
      </c>
      <c r="N384" s="582">
        <v>310</v>
      </c>
      <c r="O384" s="712">
        <f t="shared" si="101"/>
        <v>4.6020908827864027</v>
      </c>
      <c r="P384" s="712">
        <f t="shared" si="102"/>
        <v>696.3321112013474</v>
      </c>
      <c r="Q384" s="712">
        <f t="shared" si="103"/>
        <v>681.67237514421629</v>
      </c>
      <c r="R384" s="712">
        <f t="shared" si="104"/>
        <v>671.13751662845652</v>
      </c>
      <c r="S384" s="712">
        <f t="shared" si="105"/>
        <v>664.77278610492738</v>
      </c>
      <c r="T384" s="712">
        <f t="shared" si="106"/>
        <v>662.60511285622601</v>
      </c>
    </row>
    <row r="385" spans="2:20">
      <c r="B385" s="582">
        <v>311</v>
      </c>
      <c r="C385" s="712">
        <f t="shared" si="91"/>
        <v>4.6169363372470036</v>
      </c>
      <c r="D385" s="712">
        <f t="shared" si="92"/>
        <v>1429.9276794874118</v>
      </c>
      <c r="E385" s="712">
        <f t="shared" si="93"/>
        <v>877.20341267762228</v>
      </c>
      <c r="F385" s="712">
        <f t="shared" si="94"/>
        <v>531.64127898933145</v>
      </c>
      <c r="G385" s="712">
        <f t="shared" si="95"/>
        <v>370.83188254895907</v>
      </c>
      <c r="H385" s="719">
        <f t="shared" si="96"/>
        <v>302.23954942929117</v>
      </c>
      <c r="I385" s="712">
        <f t="shared" si="97"/>
        <v>301.73890269949527</v>
      </c>
      <c r="J385" s="712">
        <f t="shared" si="98"/>
        <v>301.38965024185899</v>
      </c>
      <c r="K385" s="712">
        <f t="shared" si="99"/>
        <v>301.18328609039077</v>
      </c>
      <c r="L385" s="712">
        <f t="shared" si="100"/>
        <v>301.1147011884355</v>
      </c>
      <c r="N385" s="582">
        <v>311</v>
      </c>
      <c r="O385" s="712">
        <f t="shared" si="101"/>
        <v>4.6169363372470036</v>
      </c>
      <c r="P385" s="712">
        <f t="shared" si="102"/>
        <v>697.32972977252291</v>
      </c>
      <c r="Q385" s="712">
        <f t="shared" si="103"/>
        <v>682.68555984193972</v>
      </c>
      <c r="R385" s="712">
        <f t="shared" si="104"/>
        <v>672.16181609599209</v>
      </c>
      <c r="S385" s="712">
        <f t="shared" si="105"/>
        <v>665.80370015356857</v>
      </c>
      <c r="T385" s="712">
        <f t="shared" si="106"/>
        <v>663.63811223656262</v>
      </c>
    </row>
    <row r="386" spans="2:20">
      <c r="B386" s="582">
        <v>312</v>
      </c>
      <c r="C386" s="712">
        <f t="shared" si="91"/>
        <v>4.6317817917076045</v>
      </c>
      <c r="D386" s="712">
        <f t="shared" si="92"/>
        <v>1430.2068141745669</v>
      </c>
      <c r="E386" s="712">
        <f t="shared" si="93"/>
        <v>878.15639683399729</v>
      </c>
      <c r="F386" s="712">
        <f t="shared" si="94"/>
        <v>532.49117577689219</v>
      </c>
      <c r="G386" s="712">
        <f t="shared" si="95"/>
        <v>371.25609810885834</v>
      </c>
      <c r="H386" s="719">
        <f t="shared" si="96"/>
        <v>302.27966165106136</v>
      </c>
      <c r="I386" s="712">
        <f t="shared" si="97"/>
        <v>301.77608934524091</v>
      </c>
      <c r="J386" s="712">
        <f t="shared" si="98"/>
        <v>301.42474758568096</v>
      </c>
      <c r="K386" s="712">
        <f t="shared" si="99"/>
        <v>301.2171285077402</v>
      </c>
      <c r="L386" s="712">
        <f t="shared" si="100"/>
        <v>301.14812154859652</v>
      </c>
      <c r="N386" s="582">
        <v>312</v>
      </c>
      <c r="O386" s="712">
        <f t="shared" si="101"/>
        <v>4.6317817917076045</v>
      </c>
      <c r="P386" s="712">
        <f t="shared" si="102"/>
        <v>698.32627176479343</v>
      </c>
      <c r="Q386" s="712">
        <f t="shared" si="103"/>
        <v>683.697651162591</v>
      </c>
      <c r="R386" s="712">
        <f t="shared" si="104"/>
        <v>673.18501019196481</v>
      </c>
      <c r="S386" s="712">
        <f t="shared" si="105"/>
        <v>666.83350169252947</v>
      </c>
      <c r="T386" s="712">
        <f t="shared" si="106"/>
        <v>664.66999685683572</v>
      </c>
    </row>
    <row r="387" spans="2:20">
      <c r="B387" s="582">
        <v>313</v>
      </c>
      <c r="C387" s="712">
        <f t="shared" si="91"/>
        <v>4.6466272461682063</v>
      </c>
      <c r="D387" s="712">
        <f t="shared" si="92"/>
        <v>1430.4848109764216</v>
      </c>
      <c r="E387" s="712">
        <f t="shared" si="93"/>
        <v>879.10580693711279</v>
      </c>
      <c r="F387" s="712">
        <f t="shared" si="94"/>
        <v>533.33958857299274</v>
      </c>
      <c r="G387" s="712">
        <f t="shared" si="95"/>
        <v>371.68050493474522</v>
      </c>
      <c r="H387" s="719">
        <f t="shared" si="96"/>
        <v>302.31997966302299</v>
      </c>
      <c r="I387" s="712">
        <f t="shared" si="97"/>
        <v>301.81348140317482</v>
      </c>
      <c r="J387" s="712">
        <f t="shared" si="98"/>
        <v>301.46004987533001</v>
      </c>
      <c r="K387" s="712">
        <f t="shared" si="99"/>
        <v>301.25117550096019</v>
      </c>
      <c r="L387" s="712">
        <f t="shared" si="100"/>
        <v>301.18174632434227</v>
      </c>
      <c r="N387" s="582">
        <v>313</v>
      </c>
      <c r="O387" s="712">
        <f t="shared" si="101"/>
        <v>4.6466272461682063</v>
      </c>
      <c r="P387" s="712">
        <f t="shared" si="102"/>
        <v>699.32173833994773</v>
      </c>
      <c r="Q387" s="712">
        <f t="shared" si="103"/>
        <v>684.70865028608694</v>
      </c>
      <c r="R387" s="712">
        <f t="shared" si="104"/>
        <v>674.20710010923517</v>
      </c>
      <c r="S387" s="712">
        <f t="shared" si="105"/>
        <v>667.86219192237365</v>
      </c>
      <c r="T387" s="712">
        <f t="shared" si="106"/>
        <v>665.70076792003738</v>
      </c>
    </row>
    <row r="388" spans="2:20">
      <c r="B388" s="582">
        <v>314</v>
      </c>
      <c r="C388" s="712">
        <f t="shared" si="91"/>
        <v>4.6614727006288073</v>
      </c>
      <c r="D388" s="712">
        <f t="shared" si="92"/>
        <v>1430.76167739066</v>
      </c>
      <c r="E388" s="712">
        <f t="shared" si="93"/>
        <v>880.05166380846322</v>
      </c>
      <c r="F388" s="712">
        <f t="shared" si="94"/>
        <v>534.18651546945637</v>
      </c>
      <c r="G388" s="712">
        <f t="shared" si="95"/>
        <v>372.10509538693935</v>
      </c>
      <c r="H388" s="719">
        <f t="shared" si="96"/>
        <v>302.36050338201022</v>
      </c>
      <c r="I388" s="712">
        <f t="shared" si="97"/>
        <v>301.8510788515938</v>
      </c>
      <c r="J388" s="712">
        <f t="shared" si="98"/>
        <v>301.49555713448581</v>
      </c>
      <c r="K388" s="712">
        <f t="shared" si="99"/>
        <v>301.28542712155166</v>
      </c>
      <c r="L388" s="712">
        <f t="shared" si="100"/>
        <v>301.21557557653927</v>
      </c>
      <c r="N388" s="582">
        <v>314</v>
      </c>
      <c r="O388" s="712">
        <f t="shared" si="101"/>
        <v>4.6614727006288073</v>
      </c>
      <c r="P388" s="712">
        <f t="shared" si="102"/>
        <v>700.31613065852116</v>
      </c>
      <c r="Q388" s="712">
        <f t="shared" si="103"/>
        <v>685.71855839107047</v>
      </c>
      <c r="R388" s="712">
        <f t="shared" si="104"/>
        <v>675.22808703937619</v>
      </c>
      <c r="S388" s="712">
        <f t="shared" si="105"/>
        <v>668.88977204236903</v>
      </c>
      <c r="T388" s="712">
        <f t="shared" si="106"/>
        <v>666.73042662786145</v>
      </c>
    </row>
    <row r="389" spans="2:20">
      <c r="B389" s="582">
        <v>315</v>
      </c>
      <c r="C389" s="712">
        <f t="shared" si="91"/>
        <v>4.6763181550894091</v>
      </c>
      <c r="D389" s="712">
        <f t="shared" si="92"/>
        <v>1431.0374208404605</v>
      </c>
      <c r="E389" s="712">
        <f t="shared" si="93"/>
        <v>880.99398810369075</v>
      </c>
      <c r="F389" s="712">
        <f t="shared" si="94"/>
        <v>535.03195463630084</v>
      </c>
      <c r="G389" s="712">
        <f t="shared" si="95"/>
        <v>372.52986188688777</v>
      </c>
      <c r="H389" s="719">
        <f t="shared" si="96"/>
        <v>302.40123272141147</v>
      </c>
      <c r="I389" s="712">
        <f t="shared" si="97"/>
        <v>301.88888166484503</v>
      </c>
      <c r="J389" s="712">
        <f t="shared" si="98"/>
        <v>301.53126938251438</v>
      </c>
      <c r="K389" s="712">
        <f t="shared" si="99"/>
        <v>301.31988341648236</v>
      </c>
      <c r="L389" s="712">
        <f t="shared" si="100"/>
        <v>301.24960936144777</v>
      </c>
      <c r="N389" s="582">
        <v>315</v>
      </c>
      <c r="O389" s="712">
        <f t="shared" si="101"/>
        <v>4.6763181550894091</v>
      </c>
      <c r="P389" s="712">
        <f t="shared" si="102"/>
        <v>701.30944987979626</v>
      </c>
      <c r="Q389" s="712">
        <f t="shared" si="103"/>
        <v>686.72737665491331</v>
      </c>
      <c r="R389" s="712">
        <f t="shared" si="104"/>
        <v>676.2479721726753</v>
      </c>
      <c r="S389" s="712">
        <f t="shared" si="105"/>
        <v>669.9162432504894</v>
      </c>
      <c r="T389" s="712">
        <f t="shared" si="106"/>
        <v>667.75897418070485</v>
      </c>
    </row>
    <row r="390" spans="2:20">
      <c r="B390" s="582">
        <v>316</v>
      </c>
      <c r="C390" s="712">
        <f t="shared" si="91"/>
        <v>4.69116360955001</v>
      </c>
      <c r="D390" s="712">
        <f t="shared" si="92"/>
        <v>1431.3120486756138</v>
      </c>
      <c r="E390" s="712">
        <f t="shared" si="93"/>
        <v>881.93280031412746</v>
      </c>
      <c r="F390" s="712">
        <f t="shared" si="94"/>
        <v>535.87590432053787</v>
      </c>
      <c r="G390" s="712">
        <f t="shared" si="95"/>
        <v>372.95479691694635</v>
      </c>
      <c r="H390" s="719">
        <f t="shared" si="96"/>
        <v>302.44216759120224</v>
      </c>
      <c r="I390" s="712">
        <f t="shared" si="97"/>
        <v>301.92688981336045</v>
      </c>
      <c r="J390" s="712">
        <f t="shared" si="98"/>
        <v>301.56718663450363</v>
      </c>
      <c r="K390" s="712">
        <f t="shared" si="99"/>
        <v>301.35454442822277</v>
      </c>
      <c r="L390" s="712">
        <f t="shared" si="100"/>
        <v>301.28384773075817</v>
      </c>
      <c r="N390" s="582">
        <v>316</v>
      </c>
      <c r="O390" s="712">
        <f t="shared" si="101"/>
        <v>4.69116360955001</v>
      </c>
      <c r="P390" s="712">
        <f t="shared" si="102"/>
        <v>702.30169716180478</v>
      </c>
      <c r="Q390" s="712">
        <f t="shared" si="103"/>
        <v>687.73510625371591</v>
      </c>
      <c r="R390" s="712">
        <f t="shared" si="104"/>
        <v>677.26675669813517</v>
      </c>
      <c r="S390" s="712">
        <f t="shared" si="105"/>
        <v>670.94160674341572</v>
      </c>
      <c r="T390" s="712">
        <f t="shared" si="106"/>
        <v>668.78641177766917</v>
      </c>
    </row>
    <row r="391" spans="2:20">
      <c r="B391" s="582">
        <v>317</v>
      </c>
      <c r="C391" s="712">
        <f t="shared" si="91"/>
        <v>4.7060090640106109</v>
      </c>
      <c r="D391" s="712">
        <f t="shared" si="92"/>
        <v>1431.5855681736152</v>
      </c>
      <c r="E391" s="712">
        <f t="shared" si="93"/>
        <v>882.86812076832393</v>
      </c>
      <c r="F391" s="712">
        <f t="shared" si="94"/>
        <v>536.71836284498818</v>
      </c>
      <c r="G391" s="712">
        <f t="shared" si="95"/>
        <v>373.37989302015779</v>
      </c>
      <c r="H391" s="719">
        <f t="shared" si="96"/>
        <v>302.48330789797751</v>
      </c>
      <c r="I391" s="712">
        <f t="shared" si="97"/>
        <v>301.96510326369082</v>
      </c>
      <c r="J391" s="712">
        <f t="shared" si="98"/>
        <v>301.60330890129865</v>
      </c>
      <c r="K391" s="712">
        <f t="shared" si="99"/>
        <v>301.3894101947821</v>
      </c>
      <c r="L391" s="712">
        <f t="shared" si="100"/>
        <v>301.31829073162697</v>
      </c>
      <c r="N391" s="582">
        <v>317</v>
      </c>
      <c r="O391" s="712">
        <f t="shared" si="101"/>
        <v>4.7060090640106109</v>
      </c>
      <c r="P391" s="712">
        <f t="shared" si="102"/>
        <v>703.29287366132883</v>
      </c>
      <c r="Q391" s="712">
        <f t="shared" si="103"/>
        <v>688.74174836230998</v>
      </c>
      <c r="R391" s="712">
        <f t="shared" si="104"/>
        <v>678.28444180347549</v>
      </c>
      <c r="S391" s="712">
        <f t="shared" si="105"/>
        <v>671.96586371653746</v>
      </c>
      <c r="T391" s="712">
        <f t="shared" si="106"/>
        <v>669.812740616562</v>
      </c>
    </row>
    <row r="392" spans="2:20">
      <c r="B392" s="582">
        <v>318</v>
      </c>
      <c r="C392" s="712">
        <f t="shared" si="91"/>
        <v>4.7208545184712127</v>
      </c>
      <c r="D392" s="712">
        <f t="shared" si="92"/>
        <v>1431.8579865407328</v>
      </c>
      <c r="E392" s="712">
        <f t="shared" si="93"/>
        <v>883.79996963356325</v>
      </c>
      <c r="F392" s="712">
        <f t="shared" si="94"/>
        <v>537.55932860711516</v>
      </c>
      <c r="G392" s="712">
        <f t="shared" si="95"/>
        <v>373.80514280002666</v>
      </c>
      <c r="H392" s="719">
        <f t="shared" si="96"/>
        <v>302.52465354498429</v>
      </c>
      <c r="I392" s="712">
        <f t="shared" si="97"/>
        <v>302.00352197854011</v>
      </c>
      <c r="J392" s="712">
        <f t="shared" si="98"/>
        <v>301.63963618953693</v>
      </c>
      <c r="K392" s="712">
        <f t="shared" si="99"/>
        <v>301.42448074974413</v>
      </c>
      <c r="L392" s="712">
        <f t="shared" si="100"/>
        <v>301.35293840671289</v>
      </c>
      <c r="N392" s="582">
        <v>318</v>
      </c>
      <c r="O392" s="712">
        <f t="shared" si="101"/>
        <v>4.7208545184712127</v>
      </c>
      <c r="P392" s="712">
        <f t="shared" si="102"/>
        <v>704.28298053390176</v>
      </c>
      <c r="Q392" s="712">
        <f t="shared" si="103"/>
        <v>689.74730415425938</v>
      </c>
      <c r="R392" s="712">
        <f t="shared" si="104"/>
        <v>679.30102867513415</v>
      </c>
      <c r="S392" s="712">
        <f t="shared" si="105"/>
        <v>672.98901536395419</v>
      </c>
      <c r="T392" s="712">
        <f t="shared" si="106"/>
        <v>670.83796189389841</v>
      </c>
    </row>
    <row r="393" spans="2:20">
      <c r="B393" s="582">
        <v>319</v>
      </c>
      <c r="C393" s="712">
        <f t="shared" si="91"/>
        <v>4.7356999729318137</v>
      </c>
      <c r="D393" s="712">
        <f t="shared" si="92"/>
        <v>1432.1293109130511</v>
      </c>
      <c r="E393" s="712">
        <f t="shared" si="93"/>
        <v>884.72836691735984</v>
      </c>
      <c r="F393" s="712">
        <f t="shared" si="94"/>
        <v>538.39880007787428</v>
      </c>
      <c r="G393" s="712">
        <f t="shared" si="95"/>
        <v>374.23053892029083</v>
      </c>
      <c r="H393" s="719">
        <f t="shared" si="96"/>
        <v>302.56620443215371</v>
      </c>
      <c r="I393" s="712">
        <f t="shared" si="97"/>
        <v>302.04214591679937</v>
      </c>
      <c r="J393" s="712">
        <f t="shared" si="98"/>
        <v>301.67616850168338</v>
      </c>
      <c r="K393" s="712">
        <f t="shared" si="99"/>
        <v>301.45975612230302</v>
      </c>
      <c r="L393" s="712">
        <f t="shared" si="100"/>
        <v>301.38779079421283</v>
      </c>
      <c r="N393" s="582">
        <v>319</v>
      </c>
      <c r="O393" s="712">
        <f t="shared" si="101"/>
        <v>4.7356999729318137</v>
      </c>
      <c r="P393" s="712">
        <f t="shared" si="102"/>
        <v>705.2720189338105</v>
      </c>
      <c r="Q393" s="712">
        <f t="shared" si="103"/>
        <v>690.75177480186142</v>
      </c>
      <c r="R393" s="712">
        <f t="shared" si="104"/>
        <v>680.31651849826869</v>
      </c>
      <c r="S393" s="712">
        <f t="shared" si="105"/>
        <v>674.01106287847676</v>
      </c>
      <c r="T393" s="712">
        <f t="shared" si="106"/>
        <v>671.86207680490202</v>
      </c>
    </row>
    <row r="394" spans="2:20">
      <c r="B394" s="582">
        <v>320</v>
      </c>
      <c r="C394" s="712">
        <f t="shared" si="91"/>
        <v>4.7505454273924155</v>
      </c>
      <c r="D394" s="712">
        <f t="shared" si="92"/>
        <v>1432.3995483574922</v>
      </c>
      <c r="E394" s="712">
        <f t="shared" si="93"/>
        <v>885.65333246894545</v>
      </c>
      <c r="F394" s="712">
        <f t="shared" si="94"/>
        <v>539.23677580057847</v>
      </c>
      <c r="G394" s="712">
        <f t="shared" si="95"/>
        <v>374.65607410469039</v>
      </c>
      <c r="H394" s="719">
        <f t="shared" si="96"/>
        <v>302.60796045613307</v>
      </c>
      <c r="I394" s="712">
        <f t="shared" si="97"/>
        <v>302.08097503358027</v>
      </c>
      <c r="J394" s="712">
        <f t="shared" si="98"/>
        <v>301.71290583606526</v>
      </c>
      <c r="K394" s="712">
        <f t="shared" si="99"/>
        <v>301.49523633729865</v>
      </c>
      <c r="L394" s="712">
        <f t="shared" si="100"/>
        <v>301.42284792789764</v>
      </c>
      <c r="N394" s="582">
        <v>320</v>
      </c>
      <c r="O394" s="712">
        <f t="shared" si="101"/>
        <v>4.7505454273924155</v>
      </c>
      <c r="P394" s="712">
        <f t="shared" si="102"/>
        <v>706.25999001409593</v>
      </c>
      <c r="Q394" s="712">
        <f t="shared" si="103"/>
        <v>691.75516147614826</v>
      </c>
      <c r="R394" s="712">
        <f t="shared" si="104"/>
        <v>681.33091245675791</v>
      </c>
      <c r="S394" s="712">
        <f t="shared" si="105"/>
        <v>675.03200745162894</v>
      </c>
      <c r="T394" s="712">
        <f t="shared" si="106"/>
        <v>672.88508654350676</v>
      </c>
    </row>
    <row r="395" spans="2:20">
      <c r="B395" s="582">
        <v>321</v>
      </c>
      <c r="C395" s="712">
        <f t="shared" ref="C395:C458" si="107">$C$73*B395</f>
        <v>4.7653908818530164</v>
      </c>
      <c r="D395" s="712">
        <f t="shared" ref="D395:D458" si="108">(1-2*FoAb-2*FoAb*BiCombAb)*D394+2*FoAb*E394+2*FoAb*BiCombAb*Tcomb</f>
        <v>1432.6687058728135</v>
      </c>
      <c r="E395" s="712">
        <f t="shared" ref="E395:E458" si="109">FoAb*D394+(1-2*FoAb)*E394+FoAb*F394</f>
        <v>886.5748859807394</v>
      </c>
      <c r="F395" s="712">
        <f t="shared" ref="F395:F458" si="110">FoAb*E394+(1-2*FoAb)*F394+FoAb*G394</f>
        <v>540.07325438978114</v>
      </c>
      <c r="G395" s="712">
        <f t="shared" ref="G395:G458" si="111">FoAb*F394+(1-2*FoAb)*G394+FoAb*H394</f>
        <v>375.08174113673317</v>
      </c>
      <c r="H395" s="719">
        <f t="shared" ref="H395:H458" si="112">_FoN1*G394+(1-_FoN1-_FoN2)*H394+_FoN2*I394</f>
        <v>302.64992151031777</v>
      </c>
      <c r="I395" s="712">
        <f t="shared" ref="I395:I458" si="113">FoCase*H394+(1-2*FoCase)*I394+FoCase*J394</f>
        <v>302.12000928024906</v>
      </c>
      <c r="J395" s="712">
        <f t="shared" ref="J395:J458" si="114">FoCase*I394+(1-2*FoCase)*J394+FoCase*K394</f>
        <v>301.74984818690734</v>
      </c>
      <c r="K395" s="712">
        <f t="shared" ref="K395:K458" si="115">FoCase*J394+(1-2*FoCase)*K394+FoCase*L394</f>
        <v>301.53092141525246</v>
      </c>
      <c r="L395" s="712">
        <f t="shared" ref="L395:L458" si="116">(1-2*FoCase-2*FoCase*BiAtmCase)*L394+2*FoCase*K394+2*FoCase*BiAtmCase*Tatm</f>
        <v>301.4581098371479</v>
      </c>
      <c r="N395" s="582">
        <v>321</v>
      </c>
      <c r="O395" s="712">
        <f t="shared" ref="O395:O458" si="117">$O$73*N395</f>
        <v>4.7653908818530164</v>
      </c>
      <c r="P395" s="712">
        <f t="shared" ref="P395:P458" si="118">(1-2*FoCase-2*FoCase*BiCombCase)*P394+2*FoCase*Q394+2*FoCase*BiCombCase*Tcomb</f>
        <v>707.24689492655489</v>
      </c>
      <c r="Q395" s="712">
        <f t="shared" ref="Q395:Q458" si="119">FoCase*P394+(1-2*FoCase)*Q394+FoCase*R394</f>
        <v>692.75746534688847</v>
      </c>
      <c r="R395" s="712">
        <f t="shared" ref="R395:R458" si="120">FoCase*Q394+(1-2*FoCase)*R394+FoCase*S394</f>
        <v>682.34421173320266</v>
      </c>
      <c r="S395" s="712">
        <f t="shared" ref="S395:S458" si="121">FoCase*R394+(1-2*FoCase)*S394+FoCase*T394</f>
        <v>676.05185027364871</v>
      </c>
      <c r="T395" s="712">
        <f t="shared" ref="T395:T458" si="122">(1-2*FoCase-2*FoCase*BiAtmCase)*T394+2*FoCase*S394+2*FoCase*BiAtmCase*Tatm</f>
        <v>673.90699230235805</v>
      </c>
    </row>
    <row r="396" spans="2:20">
      <c r="B396" s="582">
        <v>322</v>
      </c>
      <c r="C396" s="712">
        <f t="shared" si="107"/>
        <v>4.7802363363136182</v>
      </c>
      <c r="D396" s="712">
        <f t="shared" si="108"/>
        <v>1432.9367903905838</v>
      </c>
      <c r="E396" s="712">
        <f t="shared" si="109"/>
        <v>887.49304698980586</v>
      </c>
      <c r="F396" s="712">
        <f t="shared" si="110"/>
        <v>540.90823453017367</v>
      </c>
      <c r="G396" s="712">
        <f t="shared" si="111"/>
        <v>375.5075328594578</v>
      </c>
      <c r="H396" s="719">
        <f t="shared" si="112"/>
        <v>302.69208748488273</v>
      </c>
      <c r="I396" s="712">
        <f t="shared" si="113"/>
        <v>302.15924860445989</v>
      </c>
      <c r="J396" s="712">
        <f t="shared" si="114"/>
        <v>301.78699554436633</v>
      </c>
      <c r="K396" s="712">
        <f t="shared" si="115"/>
        <v>301.56681137240281</v>
      </c>
      <c r="L396" s="712">
        <f t="shared" si="116"/>
        <v>301.49357654698946</v>
      </c>
      <c r="N396" s="582">
        <v>322</v>
      </c>
      <c r="O396" s="712">
        <f t="shared" si="117"/>
        <v>4.7802363363136182</v>
      </c>
      <c r="P396" s="712">
        <f t="shared" si="118"/>
        <v>708.23273482174102</v>
      </c>
      <c r="Q396" s="712">
        <f t="shared" si="119"/>
        <v>693.75868758258821</v>
      </c>
      <c r="R396" s="712">
        <f t="shared" si="120"/>
        <v>683.35641750892773</v>
      </c>
      <c r="S396" s="712">
        <f t="shared" si="121"/>
        <v>677.07059253348939</v>
      </c>
      <c r="T396" s="712">
        <f t="shared" si="122"/>
        <v>674.92779527281436</v>
      </c>
    </row>
    <row r="397" spans="2:20">
      <c r="B397" s="582">
        <v>323</v>
      </c>
      <c r="C397" s="712">
        <f t="shared" si="107"/>
        <v>4.7950817907742191</v>
      </c>
      <c r="D397" s="712">
        <f t="shared" si="108"/>
        <v>1433.2038087761391</v>
      </c>
      <c r="E397" s="712">
        <f t="shared" si="109"/>
        <v>888.4078348792965</v>
      </c>
      <c r="F397" s="712">
        <f t="shared" si="110"/>
        <v>541.74171497549946</v>
      </c>
      <c r="G397" s="712">
        <f t="shared" si="111"/>
        <v>375.93344217519359</v>
      </c>
      <c r="H397" s="719">
        <f t="shared" si="112"/>
        <v>302.73445826681427</v>
      </c>
      <c r="I397" s="712">
        <f t="shared" si="113"/>
        <v>302.19869295018827</v>
      </c>
      <c r="J397" s="712">
        <f t="shared" si="114"/>
        <v>301.82434789456534</v>
      </c>
      <c r="K397" s="712">
        <f t="shared" si="115"/>
        <v>301.60290622073995</v>
      </c>
      <c r="L397" s="712">
        <f t="shared" si="116"/>
        <v>301.52924807812917</v>
      </c>
      <c r="N397" s="582">
        <v>323</v>
      </c>
      <c r="O397" s="712">
        <f t="shared" si="117"/>
        <v>4.7950817907742191</v>
      </c>
      <c r="P397" s="712">
        <f t="shared" si="118"/>
        <v>709.21751084896653</v>
      </c>
      <c r="Q397" s="712">
        <f t="shared" si="119"/>
        <v>694.75882935049253</v>
      </c>
      <c r="R397" s="712">
        <f t="shared" si="120"/>
        <v>684.3675309639832</v>
      </c>
      <c r="S397" s="712">
        <f t="shared" si="121"/>
        <v>678.08823541882134</v>
      </c>
      <c r="T397" s="712">
        <f t="shared" si="122"/>
        <v>675.94749664494861</v>
      </c>
    </row>
    <row r="398" spans="2:20">
      <c r="B398" s="582">
        <v>324</v>
      </c>
      <c r="C398" s="712">
        <f t="shared" si="107"/>
        <v>4.8099272452348201</v>
      </c>
      <c r="D398" s="712">
        <f t="shared" si="108"/>
        <v>1433.4697678295156</v>
      </c>
      <c r="E398" s="712">
        <f t="shared" si="109"/>
        <v>889.3192688798797</v>
      </c>
      <c r="F398" s="712">
        <f t="shared" si="110"/>
        <v>542.57369454748357</v>
      </c>
      <c r="G398" s="712">
        <f t="shared" si="111"/>
        <v>376.35946204531825</v>
      </c>
      <c r="H398" s="719">
        <f t="shared" si="112"/>
        <v>302.77703373994109</v>
      </c>
      <c r="I398" s="712">
        <f t="shared" si="113"/>
        <v>302.2383422577642</v>
      </c>
      <c r="J398" s="712">
        <f t="shared" si="114"/>
        <v>301.86190521962862</v>
      </c>
      <c r="K398" s="712">
        <f t="shared" si="115"/>
        <v>301.63920596804167</v>
      </c>
      <c r="L398" s="712">
        <f t="shared" si="116"/>
        <v>301.5651244469899</v>
      </c>
      <c r="N398" s="582">
        <v>324</v>
      </c>
      <c r="O398" s="712">
        <f t="shared" si="117"/>
        <v>4.8099272452348201</v>
      </c>
      <c r="P398" s="712">
        <f t="shared" si="118"/>
        <v>710.20122415630306</v>
      </c>
      <c r="Q398" s="712">
        <f t="shared" si="119"/>
        <v>695.75789181658729</v>
      </c>
      <c r="R398" s="712">
        <f t="shared" si="120"/>
        <v>685.37755327714581</v>
      </c>
      <c r="S398" s="712">
        <f t="shared" si="121"/>
        <v>679.10478011603323</v>
      </c>
      <c r="T398" s="712">
        <f t="shared" si="122"/>
        <v>676.96609760754927</v>
      </c>
    </row>
    <row r="399" spans="2:20">
      <c r="B399" s="582">
        <v>325</v>
      </c>
      <c r="C399" s="712">
        <f t="shared" si="107"/>
        <v>4.8247726996954219</v>
      </c>
      <c r="D399" s="712">
        <f t="shared" si="108"/>
        <v>1433.7346742863658</v>
      </c>
      <c r="E399" s="712">
        <f t="shared" si="109"/>
        <v>890.22736807115575</v>
      </c>
      <c r="F399" s="712">
        <f t="shared" si="110"/>
        <v>543.40417213477724</v>
      </c>
      <c r="G399" s="712">
        <f t="shared" si="111"/>
        <v>376.78558549001264</v>
      </c>
      <c r="H399" s="719">
        <f t="shared" si="112"/>
        <v>302.8198137849655</v>
      </c>
      <c r="I399" s="712">
        <f t="shared" si="113"/>
        <v>302.2781964639052</v>
      </c>
      <c r="J399" s="712">
        <f t="shared" si="114"/>
        <v>301.89966749771582</v>
      </c>
      <c r="K399" s="712">
        <f t="shared" si="115"/>
        <v>301.67571061790784</v>
      </c>
      <c r="L399" s="712">
        <f t="shared" si="116"/>
        <v>301.60120566574614</v>
      </c>
      <c r="N399" s="582">
        <v>325</v>
      </c>
      <c r="O399" s="712">
        <f t="shared" si="117"/>
        <v>4.8247726996954219</v>
      </c>
      <c r="P399" s="712">
        <f t="shared" si="118"/>
        <v>711.18387589058386</v>
      </c>
      <c r="Q399" s="712">
        <f t="shared" si="119"/>
        <v>696.75587614559947</v>
      </c>
      <c r="R399" s="712">
        <f t="shared" si="120"/>
        <v>686.38648562591993</v>
      </c>
      <c r="S399" s="712">
        <f t="shared" si="121"/>
        <v>680.12022781023359</v>
      </c>
      <c r="T399" s="712">
        <f t="shared" si="122"/>
        <v>677.98359934812208</v>
      </c>
    </row>
    <row r="400" spans="2:20">
      <c r="B400" s="582">
        <v>326</v>
      </c>
      <c r="C400" s="712">
        <f t="shared" si="107"/>
        <v>4.8396181541560228</v>
      </c>
      <c r="D400" s="712">
        <f t="shared" si="108"/>
        <v>1433.998534818852</v>
      </c>
      <c r="E400" s="712">
        <f t="shared" si="109"/>
        <v>891.13215138305827</v>
      </c>
      <c r="F400" s="712">
        <f t="shared" si="110"/>
        <v>544.23314669191768</v>
      </c>
      <c r="G400" s="712">
        <f t="shared" si="111"/>
        <v>377.21180558801342</v>
      </c>
      <c r="H400" s="719">
        <f t="shared" si="112"/>
        <v>302.86279827949448</v>
      </c>
      <c r="I400" s="712">
        <f t="shared" si="113"/>
        <v>302.31825550174938</v>
      </c>
      <c r="J400" s="712">
        <f t="shared" si="114"/>
        <v>301.93763470305612</v>
      </c>
      <c r="K400" s="712">
        <f t="shared" si="115"/>
        <v>301.71242016979579</v>
      </c>
      <c r="L400" s="712">
        <f t="shared" si="116"/>
        <v>301.63749174235903</v>
      </c>
      <c r="N400" s="582">
        <v>326</v>
      </c>
      <c r="O400" s="712">
        <f t="shared" si="117"/>
        <v>4.8396181541560228</v>
      </c>
      <c r="P400" s="712">
        <f t="shared" si="118"/>
        <v>712.16546719740404</v>
      </c>
      <c r="Q400" s="712">
        <f t="shared" si="119"/>
        <v>697.7527835009995</v>
      </c>
      <c r="R400" s="712">
        <f t="shared" si="120"/>
        <v>687.39432918653927</v>
      </c>
      <c r="S400" s="712">
        <f t="shared" si="121"/>
        <v>681.13457968525199</v>
      </c>
      <c r="T400" s="712">
        <f t="shared" si="122"/>
        <v>679.00000305289109</v>
      </c>
    </row>
    <row r="401" spans="2:20">
      <c r="B401" s="582">
        <v>327</v>
      </c>
      <c r="C401" s="712">
        <f t="shared" si="107"/>
        <v>4.8544636086166246</v>
      </c>
      <c r="D401" s="712">
        <f t="shared" si="108"/>
        <v>1434.261356036523</v>
      </c>
      <c r="E401" s="712">
        <f t="shared" si="109"/>
        <v>892.03363759724243</v>
      </c>
      <c r="F401" s="712">
        <f t="shared" si="110"/>
        <v>545.06061723830305</v>
      </c>
      <c r="G401" s="712">
        <f t="shared" si="111"/>
        <v>377.63811547636311</v>
      </c>
      <c r="H401" s="719">
        <f t="shared" si="112"/>
        <v>302.90598709807045</v>
      </c>
      <c r="I401" s="712">
        <f t="shared" si="113"/>
        <v>302.35851930088768</v>
      </c>
      <c r="J401" s="712">
        <f t="shared" si="114"/>
        <v>301.97580680598224</v>
      </c>
      <c r="K401" s="712">
        <f t="shared" si="115"/>
        <v>301.74933461905488</v>
      </c>
      <c r="L401" s="712">
        <f t="shared" si="116"/>
        <v>301.67398268061146</v>
      </c>
      <c r="N401" s="582">
        <v>327</v>
      </c>
      <c r="O401" s="712">
        <f t="shared" si="117"/>
        <v>4.8544636086166246</v>
      </c>
      <c r="P401" s="712">
        <f t="shared" si="118"/>
        <v>713.14599922112268</v>
      </c>
      <c r="Q401" s="712">
        <f t="shared" si="119"/>
        <v>698.74861504500245</v>
      </c>
      <c r="R401" s="712">
        <f t="shared" si="120"/>
        <v>688.40108513396831</v>
      </c>
      <c r="S401" s="712">
        <f t="shared" si="121"/>
        <v>682.14783692364028</v>
      </c>
      <c r="T401" s="712">
        <f t="shared" si="122"/>
        <v>680.01530990680044</v>
      </c>
    </row>
    <row r="402" spans="2:20">
      <c r="B402" s="582">
        <v>328</v>
      </c>
      <c r="C402" s="712">
        <f t="shared" si="107"/>
        <v>4.8693090630772256</v>
      </c>
      <c r="D402" s="712">
        <f t="shared" si="108"/>
        <v>1434.5231444871717</v>
      </c>
      <c r="E402" s="712">
        <f t="shared" si="109"/>
        <v>892.93184534845943</v>
      </c>
      <c r="F402" s="712">
        <f t="shared" si="110"/>
        <v>545.88658285718145</v>
      </c>
      <c r="G402" s="712">
        <f t="shared" si="111"/>
        <v>378.06450835015772</v>
      </c>
      <c r="H402" s="719">
        <f t="shared" si="112"/>
        <v>302.94938011220171</v>
      </c>
      <c r="I402" s="712">
        <f t="shared" si="113"/>
        <v>302.39898778739717</v>
      </c>
      <c r="J402" s="712">
        <f t="shared" si="114"/>
        <v>302.01418377296454</v>
      </c>
      <c r="K402" s="712">
        <f t="shared" si="115"/>
        <v>301.78645395696117</v>
      </c>
      <c r="L402" s="712">
        <f t="shared" si="116"/>
        <v>301.71067848014292</v>
      </c>
      <c r="N402" s="582">
        <v>328</v>
      </c>
      <c r="O402" s="712">
        <f t="shared" si="117"/>
        <v>4.8693090630772256</v>
      </c>
      <c r="P402" s="712">
        <f t="shared" si="118"/>
        <v>714.125473104864</v>
      </c>
      <c r="Q402" s="712">
        <f t="shared" si="119"/>
        <v>699.74337193856854</v>
      </c>
      <c r="R402" s="712">
        <f t="shared" si="120"/>
        <v>689.40675464190372</v>
      </c>
      <c r="S402" s="712">
        <f t="shared" si="121"/>
        <v>683.16000070667428</v>
      </c>
      <c r="T402" s="712">
        <f t="shared" si="122"/>
        <v>681.0295210935152</v>
      </c>
    </row>
    <row r="403" spans="2:20">
      <c r="B403" s="582">
        <v>329</v>
      </c>
      <c r="C403" s="712">
        <f t="shared" si="107"/>
        <v>4.8841545175378274</v>
      </c>
      <c r="D403" s="712">
        <f t="shared" si="108"/>
        <v>1434.7839066576755</v>
      </c>
      <c r="E403" s="712">
        <f t="shared" si="109"/>
        <v>893.82679312591756</v>
      </c>
      <c r="F403" s="712">
        <f t="shared" si="110"/>
        <v>546.71104269465502</v>
      </c>
      <c r="G403" s="712">
        <f t="shared" si="111"/>
        <v>378.49097746229279</v>
      </c>
      <c r="H403" s="719">
        <f t="shared" si="112"/>
        <v>302.99297719039299</v>
      </c>
      <c r="I403" s="712">
        <f t="shared" si="113"/>
        <v>302.43966088387288</v>
      </c>
      <c r="J403" s="712">
        <f t="shared" si="114"/>
        <v>302.05276556664438</v>
      </c>
      <c r="K403" s="712">
        <f t="shared" si="115"/>
        <v>301.82377817075201</v>
      </c>
      <c r="L403" s="712">
        <f t="shared" si="116"/>
        <v>301.74757913648443</v>
      </c>
      <c r="N403" s="582">
        <v>329</v>
      </c>
      <c r="O403" s="712">
        <f t="shared" si="117"/>
        <v>4.8841545175378274</v>
      </c>
      <c r="P403" s="712">
        <f t="shared" si="118"/>
        <v>715.10388999051827</v>
      </c>
      <c r="Q403" s="712">
        <f t="shared" si="119"/>
        <v>700.73705534140572</v>
      </c>
      <c r="R403" s="712">
        <f t="shared" si="120"/>
        <v>690.41133888277511</v>
      </c>
      <c r="S403" s="712">
        <f t="shared" si="121"/>
        <v>684.17107221435526</v>
      </c>
      <c r="T403" s="712">
        <f t="shared" si="122"/>
        <v>682.04263779542362</v>
      </c>
    </row>
    <row r="404" spans="2:20">
      <c r="B404" s="582">
        <v>330</v>
      </c>
      <c r="C404" s="712">
        <f t="shared" si="107"/>
        <v>4.8989999719984283</v>
      </c>
      <c r="D404" s="712">
        <f t="shared" si="108"/>
        <v>1435.0436489748186</v>
      </c>
      <c r="E404" s="712">
        <f t="shared" si="109"/>
        <v>894.71849927463052</v>
      </c>
      <c r="F404" s="712">
        <f t="shared" si="110"/>
        <v>547.53399595869791</v>
      </c>
      <c r="G404" s="712">
        <f t="shared" si="111"/>
        <v>378.91751612320667</v>
      </c>
      <c r="H404" s="719">
        <f t="shared" si="112"/>
        <v>303.03677819817568</v>
      </c>
      <c r="I404" s="712">
        <f t="shared" si="113"/>
        <v>302.4805385094603</v>
      </c>
      <c r="J404" s="712">
        <f t="shared" si="114"/>
        <v>302.09155214586821</v>
      </c>
      <c r="K404" s="712">
        <f t="shared" si="115"/>
        <v>301.86130724366046</v>
      </c>
      <c r="L404" s="712">
        <f t="shared" si="116"/>
        <v>301.78468464109307</v>
      </c>
      <c r="N404" s="582">
        <v>330</v>
      </c>
      <c r="O404" s="712">
        <f t="shared" si="117"/>
        <v>4.8989999719984283</v>
      </c>
      <c r="P404" s="712">
        <f t="shared" si="118"/>
        <v>716.08125101874396</v>
      </c>
      <c r="Q404" s="712">
        <f t="shared" si="119"/>
        <v>701.72966641197024</v>
      </c>
      <c r="R404" s="712">
        <f t="shared" si="120"/>
        <v>691.41483902774735</v>
      </c>
      <c r="S404" s="712">
        <f t="shared" si="121"/>
        <v>685.18105262541053</v>
      </c>
      <c r="T404" s="712">
        <f t="shared" si="122"/>
        <v>683.05466119363746</v>
      </c>
    </row>
    <row r="405" spans="2:20">
      <c r="B405" s="582">
        <v>331</v>
      </c>
      <c r="C405" s="712">
        <f t="shared" si="107"/>
        <v>4.9138454264590292</v>
      </c>
      <c r="D405" s="712">
        <f t="shared" si="108"/>
        <v>1435.3023778060974</v>
      </c>
      <c r="E405" s="712">
        <f t="shared" si="109"/>
        <v>895.60698199675176</v>
      </c>
      <c r="F405" s="712">
        <f t="shared" si="110"/>
        <v>548.35544191818838</v>
      </c>
      <c r="G405" s="712">
        <f t="shared" si="111"/>
        <v>379.34411770062206</v>
      </c>
      <c r="H405" s="719">
        <f t="shared" si="112"/>
        <v>303.08078299813786</v>
      </c>
      <c r="I405" s="712">
        <f t="shared" si="113"/>
        <v>302.52162057988755</v>
      </c>
      <c r="J405" s="712">
        <f t="shared" si="114"/>
        <v>302.13054346572096</v>
      </c>
      <c r="K405" s="712">
        <f t="shared" si="115"/>
        <v>301.8990411549496</v>
      </c>
      <c r="L405" s="712">
        <f t="shared" si="116"/>
        <v>301.82199498138647</v>
      </c>
      <c r="N405" s="582">
        <v>331</v>
      </c>
      <c r="O405" s="712">
        <f t="shared" si="117"/>
        <v>4.9138454264590292</v>
      </c>
      <c r="P405" s="712">
        <f t="shared" si="118"/>
        <v>717.0575573289683</v>
      </c>
      <c r="Q405" s="712">
        <f t="shared" si="119"/>
        <v>702.72120630746804</v>
      </c>
      <c r="R405" s="712">
        <f t="shared" si="120"/>
        <v>692.41725624672108</v>
      </c>
      <c r="S405" s="712">
        <f t="shared" si="121"/>
        <v>686.18994311729591</v>
      </c>
      <c r="T405" s="712">
        <f t="shared" si="122"/>
        <v>684.06559246799429</v>
      </c>
    </row>
    <row r="406" spans="2:20">
      <c r="B406" s="582">
        <v>332</v>
      </c>
      <c r="C406" s="712">
        <f t="shared" si="107"/>
        <v>4.928690880919631</v>
      </c>
      <c r="D406" s="712">
        <f t="shared" si="108"/>
        <v>1435.5600994605109</v>
      </c>
      <c r="E406" s="712">
        <f t="shared" si="109"/>
        <v>896.49225935289689</v>
      </c>
      <c r="F406" s="712">
        <f t="shared" si="110"/>
        <v>549.1753799019549</v>
      </c>
      <c r="G406" s="712">
        <f t="shared" si="111"/>
        <v>379.77077561928553</v>
      </c>
      <c r="H406" s="719">
        <f t="shared" si="112"/>
        <v>303.12499144995422</v>
      </c>
      <c r="I406" s="712">
        <f t="shared" si="113"/>
        <v>302.56290700749707</v>
      </c>
      <c r="J406" s="712">
        <f t="shared" si="114"/>
        <v>302.16973947755906</v>
      </c>
      <c r="K406" s="712">
        <f t="shared" si="115"/>
        <v>301.93697987994676</v>
      </c>
      <c r="L406" s="712">
        <f t="shared" si="116"/>
        <v>301.85951014077756</v>
      </c>
      <c r="N406" s="582">
        <v>332</v>
      </c>
      <c r="O406" s="712">
        <f t="shared" si="117"/>
        <v>4.928690880919631</v>
      </c>
      <c r="P406" s="712">
        <f t="shared" si="118"/>
        <v>718.03281005938891</v>
      </c>
      <c r="Q406" s="712">
        <f t="shared" si="119"/>
        <v>703.71167618385675</v>
      </c>
      <c r="R406" s="712">
        <f t="shared" si="120"/>
        <v>693.41859170833482</v>
      </c>
      <c r="S406" s="712">
        <f t="shared" si="121"/>
        <v>687.19774486619644</v>
      </c>
      <c r="T406" s="712">
        <f t="shared" si="122"/>
        <v>685.07543279705817</v>
      </c>
    </row>
    <row r="407" spans="2:20">
      <c r="B407" s="582">
        <v>333</v>
      </c>
      <c r="C407" s="712">
        <f t="shared" si="107"/>
        <v>4.943536335380232</v>
      </c>
      <c r="D407" s="712">
        <f t="shared" si="108"/>
        <v>1435.8168201893341</v>
      </c>
      <c r="E407" s="712">
        <f t="shared" si="109"/>
        <v>897.37434926345168</v>
      </c>
      <c r="F407" s="712">
        <f t="shared" si="110"/>
        <v>549.9938092978357</v>
      </c>
      <c r="G407" s="712">
        <f t="shared" si="111"/>
        <v>380.19748336070569</v>
      </c>
      <c r="H407" s="719">
        <f t="shared" si="112"/>
        <v>303.16940341041584</v>
      </c>
      <c r="I407" s="712">
        <f t="shared" si="113"/>
        <v>302.60439770127755</v>
      </c>
      <c r="J407" s="712">
        <f t="shared" si="114"/>
        <v>302.2091401290441</v>
      </c>
      <c r="K407" s="712">
        <f t="shared" si="115"/>
        <v>301.97512339007721</v>
      </c>
      <c r="L407" s="712">
        <f t="shared" si="116"/>
        <v>301.89723009870846</v>
      </c>
      <c r="N407" s="582">
        <v>333</v>
      </c>
      <c r="O407" s="712">
        <f t="shared" si="117"/>
        <v>4.943536335380232</v>
      </c>
      <c r="P407" s="712">
        <f t="shared" si="118"/>
        <v>719.00701034697522</v>
      </c>
      <c r="Q407" s="712">
        <f t="shared" si="119"/>
        <v>704.70107719584598</v>
      </c>
      <c r="R407" s="712">
        <f t="shared" si="120"/>
        <v>694.4188465799657</v>
      </c>
      <c r="S407" s="712">
        <f t="shared" si="121"/>
        <v>688.20445904702774</v>
      </c>
      <c r="T407" s="712">
        <f t="shared" si="122"/>
        <v>686.08418335812155</v>
      </c>
    </row>
    <row r="408" spans="2:20">
      <c r="B408" s="582">
        <v>334</v>
      </c>
      <c r="C408" s="712">
        <f t="shared" si="107"/>
        <v>4.9583817898408338</v>
      </c>
      <c r="D408" s="712">
        <f t="shared" si="108"/>
        <v>1436.0725461868763</v>
      </c>
      <c r="E408" s="712">
        <f t="shared" si="109"/>
        <v>898.25326950986937</v>
      </c>
      <c r="F408" s="712">
        <f t="shared" si="110"/>
        <v>550.81072955175205</v>
      </c>
      <c r="G408" s="712">
        <f t="shared" si="111"/>
        <v>380.62423446288858</v>
      </c>
      <c r="H408" s="719">
        <f t="shared" si="112"/>
        <v>303.21401873345945</v>
      </c>
      <c r="I408" s="712">
        <f t="shared" si="113"/>
        <v>302.64609256689573</v>
      </c>
      <c r="J408" s="712">
        <f t="shared" si="114"/>
        <v>302.24874536417542</v>
      </c>
      <c r="K408" s="712">
        <f t="shared" si="115"/>
        <v>302.01347165289855</v>
      </c>
      <c r="L408" s="712">
        <f t="shared" si="116"/>
        <v>301.93515483068489</v>
      </c>
      <c r="N408" s="582">
        <v>334</v>
      </c>
      <c r="O408" s="712">
        <f t="shared" si="117"/>
        <v>4.9583817898408338</v>
      </c>
      <c r="P408" s="712">
        <f t="shared" si="118"/>
        <v>719.98015932746978</v>
      </c>
      <c r="Q408" s="712">
        <f t="shared" si="119"/>
        <v>705.68941049689954</v>
      </c>
      <c r="R408" s="712">
        <f t="shared" si="120"/>
        <v>695.41802202773101</v>
      </c>
      <c r="S408" s="712">
        <f t="shared" si="121"/>
        <v>689.21008683343757</v>
      </c>
      <c r="T408" s="712">
        <f t="shared" si="122"/>
        <v>687.0918453272061</v>
      </c>
    </row>
    <row r="409" spans="2:20">
      <c r="B409" s="582">
        <v>335</v>
      </c>
      <c r="C409" s="712">
        <f t="shared" si="107"/>
        <v>4.9732272443014347</v>
      </c>
      <c r="D409" s="712">
        <f t="shared" si="108"/>
        <v>1436.3272835912248</v>
      </c>
      <c r="E409" s="712">
        <f t="shared" si="109"/>
        <v>899.12903773595292</v>
      </c>
      <c r="F409" s="712">
        <f t="shared" si="110"/>
        <v>551.62614016679458</v>
      </c>
      <c r="G409" s="712">
        <f t="shared" si="111"/>
        <v>381.05102252007237</v>
      </c>
      <c r="H409" s="719">
        <f t="shared" si="112"/>
        <v>303.25883727019703</v>
      </c>
      <c r="I409" s="712">
        <f t="shared" si="113"/>
        <v>302.6879915067276</v>
      </c>
      <c r="J409" s="712">
        <f t="shared" si="114"/>
        <v>302.28855512332348</v>
      </c>
      <c r="K409" s="712">
        <f t="shared" si="115"/>
        <v>302.05202463213396</v>
      </c>
      <c r="L409" s="712">
        <f t="shared" si="116"/>
        <v>301.97328430831004</v>
      </c>
      <c r="N409" s="582">
        <v>335</v>
      </c>
      <c r="O409" s="712">
        <f t="shared" si="117"/>
        <v>4.9732272443014347</v>
      </c>
      <c r="P409" s="712">
        <f t="shared" si="118"/>
        <v>720.95225813538912</v>
      </c>
      <c r="Q409" s="712">
        <f t="shared" si="119"/>
        <v>706.67667723923637</v>
      </c>
      <c r="R409" s="712">
        <f t="shared" si="120"/>
        <v>696.41611921648996</v>
      </c>
      <c r="S409" s="712">
        <f t="shared" si="121"/>
        <v>690.21462939780736</v>
      </c>
      <c r="T409" s="712">
        <f t="shared" si="122"/>
        <v>688.09841987906475</v>
      </c>
    </row>
    <row r="410" spans="2:20">
      <c r="B410" s="582">
        <v>336</v>
      </c>
      <c r="C410" s="712">
        <f t="shared" si="107"/>
        <v>4.9880726987620356</v>
      </c>
      <c r="D410" s="712">
        <f t="shared" si="108"/>
        <v>1436.5810384849726</v>
      </c>
      <c r="E410" s="712">
        <f t="shared" si="109"/>
        <v>900.00167144912621</v>
      </c>
      <c r="F410" s="712">
        <f t="shared" si="110"/>
        <v>552.44004070232256</v>
      </c>
      <c r="G410" s="712">
        <f t="shared" si="111"/>
        <v>381.47784118245966</v>
      </c>
      <c r="H410" s="719">
        <f t="shared" si="112"/>
        <v>303.30385886894499</v>
      </c>
      <c r="I410" s="712">
        <f t="shared" si="113"/>
        <v>302.73009441988961</v>
      </c>
      <c r="J410" s="712">
        <f t="shared" si="114"/>
        <v>302.32856934326225</v>
      </c>
      <c r="K410" s="712">
        <f t="shared" si="115"/>
        <v>302.09078228770619</v>
      </c>
      <c r="L410" s="712">
        <f t="shared" si="116"/>
        <v>302.01161849931862</v>
      </c>
      <c r="N410" s="582">
        <v>336</v>
      </c>
      <c r="O410" s="712">
        <f t="shared" si="117"/>
        <v>4.9880726987620356</v>
      </c>
      <c r="P410" s="712">
        <f t="shared" si="118"/>
        <v>721.92330790402605</v>
      </c>
      <c r="Q410" s="712">
        <f t="shared" si="119"/>
        <v>707.66287857383213</v>
      </c>
      <c r="R410" s="712">
        <f t="shared" si="120"/>
        <v>697.41313930984427</v>
      </c>
      <c r="S410" s="712">
        <f t="shared" si="121"/>
        <v>691.21808791125295</v>
      </c>
      <c r="T410" s="712">
        <f t="shared" si="122"/>
        <v>689.10390818718247</v>
      </c>
    </row>
    <row r="411" spans="2:20">
      <c r="B411" s="582">
        <v>337</v>
      </c>
      <c r="C411" s="712">
        <f t="shared" si="107"/>
        <v>5.0029181532226374</v>
      </c>
      <c r="D411" s="712">
        <f t="shared" si="108"/>
        <v>1436.833816895934</v>
      </c>
      <c r="E411" s="712">
        <f t="shared" si="109"/>
        <v>900.87118802169255</v>
      </c>
      <c r="F411" s="712">
        <f t="shared" si="110"/>
        <v>553.25243077307664</v>
      </c>
      <c r="G411" s="712">
        <f t="shared" si="111"/>
        <v>381.90468415594881</v>
      </c>
      <c r="H411" s="719">
        <f t="shared" si="112"/>
        <v>303.34908337525292</v>
      </c>
      <c r="I411" s="712">
        <f t="shared" si="113"/>
        <v>302.77240120227026</v>
      </c>
      <c r="J411" s="712">
        <f t="shared" si="114"/>
        <v>302.36878795720196</v>
      </c>
      <c r="K411" s="712">
        <f t="shared" si="115"/>
        <v>302.12974457577081</v>
      </c>
      <c r="L411" s="712">
        <f t="shared" si="116"/>
        <v>302.05015736761038</v>
      </c>
      <c r="N411" s="582">
        <v>337</v>
      </c>
      <c r="O411" s="712">
        <f t="shared" si="117"/>
        <v>5.0029181532226374</v>
      </c>
      <c r="P411" s="712">
        <f t="shared" si="118"/>
        <v>722.89330976544989</v>
      </c>
      <c r="Q411" s="712">
        <f t="shared" si="119"/>
        <v>708.64801565042035</v>
      </c>
      <c r="R411" s="712">
        <f t="shared" si="120"/>
        <v>698.40908347014022</v>
      </c>
      <c r="S411" s="712">
        <f t="shared" si="121"/>
        <v>692.22046354362692</v>
      </c>
      <c r="T411" s="712">
        <f t="shared" si="122"/>
        <v>690.10831142377776</v>
      </c>
    </row>
    <row r="412" spans="2:20">
      <c r="B412" s="582">
        <v>338</v>
      </c>
      <c r="C412" s="712">
        <f t="shared" si="107"/>
        <v>5.0177636076832384</v>
      </c>
      <c r="D412" s="712">
        <f t="shared" si="108"/>
        <v>1437.0856247978447</v>
      </c>
      <c r="E412" s="712">
        <f t="shared" si="109"/>
        <v>901.73760469208037</v>
      </c>
      <c r="F412" s="712">
        <f t="shared" si="110"/>
        <v>554.06331004830361</v>
      </c>
      <c r="G412" s="712">
        <f t="shared" si="111"/>
        <v>382.33154520186349</v>
      </c>
      <c r="H412" s="719">
        <f t="shared" si="112"/>
        <v>303.39451063193275</v>
      </c>
      <c r="I412" s="712">
        <f t="shared" si="113"/>
        <v>302.81491174656048</v>
      </c>
      <c r="J412" s="712">
        <f t="shared" si="114"/>
        <v>302.40921089482163</v>
      </c>
      <c r="K412" s="712">
        <f t="shared" si="115"/>
        <v>302.1689114487495</v>
      </c>
      <c r="L412" s="712">
        <f t="shared" si="116"/>
        <v>302.08890087328388</v>
      </c>
      <c r="N412" s="582">
        <v>338</v>
      </c>
      <c r="O412" s="712">
        <f t="shared" si="117"/>
        <v>5.0177636076832384</v>
      </c>
      <c r="P412" s="712">
        <f t="shared" si="118"/>
        <v>723.8622648505085</v>
      </c>
      <c r="Q412" s="712">
        <f t="shared" si="119"/>
        <v>709.63208961749388</v>
      </c>
      <c r="R412" s="712">
        <f t="shared" si="120"/>
        <v>699.40395285846967</v>
      </c>
      <c r="S412" s="712">
        <f t="shared" si="121"/>
        <v>693.22175746351888</v>
      </c>
      <c r="T412" s="712">
        <f t="shared" si="122"/>
        <v>691.11163075980448</v>
      </c>
    </row>
    <row r="413" spans="2:20">
      <c r="B413" s="582">
        <v>339</v>
      </c>
      <c r="C413" s="712">
        <f t="shared" si="107"/>
        <v>5.0326090621438402</v>
      </c>
      <c r="D413" s="712">
        <f t="shared" si="108"/>
        <v>1437.3364681110502</v>
      </c>
      <c r="E413" s="712">
        <f t="shared" si="109"/>
        <v>902.60093856607693</v>
      </c>
      <c r="F413" s="712">
        <f t="shared" si="110"/>
        <v>554.8726782508943</v>
      </c>
      <c r="G413" s="712">
        <f t="shared" si="111"/>
        <v>382.75841813668092</v>
      </c>
      <c r="H413" s="719">
        <f t="shared" si="112"/>
        <v>303.44014047908695</v>
      </c>
      <c r="I413" s="712">
        <f t="shared" si="113"/>
        <v>302.85762594228498</v>
      </c>
      <c r="J413" s="712">
        <f t="shared" si="114"/>
        <v>302.4498380823012</v>
      </c>
      <c r="K413" s="712">
        <f t="shared" si="115"/>
        <v>302.20828285536339</v>
      </c>
      <c r="L413" s="712">
        <f t="shared" si="116"/>
        <v>302.12784897266994</v>
      </c>
      <c r="N413" s="582">
        <v>339</v>
      </c>
      <c r="O413" s="712">
        <f t="shared" si="117"/>
        <v>5.0326090621438402</v>
      </c>
      <c r="P413" s="712">
        <f t="shared" si="118"/>
        <v>724.83017428882954</v>
      </c>
      <c r="Q413" s="712">
        <f t="shared" si="119"/>
        <v>710.61510162230581</v>
      </c>
      <c r="R413" s="712">
        <f t="shared" si="120"/>
        <v>700.39774863467164</v>
      </c>
      <c r="S413" s="712">
        <f t="shared" si="121"/>
        <v>694.22197083825768</v>
      </c>
      <c r="T413" s="712">
        <f t="shared" si="122"/>
        <v>692.11386736495251</v>
      </c>
    </row>
    <row r="414" spans="2:20">
      <c r="B414" s="582">
        <v>340</v>
      </c>
      <c r="C414" s="712">
        <f t="shared" si="107"/>
        <v>5.0474545166044411</v>
      </c>
      <c r="D414" s="712">
        <f t="shared" si="108"/>
        <v>1437.5863527031786</v>
      </c>
      <c r="E414" s="712">
        <f t="shared" si="109"/>
        <v>903.46120661804969</v>
      </c>
      <c r="F414" s="712">
        <f t="shared" si="110"/>
        <v>555.68053515653355</v>
      </c>
      <c r="G414" s="712">
        <f t="shared" si="111"/>
        <v>383.18529683175859</v>
      </c>
      <c r="H414" s="719">
        <f t="shared" si="112"/>
        <v>303.48597275413744</v>
      </c>
      <c r="I414" s="712">
        <f t="shared" si="113"/>
        <v>302.90054367583241</v>
      </c>
      <c r="J414" s="712">
        <f t="shared" si="114"/>
        <v>302.49066944235375</v>
      </c>
      <c r="K414" s="712">
        <f t="shared" si="115"/>
        <v>302.24785874066612</v>
      </c>
      <c r="L414" s="712">
        <f t="shared" si="116"/>
        <v>302.16700161836474</v>
      </c>
      <c r="N414" s="582">
        <v>340</v>
      </c>
      <c r="O414" s="712">
        <f t="shared" si="117"/>
        <v>5.0474545166044411</v>
      </c>
      <c r="P414" s="712">
        <f t="shared" si="118"/>
        <v>725.79703920882127</v>
      </c>
      <c r="Q414" s="712">
        <f t="shared" si="119"/>
        <v>711.59705281087179</v>
      </c>
      <c r="R414" s="712">
        <f t="shared" si="120"/>
        <v>701.39047195733338</v>
      </c>
      <c r="S414" s="712">
        <f t="shared" si="121"/>
        <v>695.22110483391225</v>
      </c>
      <c r="T414" s="712">
        <f t="shared" si="122"/>
        <v>693.11502240764969</v>
      </c>
    </row>
    <row r="415" spans="2:20">
      <c r="B415" s="582">
        <v>341</v>
      </c>
      <c r="C415" s="712">
        <f t="shared" si="107"/>
        <v>5.0622999710650429</v>
      </c>
      <c r="D415" s="712">
        <f t="shared" si="108"/>
        <v>1437.8352843898037</v>
      </c>
      <c r="E415" s="712">
        <f t="shared" si="109"/>
        <v>904.31842569215621</v>
      </c>
      <c r="F415" s="712">
        <f t="shared" si="110"/>
        <v>556.48688059286235</v>
      </c>
      <c r="G415" s="712">
        <f t="shared" si="111"/>
        <v>383.61217521306014</v>
      </c>
      <c r="H415" s="719">
        <f t="shared" si="112"/>
        <v>303.53200729185346</v>
      </c>
      <c r="I415" s="712">
        <f t="shared" si="113"/>
        <v>302.94366483048617</v>
      </c>
      <c r="J415" s="712">
        <f t="shared" si="114"/>
        <v>302.53170489425764</v>
      </c>
      <c r="K415" s="712">
        <f t="shared" si="115"/>
        <v>302.28763904607638</v>
      </c>
      <c r="L415" s="712">
        <f t="shared" si="116"/>
        <v>302.20635875926342</v>
      </c>
      <c r="N415" s="582">
        <v>341</v>
      </c>
      <c r="O415" s="712">
        <f t="shared" si="117"/>
        <v>5.0622999710650429</v>
      </c>
      <c r="P415" s="712">
        <f t="shared" si="118"/>
        <v>726.76286073767449</v>
      </c>
      <c r="Q415" s="712">
        <f t="shared" si="119"/>
        <v>712.57794432797027</v>
      </c>
      <c r="R415" s="712">
        <f t="shared" si="120"/>
        <v>702.38212398379176</v>
      </c>
      <c r="S415" s="712">
        <f t="shared" si="121"/>
        <v>696.21916061529339</v>
      </c>
      <c r="T415" s="712">
        <f t="shared" si="122"/>
        <v>694.11509705506285</v>
      </c>
    </row>
    <row r="416" spans="2:20">
      <c r="B416" s="582">
        <v>342</v>
      </c>
      <c r="C416" s="712">
        <f t="shared" si="107"/>
        <v>5.0771454255256439</v>
      </c>
      <c r="D416" s="712">
        <f t="shared" si="108"/>
        <v>1438.0832689350934</v>
      </c>
      <c r="E416" s="712">
        <f t="shared" si="109"/>
        <v>905.17261250354113</v>
      </c>
      <c r="F416" s="712">
        <f t="shared" si="110"/>
        <v>557.29171443865175</v>
      </c>
      <c r="G416" s="712">
        <f t="shared" si="111"/>
        <v>384.03904726087944</v>
      </c>
      <c r="H416" s="719">
        <f t="shared" si="112"/>
        <v>303.57824392437988</v>
      </c>
      <c r="I416" s="712">
        <f t="shared" si="113"/>
        <v>302.98698928645462</v>
      </c>
      <c r="J416" s="712">
        <f t="shared" si="114"/>
        <v>302.57294435388803</v>
      </c>
      <c r="K416" s="712">
        <f t="shared" si="115"/>
        <v>302.32762370941111</v>
      </c>
      <c r="L416" s="712">
        <f t="shared" si="116"/>
        <v>302.2459203405927</v>
      </c>
      <c r="N416" s="582">
        <v>342</v>
      </c>
      <c r="O416" s="712">
        <f t="shared" si="117"/>
        <v>5.0771454255256439</v>
      </c>
      <c r="P416" s="712">
        <f t="shared" si="118"/>
        <v>727.7276400013634</v>
      </c>
      <c r="Q416" s="712">
        <f t="shared" si="119"/>
        <v>713.55777731714443</v>
      </c>
      <c r="R416" s="712">
        <f t="shared" si="120"/>
        <v>703.37270587013484</v>
      </c>
      <c r="S416" s="712">
        <f t="shared" si="121"/>
        <v>697.21613934595462</v>
      </c>
      <c r="T416" s="712">
        <f t="shared" si="122"/>
        <v>695.11409247309916</v>
      </c>
    </row>
    <row r="417" spans="2:20">
      <c r="B417" s="582">
        <v>343</v>
      </c>
      <c r="C417" s="712">
        <f t="shared" si="107"/>
        <v>5.0919908799862448</v>
      </c>
      <c r="D417" s="712">
        <f t="shared" si="108"/>
        <v>1438.3303120524474</v>
      </c>
      <c r="E417" s="712">
        <f t="shared" si="109"/>
        <v>906.02378363952243</v>
      </c>
      <c r="F417" s="712">
        <f t="shared" si="110"/>
        <v>558.0950366229896</v>
      </c>
      <c r="G417" s="712">
        <f t="shared" si="111"/>
        <v>384.46590700956421</v>
      </c>
      <c r="H417" s="719">
        <f t="shared" si="112"/>
        <v>303.6246824812651</v>
      </c>
      <c r="I417" s="712">
        <f t="shared" si="113"/>
        <v>303.03051692090116</v>
      </c>
      <c r="J417" s="712">
        <f t="shared" si="114"/>
        <v>302.61438773374891</v>
      </c>
      <c r="K417" s="712">
        <f t="shared" si="115"/>
        <v>302.36781266491772</v>
      </c>
      <c r="L417" s="712">
        <f t="shared" si="116"/>
        <v>302.28568630394392</v>
      </c>
      <c r="N417" s="582">
        <v>343</v>
      </c>
      <c r="O417" s="712">
        <f t="shared" si="117"/>
        <v>5.0919908799862448</v>
      </c>
      <c r="P417" s="712">
        <f t="shared" si="118"/>
        <v>728.69137812464726</v>
      </c>
      <c r="Q417" s="712">
        <f t="shared" si="119"/>
        <v>714.53655292070346</v>
      </c>
      <c r="R417" s="712">
        <f t="shared" si="120"/>
        <v>704.36221877120317</v>
      </c>
      <c r="S417" s="712">
        <f t="shared" si="121"/>
        <v>698.212042188194</v>
      </c>
      <c r="T417" s="712">
        <f t="shared" si="122"/>
        <v>696.11200982640798</v>
      </c>
    </row>
    <row r="418" spans="2:20">
      <c r="B418" s="582">
        <v>344</v>
      </c>
      <c r="C418" s="712">
        <f t="shared" si="107"/>
        <v>5.1068363344468466</v>
      </c>
      <c r="D418" s="712">
        <f t="shared" si="108"/>
        <v>1438.5764194051226</v>
      </c>
      <c r="E418" s="712">
        <f t="shared" si="109"/>
        <v>906.87195556076495</v>
      </c>
      <c r="F418" s="712">
        <f t="shared" si="110"/>
        <v>558.89684712447718</v>
      </c>
      <c r="G418" s="712">
        <f t="shared" si="111"/>
        <v>384.89274854723794</v>
      </c>
      <c r="H418" s="719">
        <f t="shared" si="112"/>
        <v>303.67132278948873</v>
      </c>
      <c r="I418" s="712">
        <f t="shared" si="113"/>
        <v>303.0742476079742</v>
      </c>
      <c r="J418" s="712">
        <f t="shared" si="114"/>
        <v>302.65603494300444</v>
      </c>
      <c r="K418" s="712">
        <f t="shared" si="115"/>
        <v>302.40820584330675</v>
      </c>
      <c r="L418" s="712">
        <f t="shared" si="116"/>
        <v>302.3256565873059</v>
      </c>
      <c r="N418" s="582">
        <v>344</v>
      </c>
      <c r="O418" s="712">
        <f t="shared" si="117"/>
        <v>5.1068363344468466</v>
      </c>
      <c r="P418" s="712">
        <f t="shared" si="118"/>
        <v>729.6540762310716</v>
      </c>
      <c r="Q418" s="712">
        <f t="shared" si="119"/>
        <v>715.51427227972385</v>
      </c>
      <c r="R418" s="712">
        <f t="shared" si="120"/>
        <v>705.35066384059087</v>
      </c>
      <c r="S418" s="712">
        <f t="shared" si="121"/>
        <v>699.20687030305533</v>
      </c>
      <c r="T418" s="712">
        <f t="shared" si="122"/>
        <v>697.1088502783814</v>
      </c>
    </row>
    <row r="419" spans="2:20">
      <c r="B419" s="582">
        <v>345</v>
      </c>
      <c r="C419" s="712">
        <f t="shared" si="107"/>
        <v>5.1216817889074475</v>
      </c>
      <c r="D419" s="712">
        <f t="shared" si="108"/>
        <v>1438.8215966068472</v>
      </c>
      <c r="E419" s="712">
        <f t="shared" si="109"/>
        <v>907.71714460244289</v>
      </c>
      <c r="F419" s="712">
        <f t="shared" si="110"/>
        <v>559.69714597043958</v>
      </c>
      <c r="G419" s="712">
        <f t="shared" si="111"/>
        <v>385.31956601552133</v>
      </c>
      <c r="H419" s="719">
        <f t="shared" si="112"/>
        <v>303.71816467348918</v>
      </c>
      <c r="I419" s="712">
        <f t="shared" si="113"/>
        <v>303.11818121883704</v>
      </c>
      <c r="J419" s="712">
        <f t="shared" si="114"/>
        <v>302.69788588751027</v>
      </c>
      <c r="K419" s="712">
        <f t="shared" si="115"/>
        <v>302.44880317178405</v>
      </c>
      <c r="L419" s="712">
        <f t="shared" si="116"/>
        <v>302.36583112509737</v>
      </c>
      <c r="N419" s="582">
        <v>345</v>
      </c>
      <c r="O419" s="712">
        <f t="shared" si="117"/>
        <v>5.1216817889074475</v>
      </c>
      <c r="P419" s="712">
        <f t="shared" si="118"/>
        <v>730.61573544296937</v>
      </c>
      <c r="Q419" s="712">
        <f t="shared" si="119"/>
        <v>716.49093653405055</v>
      </c>
      <c r="R419" s="712">
        <f t="shared" si="120"/>
        <v>706.33804223064726</v>
      </c>
      <c r="S419" s="712">
        <f t="shared" si="121"/>
        <v>700.20062485032929</v>
      </c>
      <c r="T419" s="712">
        <f t="shared" si="122"/>
        <v>698.10461499115627</v>
      </c>
    </row>
    <row r="420" spans="2:20">
      <c r="B420" s="582">
        <v>346</v>
      </c>
      <c r="C420" s="712">
        <f t="shared" si="107"/>
        <v>5.1365272433680493</v>
      </c>
      <c r="D420" s="712">
        <f t="shared" si="108"/>
        <v>1439.065849222424</v>
      </c>
      <c r="E420" s="712">
        <f t="shared" si="109"/>
        <v>908.55936697539062</v>
      </c>
      <c r="F420" s="712">
        <f t="shared" si="110"/>
        <v>560.49593323614545</v>
      </c>
      <c r="G420" s="712">
        <f t="shared" si="111"/>
        <v>385.74635360925231</v>
      </c>
      <c r="H420" s="719">
        <f t="shared" si="112"/>
        <v>303.7652079551911</v>
      </c>
      <c r="I420" s="712">
        <f t="shared" si="113"/>
        <v>303.16231762169747</v>
      </c>
      <c r="J420" s="712">
        <f t="shared" si="114"/>
        <v>302.73994046984484</v>
      </c>
      <c r="K420" s="712">
        <f t="shared" si="115"/>
        <v>302.48960457408305</v>
      </c>
      <c r="L420" s="712">
        <f t="shared" si="116"/>
        <v>302.40620984819935</v>
      </c>
      <c r="N420" s="582">
        <v>346</v>
      </c>
      <c r="O420" s="712">
        <f t="shared" si="117"/>
        <v>5.1365272433680493</v>
      </c>
      <c r="P420" s="712">
        <f t="shared" si="118"/>
        <v>731.5763568814624</v>
      </c>
      <c r="Q420" s="712">
        <f t="shared" si="119"/>
        <v>717.4665468222986</v>
      </c>
      <c r="R420" s="712">
        <f t="shared" si="120"/>
        <v>707.32435509247807</v>
      </c>
      <c r="S420" s="712">
        <f t="shared" si="121"/>
        <v>701.19330698855515</v>
      </c>
      <c r="T420" s="712">
        <f t="shared" si="122"/>
        <v>699.09930512561527</v>
      </c>
    </row>
    <row r="421" spans="2:20">
      <c r="B421" s="582">
        <v>347</v>
      </c>
      <c r="C421" s="712">
        <f t="shared" si="107"/>
        <v>5.1513726978286503</v>
      </c>
      <c r="D421" s="712">
        <f t="shared" si="108"/>
        <v>1439.3091827683227</v>
      </c>
      <c r="E421" s="712">
        <f t="shared" si="109"/>
        <v>909.39863876724235</v>
      </c>
      <c r="F421" s="712">
        <f t="shared" si="110"/>
        <v>561.29320904403892</v>
      </c>
      <c r="G421" s="712">
        <f t="shared" si="111"/>
        <v>386.17310557620561</v>
      </c>
      <c r="H421" s="719">
        <f t="shared" si="112"/>
        <v>303.81245245403244</v>
      </c>
      <c r="I421" s="712">
        <f t="shared" si="113"/>
        <v>303.20665668183722</v>
      </c>
      <c r="J421" s="712">
        <f t="shared" si="114"/>
        <v>302.78219858934051</v>
      </c>
      <c r="K421" s="712">
        <f t="shared" si="115"/>
        <v>302.53060997049647</v>
      </c>
      <c r="L421" s="712">
        <f t="shared" si="116"/>
        <v>302.44679268398767</v>
      </c>
      <c r="N421" s="582">
        <v>347</v>
      </c>
      <c r="O421" s="712">
        <f t="shared" si="117"/>
        <v>5.1513726978286503</v>
      </c>
      <c r="P421" s="712">
        <f t="shared" si="118"/>
        <v>732.53594166646246</v>
      </c>
      <c r="Q421" s="712">
        <f t="shared" si="119"/>
        <v>718.44110428185434</v>
      </c>
      <c r="R421" s="712">
        <f t="shared" si="120"/>
        <v>708.30960357594677</v>
      </c>
      <c r="S421" s="712">
        <f t="shared" si="121"/>
        <v>702.18491787502182</v>
      </c>
      <c r="T421" s="712">
        <f t="shared" si="122"/>
        <v>700.09292184138837</v>
      </c>
    </row>
    <row r="422" spans="2:20">
      <c r="B422" s="582">
        <v>348</v>
      </c>
      <c r="C422" s="712">
        <f t="shared" si="107"/>
        <v>5.1662181522892512</v>
      </c>
      <c r="D422" s="712">
        <f t="shared" si="108"/>
        <v>1439.551602713261</v>
      </c>
      <c r="E422" s="712">
        <f t="shared" si="109"/>
        <v>910.2349759435599</v>
      </c>
      <c r="F422" s="712">
        <f t="shared" si="110"/>
        <v>562.08897356298235</v>
      </c>
      <c r="G422" s="712">
        <f t="shared" si="111"/>
        <v>386.59981621681106</v>
      </c>
      <c r="H422" s="719">
        <f t="shared" si="112"/>
        <v>303.85989798699171</v>
      </c>
      <c r="I422" s="712">
        <f t="shared" si="113"/>
        <v>303.25119826164138</v>
      </c>
      <c r="J422" s="712">
        <f t="shared" si="114"/>
        <v>302.82466014211434</v>
      </c>
      <c r="K422" s="712">
        <f t="shared" si="115"/>
        <v>302.57181927790833</v>
      </c>
      <c r="L422" s="712">
        <f t="shared" si="116"/>
        <v>302.48757955636489</v>
      </c>
      <c r="N422" s="582">
        <v>348</v>
      </c>
      <c r="O422" s="712">
        <f t="shared" si="117"/>
        <v>5.1662181522892512</v>
      </c>
      <c r="P422" s="712">
        <f t="shared" si="118"/>
        <v>733.49449091667304</v>
      </c>
      <c r="Q422" s="712">
        <f t="shared" si="119"/>
        <v>719.41461004887651</v>
      </c>
      <c r="R422" s="712">
        <f t="shared" si="120"/>
        <v>709.29378882967615</v>
      </c>
      <c r="S422" s="712">
        <f t="shared" si="121"/>
        <v>703.1754586657695</v>
      </c>
      <c r="T422" s="712">
        <f t="shared" si="122"/>
        <v>701.08546629685407</v>
      </c>
    </row>
    <row r="423" spans="2:20">
      <c r="B423" s="582">
        <v>349</v>
      </c>
      <c r="C423" s="712">
        <f t="shared" si="107"/>
        <v>5.181063606749853</v>
      </c>
      <c r="D423" s="712">
        <f t="shared" si="108"/>
        <v>1439.7931144787769</v>
      </c>
      <c r="E423" s="712">
        <f t="shared" si="109"/>
        <v>911.06839434895039</v>
      </c>
      <c r="F423" s="712">
        <f t="shared" si="110"/>
        <v>562.8832270075103</v>
      </c>
      <c r="G423" s="712">
        <f t="shared" si="111"/>
        <v>387.02647988387173</v>
      </c>
      <c r="H423" s="719">
        <f t="shared" si="112"/>
        <v>303.90754436861448</v>
      </c>
      <c r="I423" s="712">
        <f t="shared" si="113"/>
        <v>303.29594222062724</v>
      </c>
      <c r="J423" s="712">
        <f t="shared" si="114"/>
        <v>302.86732502109868</v>
      </c>
      <c r="K423" s="712">
        <f t="shared" si="115"/>
        <v>302.61323240982586</v>
      </c>
      <c r="L423" s="712">
        <f t="shared" si="116"/>
        <v>302.52857038579231</v>
      </c>
      <c r="N423" s="582">
        <v>349</v>
      </c>
      <c r="O423" s="712">
        <f t="shared" si="117"/>
        <v>5.181063606749853</v>
      </c>
      <c r="P423" s="712">
        <f t="shared" si="118"/>
        <v>734.45200574959051</v>
      </c>
      <c r="Q423" s="712">
        <f t="shared" si="119"/>
        <v>720.38706525829787</v>
      </c>
      <c r="R423" s="712">
        <f t="shared" si="120"/>
        <v>710.27691200104925</v>
      </c>
      <c r="S423" s="712">
        <f t="shared" si="121"/>
        <v>704.16493051559053</v>
      </c>
      <c r="T423" s="712">
        <f t="shared" si="122"/>
        <v>702.07693964914074</v>
      </c>
    </row>
    <row r="424" spans="2:20">
      <c r="B424" s="582">
        <v>350</v>
      </c>
      <c r="C424" s="712">
        <f t="shared" si="107"/>
        <v>5.1959090612104539</v>
      </c>
      <c r="D424" s="712">
        <f t="shared" si="108"/>
        <v>1440.0337234397898</v>
      </c>
      <c r="E424" s="712">
        <f t="shared" si="109"/>
        <v>911.89890970817123</v>
      </c>
      <c r="F424" s="712">
        <f t="shared" si="110"/>
        <v>563.67596963709309</v>
      </c>
      <c r="G424" s="712">
        <f t="shared" si="111"/>
        <v>387.45309098228057</v>
      </c>
      <c r="H424" s="719">
        <f t="shared" si="112"/>
        <v>303.95539141104041</v>
      </c>
      <c r="I424" s="712">
        <f t="shared" si="113"/>
        <v>303.34088841547367</v>
      </c>
      <c r="J424" s="712">
        <f t="shared" si="114"/>
        <v>302.91019311607209</v>
      </c>
      <c r="K424" s="712">
        <f t="shared" si="115"/>
        <v>302.65484927641046</v>
      </c>
      <c r="L424" s="712">
        <f t="shared" si="116"/>
        <v>302.56976508932195</v>
      </c>
      <c r="N424" s="582">
        <v>350</v>
      </c>
      <c r="O424" s="712">
        <f t="shared" si="117"/>
        <v>5.1959090612104539</v>
      </c>
      <c r="P424" s="712">
        <f t="shared" si="118"/>
        <v>735.40848728150479</v>
      </c>
      <c r="Q424" s="712">
        <f t="shared" si="119"/>
        <v>721.35847104382651</v>
      </c>
      <c r="R424" s="712">
        <f t="shared" si="120"/>
        <v>711.25897423621086</v>
      </c>
      <c r="S424" s="712">
        <f t="shared" si="121"/>
        <v>705.15333457803126</v>
      </c>
      <c r="T424" s="712">
        <f t="shared" si="122"/>
        <v>703.06734305412817</v>
      </c>
    </row>
    <row r="425" spans="2:20">
      <c r="B425" s="582">
        <v>351</v>
      </c>
      <c r="C425" s="712">
        <f t="shared" si="107"/>
        <v>5.2107545156710557</v>
      </c>
      <c r="D425" s="712">
        <f t="shared" si="108"/>
        <v>1440.2734349251518</v>
      </c>
      <c r="E425" s="712">
        <f t="shared" si="109"/>
        <v>912.72653762722575</v>
      </c>
      <c r="F425" s="712">
        <f t="shared" si="110"/>
        <v>564.46720175541225</v>
      </c>
      <c r="G425" s="712">
        <f t="shared" si="111"/>
        <v>387.87964396873713</v>
      </c>
      <c r="H425" s="719">
        <f t="shared" si="112"/>
        <v>304.00343892402952</v>
      </c>
      <c r="I425" s="712">
        <f t="shared" si="113"/>
        <v>303.38603670004954</v>
      </c>
      <c r="J425" s="712">
        <f t="shared" si="114"/>
        <v>302.95326431368949</v>
      </c>
      <c r="K425" s="712">
        <f t="shared" si="115"/>
        <v>302.6966697845096</v>
      </c>
      <c r="L425" s="712">
        <f t="shared" si="116"/>
        <v>302.61116358062799</v>
      </c>
      <c r="N425" s="582">
        <v>351</v>
      </c>
      <c r="O425" s="712">
        <f t="shared" si="117"/>
        <v>5.2107545156710557</v>
      </c>
      <c r="P425" s="712">
        <f t="shared" si="118"/>
        <v>736.36393662750152</v>
      </c>
      <c r="Q425" s="712">
        <f t="shared" si="119"/>
        <v>722.32882853794683</v>
      </c>
      <c r="R425" s="712">
        <f t="shared" si="120"/>
        <v>712.23997668006928</v>
      </c>
      <c r="S425" s="712">
        <f t="shared" si="121"/>
        <v>706.14067200539341</v>
      </c>
      <c r="T425" s="712">
        <f t="shared" si="122"/>
        <v>704.05667766644865</v>
      </c>
    </row>
    <row r="426" spans="2:20">
      <c r="B426" s="582">
        <v>352</v>
      </c>
      <c r="C426" s="712">
        <f t="shared" si="107"/>
        <v>5.2255999701316567</v>
      </c>
      <c r="D426" s="712">
        <f t="shared" si="108"/>
        <v>1440.5122542181905</v>
      </c>
      <c r="E426" s="712">
        <f t="shared" si="109"/>
        <v>913.55129359444686</v>
      </c>
      <c r="F426" s="712">
        <f t="shared" si="110"/>
        <v>565.25692370964566</v>
      </c>
      <c r="G426" s="712">
        <f t="shared" si="111"/>
        <v>388.30613335146319</v>
      </c>
      <c r="H426" s="719">
        <f t="shared" si="112"/>
        <v>304.05168671498865</v>
      </c>
      <c r="I426" s="712">
        <f t="shared" si="113"/>
        <v>303.43138692544255</v>
      </c>
      <c r="J426" s="712">
        <f t="shared" si="114"/>
        <v>302.99653849751246</v>
      </c>
      <c r="K426" s="712">
        <f t="shared" si="115"/>
        <v>302.73869383768761</v>
      </c>
      <c r="L426" s="712">
        <f t="shared" si="116"/>
        <v>302.65276577003857</v>
      </c>
      <c r="N426" s="582">
        <v>352</v>
      </c>
      <c r="O426" s="712">
        <f t="shared" si="117"/>
        <v>5.2255999701316567</v>
      </c>
      <c r="P426" s="712">
        <f t="shared" si="118"/>
        <v>737.31835490146284</v>
      </c>
      <c r="Q426" s="712">
        <f t="shared" si="119"/>
        <v>723.29813887192142</v>
      </c>
      <c r="R426" s="712">
        <f t="shared" si="120"/>
        <v>713.21992047629692</v>
      </c>
      <c r="S426" s="712">
        <f t="shared" si="121"/>
        <v>707.12694394873472</v>
      </c>
      <c r="T426" s="712">
        <f t="shared" si="122"/>
        <v>705.04494463948868</v>
      </c>
    </row>
    <row r="427" spans="2:20">
      <c r="B427" s="582">
        <v>353</v>
      </c>
      <c r="C427" s="712">
        <f t="shared" si="107"/>
        <v>5.2404454245922585</v>
      </c>
      <c r="D427" s="712">
        <f t="shared" si="108"/>
        <v>1440.7501865572417</v>
      </c>
      <c r="E427" s="712">
        <f t="shared" si="109"/>
        <v>914.37319298157036</v>
      </c>
      <c r="F427" s="712">
        <f t="shared" si="110"/>
        <v>566.04513588976306</v>
      </c>
      <c r="G427" s="712">
        <f t="shared" si="111"/>
        <v>388.73255368991801</v>
      </c>
      <c r="H427" s="719">
        <f t="shared" si="112"/>
        <v>304.10013458899755</v>
      </c>
      <c r="I427" s="712">
        <f t="shared" si="113"/>
        <v>303.47693893998769</v>
      </c>
      <c r="J427" s="712">
        <f t="shared" si="114"/>
        <v>303.04001554803938</v>
      </c>
      <c r="K427" s="712">
        <f t="shared" si="115"/>
        <v>302.78092133625705</v>
      </c>
      <c r="L427" s="712">
        <f t="shared" si="116"/>
        <v>302.69457156456696</v>
      </c>
      <c r="N427" s="582">
        <v>353</v>
      </c>
      <c r="O427" s="712">
        <f t="shared" si="117"/>
        <v>5.2404454245922585</v>
      </c>
      <c r="P427" s="712">
        <f t="shared" si="118"/>
        <v>738.27174321606913</v>
      </c>
      <c r="Q427" s="712">
        <f t="shared" si="119"/>
        <v>724.26640317579177</v>
      </c>
      <c r="R427" s="712">
        <f t="shared" si="120"/>
        <v>714.19880676733214</v>
      </c>
      <c r="S427" s="712">
        <f t="shared" si="121"/>
        <v>708.11215155787113</v>
      </c>
      <c r="T427" s="712">
        <f t="shared" si="122"/>
        <v>706.03214512538989</v>
      </c>
    </row>
    <row r="428" spans="2:20">
      <c r="B428" s="582">
        <v>354</v>
      </c>
      <c r="C428" s="712">
        <f t="shared" si="107"/>
        <v>5.2552908790528594</v>
      </c>
      <c r="D428" s="712">
        <f t="shared" si="108"/>
        <v>1440.9872371361735</v>
      </c>
      <c r="E428" s="712">
        <f t="shared" si="109"/>
        <v>915.19225104479779</v>
      </c>
      <c r="F428" s="712">
        <f t="shared" si="110"/>
        <v>566.83183872783161</v>
      </c>
      <c r="G428" s="712">
        <f t="shared" si="111"/>
        <v>389.15889959451306</v>
      </c>
      <c r="H428" s="719">
        <f t="shared" si="112"/>
        <v>304.14878234883474</v>
      </c>
      <c r="I428" s="712">
        <f t="shared" si="113"/>
        <v>303.52269258929539</v>
      </c>
      <c r="J428" s="712">
        <f t="shared" si="114"/>
        <v>303.08369534273527</v>
      </c>
      <c r="K428" s="712">
        <f t="shared" si="115"/>
        <v>302.8233521773094</v>
      </c>
      <c r="L428" s="712">
        <f t="shared" si="116"/>
        <v>302.73658086794268</v>
      </c>
      <c r="N428" s="582">
        <v>354</v>
      </c>
      <c r="O428" s="712">
        <f t="shared" si="117"/>
        <v>5.2552908790528594</v>
      </c>
      <c r="P428" s="712">
        <f t="shared" si="118"/>
        <v>739.22410268279964</v>
      </c>
      <c r="Q428" s="712">
        <f t="shared" si="119"/>
        <v>725.23362257838016</v>
      </c>
      <c r="R428" s="712">
        <f t="shared" si="120"/>
        <v>715.17663669438036</v>
      </c>
      <c r="S428" s="712">
        <f t="shared" si="121"/>
        <v>709.09629598137769</v>
      </c>
      <c r="T428" s="712">
        <f t="shared" si="122"/>
        <v>707.01828027505053</v>
      </c>
    </row>
    <row r="429" spans="2:20">
      <c r="B429" s="582">
        <v>355</v>
      </c>
      <c r="C429" s="712">
        <f t="shared" si="107"/>
        <v>5.2701363335134603</v>
      </c>
      <c r="D429" s="712">
        <f t="shared" si="108"/>
        <v>1441.2234111049004</v>
      </c>
      <c r="E429" s="712">
        <f t="shared" si="109"/>
        <v>916.00848292584817</v>
      </c>
      <c r="F429" s="712">
        <f t="shared" si="110"/>
        <v>567.6170326973313</v>
      </c>
      <c r="G429" s="712">
        <f t="shared" si="111"/>
        <v>389.58516572632647</v>
      </c>
      <c r="H429" s="719">
        <f t="shared" si="112"/>
        <v>304.19762979500342</v>
      </c>
      <c r="I429" s="712">
        <f t="shared" si="113"/>
        <v>303.56864771627988</v>
      </c>
      <c r="J429" s="712">
        <f t="shared" si="114"/>
        <v>303.12757775606167</v>
      </c>
      <c r="K429" s="712">
        <f t="shared" si="115"/>
        <v>302.86598625474585</v>
      </c>
      <c r="L429" s="712">
        <f t="shared" si="116"/>
        <v>302.77879358064274</v>
      </c>
      <c r="N429" s="582">
        <v>355</v>
      </c>
      <c r="O429" s="712">
        <f t="shared" si="117"/>
        <v>5.2701363335134603</v>
      </c>
      <c r="P429" s="712">
        <f t="shared" si="118"/>
        <v>740.17543441193436</v>
      </c>
      <c r="Q429" s="712">
        <f t="shared" si="119"/>
        <v>726.19979820729054</v>
      </c>
      <c r="R429" s="712">
        <f t="shared" si="120"/>
        <v>716.15341139741565</v>
      </c>
      <c r="S429" s="712">
        <f t="shared" si="121"/>
        <v>710.07937836658982</v>
      </c>
      <c r="T429" s="712">
        <f t="shared" si="122"/>
        <v>708.00335123812692</v>
      </c>
    </row>
    <row r="430" spans="2:20">
      <c r="B430" s="582">
        <v>356</v>
      </c>
      <c r="C430" s="712">
        <f t="shared" si="107"/>
        <v>5.2849817879740622</v>
      </c>
      <c r="D430" s="712">
        <f t="shared" si="108"/>
        <v>1441.4587135698914</v>
      </c>
      <c r="E430" s="712">
        <f t="shared" si="109"/>
        <v>916.82190365299994</v>
      </c>
      <c r="F430" s="712">
        <f t="shared" si="110"/>
        <v>568.40071831248122</v>
      </c>
      <c r="G430" s="712">
        <f t="shared" si="111"/>
        <v>390.01134679681684</v>
      </c>
      <c r="H430" s="719">
        <f t="shared" si="112"/>
        <v>304.2466767257572</v>
      </c>
      <c r="I430" s="712">
        <f t="shared" si="113"/>
        <v>303.6148041611869</v>
      </c>
      <c r="J430" s="712">
        <f t="shared" si="114"/>
        <v>303.17166265950596</v>
      </c>
      <c r="K430" s="712">
        <f t="shared" si="115"/>
        <v>302.90882345930788</v>
      </c>
      <c r="L430" s="712">
        <f t="shared" si="116"/>
        <v>302.82120959992244</v>
      </c>
      <c r="N430" s="582">
        <v>356</v>
      </c>
      <c r="O430" s="712">
        <f t="shared" si="117"/>
        <v>5.2849817879740622</v>
      </c>
      <c r="P430" s="712">
        <f t="shared" si="118"/>
        <v>741.12573951255524</v>
      </c>
      <c r="Q430" s="712">
        <f t="shared" si="119"/>
        <v>727.16493118891003</v>
      </c>
      <c r="R430" s="712">
        <f t="shared" si="120"/>
        <v>717.12913201518165</v>
      </c>
      <c r="S430" s="712">
        <f t="shared" si="121"/>
        <v>711.06139985960499</v>
      </c>
      <c r="T430" s="712">
        <f t="shared" si="122"/>
        <v>708.98735916303485</v>
      </c>
    </row>
    <row r="431" spans="2:20">
      <c r="B431" s="582">
        <v>357</v>
      </c>
      <c r="C431" s="712">
        <f t="shared" si="107"/>
        <v>5.2998272424346631</v>
      </c>
      <c r="D431" s="712">
        <f t="shared" si="108"/>
        <v>1441.6931495946671</v>
      </c>
      <c r="E431" s="712">
        <f t="shared" si="109"/>
        <v>917.63252814212183</v>
      </c>
      <c r="F431" s="712">
        <f t="shared" si="110"/>
        <v>569.18289612757337</v>
      </c>
      <c r="G431" s="712">
        <f t="shared" si="111"/>
        <v>390.43743756753656</v>
      </c>
      <c r="H431" s="719">
        <f t="shared" si="112"/>
        <v>304.29592293712528</v>
      </c>
      <c r="I431" s="712">
        <f t="shared" si="113"/>
        <v>303.66116176162154</v>
      </c>
      <c r="J431" s="712">
        <f t="shared" si="114"/>
        <v>303.21594992161124</v>
      </c>
      <c r="K431" s="712">
        <f t="shared" si="115"/>
        <v>302.95186367860754</v>
      </c>
      <c r="L431" s="712">
        <f t="shared" si="116"/>
        <v>302.86382881984611</v>
      </c>
      <c r="N431" s="582">
        <v>357</v>
      </c>
      <c r="O431" s="712">
        <f t="shared" si="117"/>
        <v>5.2998272424346631</v>
      </c>
      <c r="P431" s="712">
        <f t="shared" si="118"/>
        <v>742.075019092547</v>
      </c>
      <c r="Q431" s="712">
        <f t="shared" si="119"/>
        <v>728.12902264841011</v>
      </c>
      <c r="R431" s="712">
        <f t="shared" si="120"/>
        <v>718.10379968519339</v>
      </c>
      <c r="S431" s="712">
        <f t="shared" si="121"/>
        <v>712.04236160528365</v>
      </c>
      <c r="T431" s="712">
        <f t="shared" si="122"/>
        <v>709.97030519695079</v>
      </c>
    </row>
    <row r="432" spans="2:20">
      <c r="B432" s="582">
        <v>358</v>
      </c>
      <c r="C432" s="712">
        <f t="shared" si="107"/>
        <v>5.3146726968952649</v>
      </c>
      <c r="D432" s="712">
        <f t="shared" si="108"/>
        <v>1441.9267242002893</v>
      </c>
      <c r="E432" s="712">
        <f t="shared" si="109"/>
        <v>918.44037119769428</v>
      </c>
      <c r="F432" s="712">
        <f t="shared" si="110"/>
        <v>569.9635667363184</v>
      </c>
      <c r="G432" s="712">
        <f t="shared" si="111"/>
        <v>390.86343284984531</v>
      </c>
      <c r="H432" s="719">
        <f t="shared" si="112"/>
        <v>304.34536822293802</v>
      </c>
      <c r="I432" s="712">
        <f t="shared" si="113"/>
        <v>303.7077203525759</v>
      </c>
      <c r="J432" s="712">
        <f t="shared" si="114"/>
        <v>303.26043940800508</v>
      </c>
      <c r="K432" s="712">
        <f t="shared" si="115"/>
        <v>302.99510679715797</v>
      </c>
      <c r="L432" s="712">
        <f t="shared" si="116"/>
        <v>302.90665113131769</v>
      </c>
      <c r="N432" s="582">
        <v>358</v>
      </c>
      <c r="O432" s="712">
        <f t="shared" si="117"/>
        <v>5.3146726968952649</v>
      </c>
      <c r="P432" s="712">
        <f t="shared" si="118"/>
        <v>743.02327425859914</v>
      </c>
      <c r="Q432" s="712">
        <f t="shared" si="119"/>
        <v>729.09207370974843</v>
      </c>
      <c r="R432" s="712">
        <f t="shared" si="120"/>
        <v>719.07741554373808</v>
      </c>
      <c r="S432" s="712">
        <f t="shared" si="121"/>
        <v>713.0222647472508</v>
      </c>
      <c r="T432" s="712">
        <f t="shared" si="122"/>
        <v>710.95219048581293</v>
      </c>
    </row>
    <row r="433" spans="2:20">
      <c r="B433" s="582">
        <v>359</v>
      </c>
      <c r="C433" s="712">
        <f t="shared" si="107"/>
        <v>5.3295181513558658</v>
      </c>
      <c r="D433" s="712">
        <f t="shared" si="108"/>
        <v>1442.1594423658439</v>
      </c>
      <c r="E433" s="712">
        <f t="shared" si="109"/>
        <v>919.24544751381961</v>
      </c>
      <c r="F433" s="712">
        <f t="shared" si="110"/>
        <v>570.74273077119915</v>
      </c>
      <c r="G433" s="712">
        <f t="shared" si="111"/>
        <v>391.28932750462297</v>
      </c>
      <c r="H433" s="719">
        <f t="shared" si="112"/>
        <v>304.39501237485194</v>
      </c>
      <c r="I433" s="712">
        <f t="shared" si="113"/>
        <v>303.75447976645665</v>
      </c>
      <c r="J433" s="712">
        <f t="shared" si="114"/>
        <v>303.3051309814291</v>
      </c>
      <c r="K433" s="712">
        <f t="shared" si="115"/>
        <v>303.03855269640309</v>
      </c>
      <c r="L433" s="712">
        <f t="shared" si="116"/>
        <v>302.94967642211105</v>
      </c>
      <c r="N433" s="582">
        <v>359</v>
      </c>
      <c r="O433" s="712">
        <f t="shared" si="117"/>
        <v>5.3295181513558658</v>
      </c>
      <c r="P433" s="712">
        <f t="shared" si="118"/>
        <v>743.97050611620682</v>
      </c>
      <c r="Q433" s="712">
        <f t="shared" si="119"/>
        <v>730.05408549566926</v>
      </c>
      <c r="R433" s="712">
        <f t="shared" si="120"/>
        <v>720.04998072587682</v>
      </c>
      <c r="S433" s="712">
        <f t="shared" si="121"/>
        <v>714.00111042789763</v>
      </c>
      <c r="T433" s="712">
        <f t="shared" si="122"/>
        <v>711.93301617432326</v>
      </c>
    </row>
    <row r="434" spans="2:20">
      <c r="B434" s="582">
        <v>360</v>
      </c>
      <c r="C434" s="712">
        <f t="shared" si="107"/>
        <v>5.3443636058164667</v>
      </c>
      <c r="D434" s="712">
        <f t="shared" si="108"/>
        <v>1442.3913090289141</v>
      </c>
      <c r="E434" s="712">
        <f t="shared" si="109"/>
        <v>920.04777167522366</v>
      </c>
      <c r="F434" s="712">
        <f t="shared" si="110"/>
        <v>571.52038890283404</v>
      </c>
      <c r="G434" s="712">
        <f t="shared" si="111"/>
        <v>391.71511644198233</v>
      </c>
      <c r="H434" s="719">
        <f t="shared" si="112"/>
        <v>304.44485518237434</v>
      </c>
      <c r="I434" s="712">
        <f t="shared" si="113"/>
        <v>303.80143983311217</v>
      </c>
      <c r="J434" s="712">
        <f t="shared" si="114"/>
        <v>303.35002450176751</v>
      </c>
      <c r="K434" s="712">
        <f t="shared" si="115"/>
        <v>303.08220125474804</v>
      </c>
      <c r="L434" s="712">
        <f t="shared" si="116"/>
        <v>302.99290457690029</v>
      </c>
      <c r="N434" s="582">
        <v>360</v>
      </c>
      <c r="O434" s="712">
        <f t="shared" si="117"/>
        <v>5.3443636058164667</v>
      </c>
      <c r="P434" s="712">
        <f t="shared" si="118"/>
        <v>744.91671576967212</v>
      </c>
      <c r="Q434" s="712">
        <f t="shared" si="119"/>
        <v>731.01505912770529</v>
      </c>
      <c r="R434" s="712">
        <f t="shared" si="120"/>
        <v>721.02149636544596</v>
      </c>
      <c r="S434" s="712">
        <f t="shared" si="121"/>
        <v>714.97889978838225</v>
      </c>
      <c r="T434" s="712">
        <f t="shared" si="122"/>
        <v>712.91278340594818</v>
      </c>
    </row>
    <row r="435" spans="2:20">
      <c r="B435" s="582">
        <v>361</v>
      </c>
      <c r="C435" s="712">
        <f t="shared" si="107"/>
        <v>5.3592090602770686</v>
      </c>
      <c r="D435" s="712">
        <f t="shared" si="108"/>
        <v>1442.6223290860473</v>
      </c>
      <c r="E435" s="712">
        <f t="shared" si="109"/>
        <v>920.84735815824592</v>
      </c>
      <c r="F435" s="712">
        <f t="shared" si="110"/>
        <v>572.29654183934952</v>
      </c>
      <c r="G435" s="712">
        <f t="shared" si="111"/>
        <v>392.14079462098164</v>
      </c>
      <c r="H435" s="719">
        <f t="shared" si="112"/>
        <v>304.49489643288859</v>
      </c>
      <c r="I435" s="712">
        <f t="shared" si="113"/>
        <v>303.84860037985942</v>
      </c>
      <c r="J435" s="712">
        <f t="shared" si="114"/>
        <v>303.3951198260761</v>
      </c>
      <c r="K435" s="712">
        <f t="shared" si="115"/>
        <v>303.12605234758843</v>
      </c>
      <c r="L435" s="712">
        <f t="shared" si="116"/>
        <v>303.03633547728992</v>
      </c>
      <c r="N435" s="582">
        <v>361</v>
      </c>
      <c r="O435" s="712">
        <f t="shared" si="117"/>
        <v>5.3592090602770686</v>
      </c>
      <c r="P435" s="712">
        <f t="shared" si="118"/>
        <v>745.86190432210526</v>
      </c>
      <c r="Q435" s="712">
        <f t="shared" si="119"/>
        <v>731.97499572617937</v>
      </c>
      <c r="R435" s="712">
        <f t="shared" si="120"/>
        <v>721.99196359505788</v>
      </c>
      <c r="S435" s="712">
        <f t="shared" si="121"/>
        <v>715.95563396863122</v>
      </c>
      <c r="T435" s="712">
        <f t="shared" si="122"/>
        <v>713.89149332292004</v>
      </c>
    </row>
    <row r="436" spans="2:20">
      <c r="B436" s="582">
        <v>362</v>
      </c>
      <c r="C436" s="712">
        <f t="shared" si="107"/>
        <v>5.3740545147376695</v>
      </c>
      <c r="D436" s="712">
        <f t="shared" si="108"/>
        <v>1442.8525073932142</v>
      </c>
      <c r="E436" s="712">
        <f t="shared" si="109"/>
        <v>921.64422133182075</v>
      </c>
      <c r="F436" s="712">
        <f t="shared" si="110"/>
        <v>573.07119032576179</v>
      </c>
      <c r="G436" s="712">
        <f t="shared" si="111"/>
        <v>392.56635704933717</v>
      </c>
      <c r="H436" s="719">
        <f t="shared" si="112"/>
        <v>304.54513591167836</v>
      </c>
      <c r="I436" s="712">
        <f t="shared" si="113"/>
        <v>303.89596123151148</v>
      </c>
      <c r="J436" s="712">
        <f t="shared" si="114"/>
        <v>303.44041680861091</v>
      </c>
      <c r="K436" s="712">
        <f t="shared" si="115"/>
        <v>303.17010584734015</v>
      </c>
      <c r="L436" s="712">
        <f t="shared" si="116"/>
        <v>303.07996900184463</v>
      </c>
      <c r="N436" s="582">
        <v>362</v>
      </c>
      <c r="O436" s="712">
        <f t="shared" si="117"/>
        <v>5.3740545147376695</v>
      </c>
      <c r="P436" s="712">
        <f t="shared" si="118"/>
        <v>746.80607287542637</v>
      </c>
      <c r="Q436" s="712">
        <f t="shared" si="119"/>
        <v>732.93389641020485</v>
      </c>
      <c r="R436" s="712">
        <f t="shared" si="120"/>
        <v>722.96138354610298</v>
      </c>
      <c r="S436" s="712">
        <f t="shared" si="121"/>
        <v>716.93131410734111</v>
      </c>
      <c r="T436" s="712">
        <f t="shared" si="122"/>
        <v>714.86914706623895</v>
      </c>
    </row>
    <row r="437" spans="2:20">
      <c r="B437" s="582">
        <v>363</v>
      </c>
      <c r="C437" s="712">
        <f t="shared" si="107"/>
        <v>5.3888999691982713</v>
      </c>
      <c r="D437" s="712">
        <f t="shared" si="108"/>
        <v>1443.0818487662602</v>
      </c>
      <c r="E437" s="712">
        <f t="shared" si="109"/>
        <v>922.43837545844872</v>
      </c>
      <c r="F437" s="712">
        <f t="shared" si="110"/>
        <v>573.84433514336672</v>
      </c>
      <c r="G437" s="712">
        <f t="shared" si="111"/>
        <v>392.99179878313555</v>
      </c>
      <c r="H437" s="719">
        <f t="shared" si="112"/>
        <v>304.59557340195198</v>
      </c>
      <c r="I437" s="712">
        <f t="shared" si="113"/>
        <v>303.94352221040378</v>
      </c>
      <c r="J437" s="712">
        <f t="shared" si="114"/>
        <v>303.48591530085645</v>
      </c>
      <c r="K437" s="712">
        <f t="shared" si="115"/>
        <v>303.2143616234689</v>
      </c>
      <c r="L437" s="712">
        <f t="shared" si="116"/>
        <v>303.12380502611916</v>
      </c>
      <c r="N437" s="582">
        <v>363</v>
      </c>
      <c r="O437" s="712">
        <f t="shared" si="117"/>
        <v>5.3888999691982713</v>
      </c>
      <c r="P437" s="712">
        <f t="shared" si="118"/>
        <v>747.74922253036641</v>
      </c>
      <c r="Q437" s="712">
        <f t="shared" si="119"/>
        <v>733.89176229768759</v>
      </c>
      <c r="R437" s="712">
        <f t="shared" si="120"/>
        <v>723.92975734875085</v>
      </c>
      <c r="S437" s="712">
        <f t="shared" si="121"/>
        <v>717.90594134197954</v>
      </c>
      <c r="T437" s="712">
        <f t="shared" si="122"/>
        <v>715.84574577567332</v>
      </c>
    </row>
    <row r="438" spans="2:20">
      <c r="B438" s="582">
        <v>364</v>
      </c>
      <c r="C438" s="712">
        <f t="shared" si="107"/>
        <v>5.4037454236588722</v>
      </c>
      <c r="D438" s="712">
        <f t="shared" si="108"/>
        <v>1443.310357981351</v>
      </c>
      <c r="E438" s="712">
        <f t="shared" si="109"/>
        <v>923.22983469515793</v>
      </c>
      <c r="F438" s="712">
        <f t="shared" si="110"/>
        <v>574.61597710913918</v>
      </c>
      <c r="G438" s="712">
        <f t="shared" si="111"/>
        <v>393.41711492654599</v>
      </c>
      <c r="H438" s="719">
        <f t="shared" si="112"/>
        <v>304.64620868486708</v>
      </c>
      <c r="I438" s="712">
        <f t="shared" si="113"/>
        <v>303.99128313642086</v>
      </c>
      <c r="J438" s="712">
        <f t="shared" si="114"/>
        <v>303.53161515155398</v>
      </c>
      <c r="K438" s="712">
        <f t="shared" si="115"/>
        <v>303.25881954251929</v>
      </c>
      <c r="L438" s="712">
        <f t="shared" si="116"/>
        <v>303.16784342268778</v>
      </c>
      <c r="N438" s="582">
        <v>364</v>
      </c>
      <c r="O438" s="712">
        <f t="shared" si="117"/>
        <v>5.4037454236588722</v>
      </c>
      <c r="P438" s="712">
        <f t="shared" si="118"/>
        <v>748.69135438646811</v>
      </c>
      <c r="Q438" s="712">
        <f t="shared" si="119"/>
        <v>734.84859450532713</v>
      </c>
      <c r="R438" s="712">
        <f t="shared" si="120"/>
        <v>724.89708613195126</v>
      </c>
      <c r="S438" s="712">
        <f t="shared" si="121"/>
        <v>718.87951680878678</v>
      </c>
      <c r="T438" s="712">
        <f t="shared" si="122"/>
        <v>716.8212905897617</v>
      </c>
    </row>
    <row r="439" spans="2:20">
      <c r="B439" s="582">
        <v>365</v>
      </c>
      <c r="C439" s="712">
        <f t="shared" si="107"/>
        <v>5.418590878119474</v>
      </c>
      <c r="D439" s="712">
        <f t="shared" si="108"/>
        <v>1443.5380397754093</v>
      </c>
      <c r="E439" s="712">
        <f t="shared" si="109"/>
        <v>924.01861309445587</v>
      </c>
      <c r="F439" s="712">
        <f t="shared" si="110"/>
        <v>575.38611707514099</v>
      </c>
      <c r="G439" s="712">
        <f t="shared" si="111"/>
        <v>393.84230063153279</v>
      </c>
      <c r="H439" s="719">
        <f t="shared" si="112"/>
        <v>304.69704153955422</v>
      </c>
      <c r="I439" s="712">
        <f t="shared" si="113"/>
        <v>304.03924382702303</v>
      </c>
      <c r="J439" s="712">
        <f t="shared" si="114"/>
        <v>303.57751620672991</v>
      </c>
      <c r="K439" s="712">
        <f t="shared" si="115"/>
        <v>303.30347946814402</v>
      </c>
      <c r="L439" s="712">
        <f t="shared" si="116"/>
        <v>303.21208406117393</v>
      </c>
      <c r="N439" s="582">
        <v>365</v>
      </c>
      <c r="O439" s="712">
        <f t="shared" si="117"/>
        <v>5.418590878119474</v>
      </c>
      <c r="P439" s="712">
        <f t="shared" si="118"/>
        <v>749.63246954208796</v>
      </c>
      <c r="Q439" s="712">
        <f t="shared" si="119"/>
        <v>735.80439414861792</v>
      </c>
      <c r="R439" s="712">
        <f t="shared" si="120"/>
        <v>725.86337102343577</v>
      </c>
      <c r="S439" s="712">
        <f t="shared" si="121"/>
        <v>719.85204164277661</v>
      </c>
      <c r="T439" s="712">
        <f t="shared" si="122"/>
        <v>717.79578264581414</v>
      </c>
    </row>
    <row r="440" spans="2:20">
      <c r="B440" s="582">
        <v>366</v>
      </c>
      <c r="C440" s="712">
        <f t="shared" si="107"/>
        <v>5.433436332580075</v>
      </c>
      <c r="D440" s="712">
        <f t="shared" si="108"/>
        <v>1443.7648988465464</v>
      </c>
      <c r="E440" s="712">
        <f t="shared" si="109"/>
        <v>924.80472460527221</v>
      </c>
      <c r="F440" s="712">
        <f t="shared" si="110"/>
        <v>576.154755927937</v>
      </c>
      <c r="G440" s="712">
        <f t="shared" si="111"/>
        <v>394.26735109756737</v>
      </c>
      <c r="H440" s="719">
        <f t="shared" si="112"/>
        <v>304.74807174314111</v>
      </c>
      <c r="I440" s="712">
        <f t="shared" si="113"/>
        <v>304.08740409727216</v>
      </c>
      <c r="J440" s="712">
        <f t="shared" si="114"/>
        <v>303.6236183097235</v>
      </c>
      <c r="K440" s="712">
        <f t="shared" si="115"/>
        <v>303.34834126113276</v>
      </c>
      <c r="L440" s="712">
        <f t="shared" si="116"/>
        <v>303.25652680827903</v>
      </c>
      <c r="N440" s="582">
        <v>366</v>
      </c>
      <c r="O440" s="712">
        <f t="shared" si="117"/>
        <v>5.433436332580075</v>
      </c>
      <c r="P440" s="712">
        <f t="shared" si="118"/>
        <v>750.57256909439718</v>
      </c>
      <c r="Q440" s="712">
        <f t="shared" si="119"/>
        <v>736.75916234185047</v>
      </c>
      <c r="R440" s="712">
        <f t="shared" si="120"/>
        <v>726.82861314971876</v>
      </c>
      <c r="S440" s="712">
        <f t="shared" si="121"/>
        <v>720.82351697773856</v>
      </c>
      <c r="T440" s="712">
        <f t="shared" si="122"/>
        <v>718.76922307991299</v>
      </c>
    </row>
    <row r="441" spans="2:20">
      <c r="B441" s="582">
        <v>367</v>
      </c>
      <c r="C441" s="712">
        <f t="shared" si="107"/>
        <v>5.4482817870406759</v>
      </c>
      <c r="D441" s="712">
        <f t="shared" si="108"/>
        <v>1443.990939854486</v>
      </c>
      <c r="E441" s="712">
        <f t="shared" si="109"/>
        <v>925.58818307389208</v>
      </c>
      <c r="F441" s="712">
        <f t="shared" si="110"/>
        <v>576.92189458801943</v>
      </c>
      <c r="G441" s="712">
        <f t="shared" si="111"/>
        <v>394.69226157134113</v>
      </c>
      <c r="H441" s="719">
        <f t="shared" si="112"/>
        <v>304.7992990707761</v>
      </c>
      <c r="I441" s="712">
        <f t="shared" si="113"/>
        <v>304.13576375985821</v>
      </c>
      <c r="J441" s="712">
        <f t="shared" si="114"/>
        <v>303.66992130121446</v>
      </c>
      <c r="K441" s="712">
        <f t="shared" si="115"/>
        <v>303.39340477944108</v>
      </c>
      <c r="L441" s="712">
        <f t="shared" si="116"/>
        <v>303.3011715278123</v>
      </c>
      <c r="N441" s="582">
        <v>367</v>
      </c>
      <c r="O441" s="712">
        <f t="shared" si="117"/>
        <v>5.4482817870406759</v>
      </c>
      <c r="P441" s="712">
        <f t="shared" si="118"/>
        <v>751.51165413938293</v>
      </c>
      <c r="Q441" s="712">
        <f t="shared" si="119"/>
        <v>737.71290019811283</v>
      </c>
      <c r="R441" s="712">
        <f t="shared" si="120"/>
        <v>727.79281363609914</v>
      </c>
      <c r="S441" s="712">
        <f t="shared" si="121"/>
        <v>721.79394394623807</v>
      </c>
      <c r="T441" s="712">
        <f t="shared" si="122"/>
        <v>719.74161302691505</v>
      </c>
    </row>
    <row r="442" spans="2:20">
      <c r="B442" s="582">
        <v>368</v>
      </c>
      <c r="C442" s="712">
        <f t="shared" si="107"/>
        <v>5.4631272415012777</v>
      </c>
      <c r="D442" s="712">
        <f t="shared" si="108"/>
        <v>1444.2161674209829</v>
      </c>
      <c r="E442" s="712">
        <f t="shared" si="109"/>
        <v>926.36900224487965</v>
      </c>
      <c r="F442" s="712">
        <f t="shared" si="110"/>
        <v>577.68753400924106</v>
      </c>
      <c r="G442" s="712">
        <f t="shared" si="111"/>
        <v>395.11702734647758</v>
      </c>
      <c r="H442" s="719">
        <f t="shared" si="112"/>
        <v>304.85072329565207</v>
      </c>
      <c r="I442" s="712">
        <f t="shared" si="113"/>
        <v>304.18432262512499</v>
      </c>
      <c r="J442" s="712">
        <f t="shared" si="114"/>
        <v>303.71642501925101</v>
      </c>
      <c r="K442" s="712">
        <f t="shared" si="115"/>
        <v>303.438669878219</v>
      </c>
      <c r="L442" s="712">
        <f t="shared" si="116"/>
        <v>303.34601808071903</v>
      </c>
      <c r="N442" s="582">
        <v>368</v>
      </c>
      <c r="O442" s="712">
        <f t="shared" si="117"/>
        <v>5.4631272415012777</v>
      </c>
      <c r="P442" s="712">
        <f t="shared" si="118"/>
        <v>752.44972577184944</v>
      </c>
      <c r="Q442" s="712">
        <f t="shared" si="119"/>
        <v>738.66560882929195</v>
      </c>
      <c r="R442" s="712">
        <f t="shared" si="120"/>
        <v>728.75597360666131</v>
      </c>
      <c r="S442" s="712">
        <f t="shared" si="121"/>
        <v>722.76332367961845</v>
      </c>
      <c r="T442" s="712">
        <f t="shared" si="122"/>
        <v>720.71295362045225</v>
      </c>
    </row>
    <row r="443" spans="2:20">
      <c r="B443" s="582">
        <v>369</v>
      </c>
      <c r="C443" s="712">
        <f t="shared" si="107"/>
        <v>5.4779726959618786</v>
      </c>
      <c r="D443" s="712">
        <f t="shared" si="108"/>
        <v>1444.4405861302339</v>
      </c>
      <c r="E443" s="712">
        <f t="shared" si="109"/>
        <v>927.14719576199252</v>
      </c>
      <c r="F443" s="712">
        <f t="shared" si="110"/>
        <v>578.45167517825644</v>
      </c>
      <c r="G443" s="712">
        <f t="shared" si="111"/>
        <v>395.5416437632453</v>
      </c>
      <c r="H443" s="719">
        <f t="shared" si="112"/>
        <v>304.90234418902935</v>
      </c>
      <c r="I443" s="712">
        <f t="shared" si="113"/>
        <v>304.23308050109597</v>
      </c>
      <c r="J443" s="712">
        <f t="shared" si="114"/>
        <v>303.76312929927707</v>
      </c>
      <c r="K443" s="712">
        <f t="shared" si="115"/>
        <v>303.48413640983921</v>
      </c>
      <c r="L443" s="712">
        <f t="shared" si="116"/>
        <v>303.39106632510965</v>
      </c>
      <c r="N443" s="582">
        <v>369</v>
      </c>
      <c r="O443" s="712">
        <f t="shared" si="117"/>
        <v>5.4779726959618786</v>
      </c>
      <c r="P443" s="712">
        <f t="shared" si="118"/>
        <v>753.38678508541966</v>
      </c>
      <c r="Q443" s="712">
        <f t="shared" si="119"/>
        <v>739.61728934607493</v>
      </c>
      <c r="R443" s="712">
        <f t="shared" si="120"/>
        <v>729.71809418427677</v>
      </c>
      <c r="S443" s="712">
        <f t="shared" si="121"/>
        <v>723.73165730800235</v>
      </c>
      <c r="T443" s="712">
        <f t="shared" si="122"/>
        <v>721.68324599293305</v>
      </c>
    </row>
    <row r="444" spans="2:20">
      <c r="B444" s="582">
        <v>370</v>
      </c>
      <c r="C444" s="712">
        <f t="shared" si="107"/>
        <v>5.4928181504224804</v>
      </c>
      <c r="D444" s="712">
        <f t="shared" si="108"/>
        <v>1444.6642005292836</v>
      </c>
      <c r="E444" s="712">
        <f t="shared" si="109"/>
        <v>927.92277716908768</v>
      </c>
      <c r="F444" s="712">
        <f t="shared" si="110"/>
        <v>579.21431911397042</v>
      </c>
      <c r="G444" s="712">
        <f t="shared" si="111"/>
        <v>395.96610620827062</v>
      </c>
      <c r="H444" s="719">
        <f t="shared" si="112"/>
        <v>304.95416152025939</v>
      </c>
      <c r="I444" s="712">
        <f t="shared" si="113"/>
        <v>304.28203719349983</v>
      </c>
      <c r="J444" s="712">
        <f t="shared" si="114"/>
        <v>303.81003397415947</v>
      </c>
      <c r="K444" s="712">
        <f t="shared" si="115"/>
        <v>303.52980422392557</v>
      </c>
      <c r="L444" s="712">
        <f t="shared" si="116"/>
        <v>303.43631611628854</v>
      </c>
      <c r="N444" s="582">
        <v>370</v>
      </c>
      <c r="O444" s="712">
        <f t="shared" si="117"/>
        <v>5.4928181504224804</v>
      </c>
      <c r="P444" s="712">
        <f t="shared" si="118"/>
        <v>754.32283317253643</v>
      </c>
      <c r="Q444" s="712">
        <f t="shared" si="119"/>
        <v>740.56794285795024</v>
      </c>
      <c r="R444" s="712">
        <f t="shared" si="120"/>
        <v>730.67917649060507</v>
      </c>
      <c r="S444" s="712">
        <f t="shared" si="121"/>
        <v>724.69894596029292</v>
      </c>
      <c r="T444" s="712">
        <f t="shared" si="122"/>
        <v>722.65249127554398</v>
      </c>
    </row>
    <row r="445" spans="2:20">
      <c r="B445" s="582">
        <v>371</v>
      </c>
      <c r="C445" s="712">
        <f t="shared" si="107"/>
        <v>5.5076636048830814</v>
      </c>
      <c r="D445" s="712">
        <f t="shared" si="108"/>
        <v>1444.8870151284229</v>
      </c>
      <c r="E445" s="712">
        <f t="shared" si="109"/>
        <v>928.69575991101829</v>
      </c>
      <c r="F445" s="712">
        <f t="shared" si="110"/>
        <v>579.97546686699559</v>
      </c>
      <c r="G445" s="712">
        <f t="shared" si="111"/>
        <v>396.39041011425076</v>
      </c>
      <c r="H445" s="719">
        <f t="shared" si="112"/>
        <v>305.00617505680771</v>
      </c>
      <c r="I445" s="712">
        <f t="shared" si="113"/>
        <v>304.3311925057958</v>
      </c>
      <c r="J445" s="712">
        <f t="shared" si="114"/>
        <v>303.85713887421514</v>
      </c>
      <c r="K445" s="712">
        <f t="shared" si="115"/>
        <v>303.5756731673813</v>
      </c>
      <c r="L445" s="712">
        <f t="shared" si="116"/>
        <v>303.48176730678193</v>
      </c>
      <c r="N445" s="582">
        <v>371</v>
      </c>
      <c r="O445" s="712">
        <f t="shared" si="117"/>
        <v>5.5076636048830814</v>
      </c>
      <c r="P445" s="712">
        <f t="shared" si="118"/>
        <v>755.25787112446346</v>
      </c>
      <c r="Q445" s="712">
        <f t="shared" si="119"/>
        <v>741.51757047320893</v>
      </c>
      <c r="R445" s="712">
        <f t="shared" si="120"/>
        <v>731.63922164609573</v>
      </c>
      <c r="S445" s="712">
        <f t="shared" si="121"/>
        <v>725.66519076417467</v>
      </c>
      <c r="T445" s="712">
        <f t="shared" si="122"/>
        <v>723.6206905982508</v>
      </c>
    </row>
    <row r="446" spans="2:20">
      <c r="B446" s="582">
        <v>372</v>
      </c>
      <c r="C446" s="712">
        <f t="shared" si="107"/>
        <v>5.5225090593436823</v>
      </c>
      <c r="D446" s="712">
        <f t="shared" si="108"/>
        <v>1445.109034401584</v>
      </c>
      <c r="E446" s="712">
        <f t="shared" si="109"/>
        <v>929.46615733452097</v>
      </c>
      <c r="F446" s="712">
        <f t="shared" si="110"/>
        <v>580.73511951911678</v>
      </c>
      <c r="G446" s="712">
        <f t="shared" si="111"/>
        <v>396.81455095966697</v>
      </c>
      <c r="H446" s="719">
        <f t="shared" si="112"/>
        <v>305.05838456427682</v>
      </c>
      <c r="I446" s="712">
        <f t="shared" si="113"/>
        <v>304.38054623919902</v>
      </c>
      <c r="J446" s="712">
        <f t="shared" si="114"/>
        <v>303.90444382723803</v>
      </c>
      <c r="K446" s="712">
        <f t="shared" si="115"/>
        <v>303.62174308441672</v>
      </c>
      <c r="L446" s="712">
        <f t="shared" si="116"/>
        <v>303.52741974636672</v>
      </c>
      <c r="N446" s="582">
        <v>372</v>
      </c>
      <c r="O446" s="712">
        <f t="shared" si="117"/>
        <v>5.5225090593436823</v>
      </c>
      <c r="P446" s="712">
        <f t="shared" si="118"/>
        <v>756.19190003128699</v>
      </c>
      <c r="Q446" s="712">
        <f t="shared" si="119"/>
        <v>742.46617329894616</v>
      </c>
      <c r="R446" s="712">
        <f t="shared" si="120"/>
        <v>732.5982307699885</v>
      </c>
      <c r="S446" s="712">
        <f t="shared" si="121"/>
        <v>726.63039284611546</v>
      </c>
      <c r="T446" s="712">
        <f t="shared" si="122"/>
        <v>724.5878450898</v>
      </c>
    </row>
    <row r="447" spans="2:20">
      <c r="B447" s="582">
        <v>373</v>
      </c>
      <c r="C447" s="712">
        <f t="shared" si="107"/>
        <v>5.5373545138042841</v>
      </c>
      <c r="D447" s="712">
        <f t="shared" si="108"/>
        <v>1445.3302627867261</v>
      </c>
      <c r="E447" s="712">
        <f t="shared" si="109"/>
        <v>930.23398268909455</v>
      </c>
      <c r="F447" s="712">
        <f t="shared" si="110"/>
        <v>581.49327818276379</v>
      </c>
      <c r="G447" s="712">
        <f t="shared" si="111"/>
        <v>397.23852426849862</v>
      </c>
      <c r="H447" s="719">
        <f t="shared" si="112"/>
        <v>305.11078980642856</v>
      </c>
      <c r="I447" s="712">
        <f t="shared" si="113"/>
        <v>304.43009819270583</v>
      </c>
      <c r="J447" s="712">
        <f t="shared" si="114"/>
        <v>303.95194865852602</v>
      </c>
      <c r="K447" s="712">
        <f t="shared" si="115"/>
        <v>303.66801381657712</v>
      </c>
      <c r="L447" s="712">
        <f t="shared" si="116"/>
        <v>303.57327328209823</v>
      </c>
      <c r="N447" s="582">
        <v>373</v>
      </c>
      <c r="O447" s="712">
        <f t="shared" si="117"/>
        <v>5.5373545138042841</v>
      </c>
      <c r="P447" s="712">
        <f t="shared" si="118"/>
        <v>757.12492098191694</v>
      </c>
      <c r="Q447" s="712">
        <f t="shared" si="119"/>
        <v>743.41375244106234</v>
      </c>
      <c r="R447" s="712">
        <f t="shared" si="120"/>
        <v>733.5562049803159</v>
      </c>
      <c r="S447" s="712">
        <f t="shared" si="121"/>
        <v>727.59455333136748</v>
      </c>
      <c r="T447" s="712">
        <f t="shared" si="122"/>
        <v>725.55395587771989</v>
      </c>
    </row>
    <row r="448" spans="2:20">
      <c r="B448" s="582">
        <v>374</v>
      </c>
      <c r="C448" s="712">
        <f t="shared" si="107"/>
        <v>5.552199968264885</v>
      </c>
      <c r="D448" s="712">
        <f t="shared" si="108"/>
        <v>1445.5507046862181</v>
      </c>
      <c r="E448" s="712">
        <f t="shared" si="109"/>
        <v>930.99924912787071</v>
      </c>
      <c r="F448" s="712">
        <f t="shared" si="110"/>
        <v>582.24994400049127</v>
      </c>
      <c r="G448" s="712">
        <f t="shared" si="111"/>
        <v>397.66232560993637</v>
      </c>
      <c r="H448" s="719">
        <f t="shared" si="112"/>
        <v>305.16339054520739</v>
      </c>
      <c r="I448" s="712">
        <f t="shared" si="113"/>
        <v>304.47984816311822</v>
      </c>
      <c r="J448" s="712">
        <f t="shared" si="114"/>
        <v>303.9996531909074</v>
      </c>
      <c r="K448" s="712">
        <f t="shared" si="115"/>
        <v>303.71448520277039</v>
      </c>
      <c r="L448" s="712">
        <f t="shared" si="116"/>
        <v>303.6193277583385</v>
      </c>
      <c r="N448" s="582">
        <v>374</v>
      </c>
      <c r="O448" s="712">
        <f t="shared" si="117"/>
        <v>5.552199968264885</v>
      </c>
      <c r="P448" s="712">
        <f t="shared" si="118"/>
        <v>758.05693506408795</v>
      </c>
      <c r="Q448" s="712">
        <f t="shared" si="119"/>
        <v>744.36030900426442</v>
      </c>
      <c r="R448" s="712">
        <f t="shared" si="120"/>
        <v>734.51314539390353</v>
      </c>
      <c r="S448" s="712">
        <f t="shared" si="121"/>
        <v>728.55767334396842</v>
      </c>
      <c r="T448" s="712">
        <f t="shared" si="122"/>
        <v>726.51902408832188</v>
      </c>
    </row>
    <row r="449" spans="2:20">
      <c r="B449" s="582">
        <v>375</v>
      </c>
      <c r="C449" s="712">
        <f t="shared" si="107"/>
        <v>5.5670454227254869</v>
      </c>
      <c r="D449" s="712">
        <f t="shared" si="108"/>
        <v>1445.7703644672158</v>
      </c>
      <c r="E449" s="712">
        <f t="shared" si="109"/>
        <v>931.76196970847479</v>
      </c>
      <c r="F449" s="712">
        <f t="shared" si="110"/>
        <v>583.00511814446588</v>
      </c>
      <c r="G449" s="712">
        <f t="shared" si="111"/>
        <v>398.08595059809716</v>
      </c>
      <c r="H449" s="719">
        <f t="shared" si="112"/>
        <v>305.21618654076207</v>
      </c>
      <c r="I449" s="712">
        <f t="shared" si="113"/>
        <v>304.52979594506905</v>
      </c>
      <c r="J449" s="712">
        <f t="shared" si="114"/>
        <v>304.04755724476718</v>
      </c>
      <c r="K449" s="712">
        <f t="shared" si="115"/>
        <v>303.76115707929455</v>
      </c>
      <c r="L449" s="712">
        <f t="shared" si="116"/>
        <v>303.66558301678361</v>
      </c>
      <c r="N449" s="582">
        <v>375</v>
      </c>
      <c r="O449" s="712">
        <f t="shared" si="117"/>
        <v>5.5670454227254869</v>
      </c>
      <c r="P449" s="712">
        <f t="shared" si="118"/>
        <v>758.98794336436094</v>
      </c>
      <c r="Q449" s="712">
        <f t="shared" si="119"/>
        <v>745.30584409206722</v>
      </c>
      <c r="R449" s="712">
        <f t="shared" si="120"/>
        <v>735.46905312637205</v>
      </c>
      <c r="S449" s="712">
        <f t="shared" si="121"/>
        <v>729.51975400674314</v>
      </c>
      <c r="T449" s="712">
        <f t="shared" si="122"/>
        <v>727.48305084670221</v>
      </c>
    </row>
    <row r="450" spans="2:20">
      <c r="B450" s="582">
        <v>376</v>
      </c>
      <c r="C450" s="712">
        <f t="shared" si="107"/>
        <v>5.5818908771860878</v>
      </c>
      <c r="D450" s="712">
        <f t="shared" si="108"/>
        <v>1445.9892464620318</v>
      </c>
      <c r="E450" s="712">
        <f t="shared" si="109"/>
        <v>932.5221573938793</v>
      </c>
      <c r="F450" s="712">
        <f t="shared" si="110"/>
        <v>583.7588018159621</v>
      </c>
      <c r="G450" s="712">
        <f t="shared" si="111"/>
        <v>398.50939489173834</v>
      </c>
      <c r="H450" s="719">
        <f t="shared" si="112"/>
        <v>305.26917755146843</v>
      </c>
      <c r="I450" s="712">
        <f t="shared" si="113"/>
        <v>304.57994133104643</v>
      </c>
      <c r="J450" s="712">
        <f t="shared" si="114"/>
        <v>304.09566063807364</v>
      </c>
      <c r="K450" s="712">
        <f t="shared" si="115"/>
        <v>303.80802927986485</v>
      </c>
      <c r="L450" s="712">
        <f t="shared" si="116"/>
        <v>303.71203889649183</v>
      </c>
      <c r="N450" s="582">
        <v>376</v>
      </c>
      <c r="O450" s="712">
        <f t="shared" si="117"/>
        <v>5.5818908771860878</v>
      </c>
      <c r="P450" s="712">
        <f t="shared" si="118"/>
        <v>759.91794696812428</v>
      </c>
      <c r="Q450" s="712">
        <f t="shared" si="119"/>
        <v>746.25035880679479</v>
      </c>
      <c r="R450" s="712">
        <f t="shared" si="120"/>
        <v>736.42392929213793</v>
      </c>
      <c r="S450" s="712">
        <f t="shared" si="121"/>
        <v>730.48079644130507</v>
      </c>
      <c r="T450" s="712">
        <f t="shared" si="122"/>
        <v>728.44603727674269</v>
      </c>
    </row>
    <row r="451" spans="2:20">
      <c r="B451" s="582">
        <v>377</v>
      </c>
      <c r="C451" s="712">
        <f t="shared" si="107"/>
        <v>5.5967363316466896</v>
      </c>
      <c r="D451" s="712">
        <f t="shared" si="108"/>
        <v>1446.2073549685015</v>
      </c>
      <c r="E451" s="712">
        <f t="shared" si="109"/>
        <v>933.27982505324815</v>
      </c>
      <c r="F451" s="712">
        <f t="shared" si="110"/>
        <v>584.51099624486335</v>
      </c>
      <c r="G451" s="712">
        <f t="shared" si="111"/>
        <v>398.93265419397284</v>
      </c>
      <c r="H451" s="719">
        <f t="shared" si="112"/>
        <v>305.32236333395122</v>
      </c>
      <c r="I451" s="712">
        <f t="shared" si="113"/>
        <v>304.63028411141818</v>
      </c>
      <c r="J451" s="712">
        <f t="shared" si="114"/>
        <v>304.14396318640439</v>
      </c>
      <c r="K451" s="712">
        <f t="shared" si="115"/>
        <v>303.85510163564101</v>
      </c>
      <c r="L451" s="712">
        <f t="shared" si="116"/>
        <v>303.75869523391049</v>
      </c>
      <c r="N451" s="582">
        <v>377</v>
      </c>
      <c r="O451" s="712">
        <f t="shared" si="117"/>
        <v>5.5967363316466896</v>
      </c>
      <c r="P451" s="712">
        <f t="shared" si="118"/>
        <v>760.84694695959502</v>
      </c>
      <c r="Q451" s="712">
        <f t="shared" si="119"/>
        <v>747.19385424958136</v>
      </c>
      <c r="R451" s="712">
        <f t="shared" si="120"/>
        <v>737.37777500441553</v>
      </c>
      <c r="S451" s="712">
        <f t="shared" si="121"/>
        <v>731.44080176805653</v>
      </c>
      <c r="T451" s="712">
        <f t="shared" si="122"/>
        <v>729.40798450111265</v>
      </c>
    </row>
    <row r="452" spans="2:20">
      <c r="B452" s="582">
        <v>378</v>
      </c>
      <c r="C452" s="712">
        <f t="shared" si="107"/>
        <v>5.6115817861072905</v>
      </c>
      <c r="D452" s="712">
        <f t="shared" si="108"/>
        <v>1446.424694250343</v>
      </c>
      <c r="E452" s="712">
        <f t="shared" si="109"/>
        <v>934.0349854627724</v>
      </c>
      <c r="F452" s="712">
        <f t="shared" si="110"/>
        <v>585.2617026891719</v>
      </c>
      <c r="G452" s="712">
        <f t="shared" si="111"/>
        <v>399.35572425198484</v>
      </c>
      <c r="H452" s="719">
        <f t="shared" si="112"/>
        <v>305.37574364310615</v>
      </c>
      <c r="I452" s="712">
        <f t="shared" si="113"/>
        <v>304.68082407445593</v>
      </c>
      <c r="J452" s="712">
        <f t="shared" si="114"/>
        <v>304.19246470297207</v>
      </c>
      <c r="K452" s="712">
        <f t="shared" si="115"/>
        <v>303.90237397525414</v>
      </c>
      <c r="L452" s="712">
        <f t="shared" si="116"/>
        <v>303.80555186290388</v>
      </c>
      <c r="N452" s="582">
        <v>378</v>
      </c>
      <c r="O452" s="712">
        <f t="shared" si="117"/>
        <v>5.6115817861072905</v>
      </c>
      <c r="P452" s="712">
        <f t="shared" si="118"/>
        <v>761.77494442182012</v>
      </c>
      <c r="Q452" s="712">
        <f t="shared" si="119"/>
        <v>748.13633152037323</v>
      </c>
      <c r="R452" s="712">
        <f t="shared" si="120"/>
        <v>738.33059137521695</v>
      </c>
      <c r="S452" s="712">
        <f t="shared" si="121"/>
        <v>732.39977110619157</v>
      </c>
      <c r="T452" s="712">
        <f t="shared" si="122"/>
        <v>730.36889364126932</v>
      </c>
    </row>
    <row r="453" spans="2:20">
      <c r="B453" s="582">
        <v>379</v>
      </c>
      <c r="C453" s="712">
        <f t="shared" si="107"/>
        <v>5.6264272405678915</v>
      </c>
      <c r="D453" s="712">
        <f t="shared" si="108"/>
        <v>1446.6412685375135</v>
      </c>
      <c r="E453" s="712">
        <f t="shared" si="109"/>
        <v>934.78765130649867</v>
      </c>
      <c r="F453" s="712">
        <f t="shared" si="110"/>
        <v>586.01092243452513</v>
      </c>
      <c r="G453" s="712">
        <f t="shared" si="111"/>
        <v>399.77860085674524</v>
      </c>
      <c r="H453" s="719">
        <f t="shared" si="112"/>
        <v>305.42931823212132</v>
      </c>
      <c r="I453" s="712">
        <f t="shared" si="113"/>
        <v>304.73156100635964</v>
      </c>
      <c r="J453" s="712">
        <f t="shared" si="114"/>
        <v>304.2411649986505</v>
      </c>
      <c r="K453" s="712">
        <f t="shared" si="115"/>
        <v>303.94984612483358</v>
      </c>
      <c r="L453" s="712">
        <f t="shared" si="116"/>
        <v>303.85260861477985</v>
      </c>
      <c r="N453" s="582">
        <v>379</v>
      </c>
      <c r="O453" s="712">
        <f t="shared" si="117"/>
        <v>5.6264272405678915</v>
      </c>
      <c r="P453" s="712">
        <f t="shared" si="118"/>
        <v>762.701940436678</v>
      </c>
      <c r="Q453" s="712">
        <f t="shared" si="119"/>
        <v>749.07779171792947</v>
      </c>
      <c r="R453" s="712">
        <f t="shared" si="120"/>
        <v>739.28237951535527</v>
      </c>
      <c r="S453" s="712">
        <f t="shared" si="121"/>
        <v>733.35770557369574</v>
      </c>
      <c r="T453" s="712">
        <f t="shared" si="122"/>
        <v>731.32876581746029</v>
      </c>
    </row>
    <row r="454" spans="2:20">
      <c r="B454" s="582">
        <v>380</v>
      </c>
      <c r="C454" s="712">
        <f t="shared" si="107"/>
        <v>5.6412726950284933</v>
      </c>
      <c r="D454" s="712">
        <f t="shared" si="108"/>
        <v>1446.8570820265591</v>
      </c>
      <c r="E454" s="712">
        <f t="shared" si="109"/>
        <v>935.53783517714828</v>
      </c>
      <c r="F454" s="712">
        <f t="shared" si="110"/>
        <v>586.7586567937185</v>
      </c>
      <c r="G454" s="712">
        <f t="shared" si="111"/>
        <v>400.20127984272864</v>
      </c>
      <c r="H454" s="719">
        <f t="shared" si="112"/>
        <v>305.48308685249918</v>
      </c>
      <c r="I454" s="712">
        <f t="shared" si="113"/>
        <v>304.78249469128116</v>
      </c>
      <c r="J454" s="712">
        <f t="shared" si="114"/>
        <v>304.29006388199997</v>
      </c>
      <c r="K454" s="712">
        <f t="shared" si="115"/>
        <v>303.99751790803344</v>
      </c>
      <c r="L454" s="712">
        <f t="shared" si="116"/>
        <v>303.89986531831704</v>
      </c>
      <c r="N454" s="582">
        <v>380</v>
      </c>
      <c r="O454" s="712">
        <f t="shared" si="117"/>
        <v>5.6412726950284933</v>
      </c>
      <c r="P454" s="712">
        <f t="shared" si="118"/>
        <v>763.62793608487925</v>
      </c>
      <c r="Q454" s="712">
        <f t="shared" si="119"/>
        <v>750.0182359398234</v>
      </c>
      <c r="R454" s="712">
        <f t="shared" si="120"/>
        <v>740.23314053444415</v>
      </c>
      <c r="S454" s="712">
        <f t="shared" si="121"/>
        <v>734.31460628734885</v>
      </c>
      <c r="T454" s="712">
        <f t="shared" si="122"/>
        <v>732.28760214872386</v>
      </c>
    </row>
    <row r="455" spans="2:20">
      <c r="B455" s="582">
        <v>381</v>
      </c>
      <c r="C455" s="712">
        <f t="shared" si="107"/>
        <v>5.6561181494890942</v>
      </c>
      <c r="D455" s="712">
        <f t="shared" si="108"/>
        <v>1447.0721388809595</v>
      </c>
      <c r="E455" s="712">
        <f t="shared" si="109"/>
        <v>936.28554957692882</v>
      </c>
      <c r="F455" s="712">
        <f t="shared" si="110"/>
        <v>587.50490710623615</v>
      </c>
      <c r="G455" s="712">
        <f t="shared" si="111"/>
        <v>400.62375708762977</v>
      </c>
      <c r="H455" s="719">
        <f t="shared" si="112"/>
        <v>305.53704925407789</v>
      </c>
      <c r="I455" s="712">
        <f t="shared" si="113"/>
        <v>304.83362491134818</v>
      </c>
      <c r="J455" s="712">
        <f t="shared" si="114"/>
        <v>304.33916115929287</v>
      </c>
      <c r="K455" s="712">
        <f t="shared" si="115"/>
        <v>304.04538914605916</v>
      </c>
      <c r="L455" s="712">
        <f t="shared" si="116"/>
        <v>303.94732179979167</v>
      </c>
      <c r="N455" s="582">
        <v>381</v>
      </c>
      <c r="O455" s="712">
        <f t="shared" si="117"/>
        <v>5.6561181494890942</v>
      </c>
      <c r="P455" s="712">
        <f t="shared" si="118"/>
        <v>764.55293244596851</v>
      </c>
      <c r="Q455" s="712">
        <f t="shared" si="119"/>
        <v>750.95766528244394</v>
      </c>
      <c r="R455" s="712">
        <f t="shared" si="120"/>
        <v>741.18287554090023</v>
      </c>
      <c r="S455" s="712">
        <f t="shared" si="121"/>
        <v>735.27047436272483</v>
      </c>
      <c r="T455" s="712">
        <f t="shared" si="122"/>
        <v>733.24540375289098</v>
      </c>
    </row>
    <row r="456" spans="2:20">
      <c r="B456" s="582">
        <v>382</v>
      </c>
      <c r="C456" s="712">
        <f t="shared" si="107"/>
        <v>5.670963603949696</v>
      </c>
      <c r="D456" s="712">
        <f t="shared" si="108"/>
        <v>1447.2864432314698</v>
      </c>
      <c r="E456" s="712">
        <f t="shared" si="109"/>
        <v>937.0308069183377</v>
      </c>
      <c r="F456" s="712">
        <f t="shared" si="110"/>
        <v>588.24967473778736</v>
      </c>
      <c r="G456" s="712">
        <f t="shared" si="111"/>
        <v>401.04602851208131</v>
      </c>
      <c r="H456" s="719">
        <f t="shared" si="112"/>
        <v>305.59120518505244</v>
      </c>
      <c r="I456" s="712">
        <f t="shared" si="113"/>
        <v>304.88495144668775</v>
      </c>
      <c r="J456" s="712">
        <f t="shared" si="114"/>
        <v>304.3884566345389</v>
      </c>
      <c r="K456" s="712">
        <f t="shared" si="115"/>
        <v>304.09345965769364</v>
      </c>
      <c r="L456" s="712">
        <f t="shared" si="116"/>
        <v>303.99497788300408</v>
      </c>
      <c r="N456" s="582">
        <v>382</v>
      </c>
      <c r="O456" s="712">
        <f t="shared" si="117"/>
        <v>5.670963603949696</v>
      </c>
      <c r="P456" s="712">
        <f t="shared" si="118"/>
        <v>765.47693059832511</v>
      </c>
      <c r="Q456" s="712">
        <f t="shared" si="119"/>
        <v>751.896080840997</v>
      </c>
      <c r="R456" s="712">
        <f t="shared" si="120"/>
        <v>742.13158564194373</v>
      </c>
      <c r="S456" s="712">
        <f t="shared" si="121"/>
        <v>736.22531091419421</v>
      </c>
      <c r="T456" s="712">
        <f t="shared" si="122"/>
        <v>734.20217174658615</v>
      </c>
    </row>
    <row r="457" spans="2:20">
      <c r="B457" s="582">
        <v>383</v>
      </c>
      <c r="C457" s="712">
        <f t="shared" si="107"/>
        <v>5.6858090584102969</v>
      </c>
      <c r="D457" s="712">
        <f t="shared" si="108"/>
        <v>1447.4999991764562</v>
      </c>
      <c r="E457" s="712">
        <f t="shared" si="109"/>
        <v>937.77361952495733</v>
      </c>
      <c r="F457" s="712">
        <f t="shared" si="110"/>
        <v>588.9929610798506</v>
      </c>
      <c r="G457" s="712">
        <f t="shared" si="111"/>
        <v>401.46809007937179</v>
      </c>
      <c r="H457" s="719">
        <f t="shared" si="112"/>
        <v>305.64555439199586</v>
      </c>
      <c r="I457" s="712">
        <f t="shared" si="113"/>
        <v>304.93647407544972</v>
      </c>
      <c r="J457" s="712">
        <f t="shared" si="114"/>
        <v>304.43795010951033</v>
      </c>
      <c r="K457" s="712">
        <f t="shared" si="115"/>
        <v>304.1417292593236</v>
      </c>
      <c r="L457" s="712">
        <f t="shared" si="116"/>
        <v>304.04283338930514</v>
      </c>
      <c r="N457" s="582">
        <v>383</v>
      </c>
      <c r="O457" s="712">
        <f t="shared" si="117"/>
        <v>5.6858090584102969</v>
      </c>
      <c r="P457" s="712">
        <f t="shared" si="118"/>
        <v>766.39993161916493</v>
      </c>
      <c r="Q457" s="712">
        <f t="shared" si="119"/>
        <v>752.83348370950625</v>
      </c>
      <c r="R457" s="712">
        <f t="shared" si="120"/>
        <v>743.07927194360025</v>
      </c>
      <c r="S457" s="712">
        <f t="shared" si="121"/>
        <v>737.17911705492452</v>
      </c>
      <c r="T457" s="712">
        <f t="shared" si="122"/>
        <v>735.1579072452289</v>
      </c>
    </row>
    <row r="458" spans="2:20">
      <c r="B458" s="582">
        <v>384</v>
      </c>
      <c r="C458" s="712">
        <f t="shared" si="107"/>
        <v>5.7006545128708979</v>
      </c>
      <c r="D458" s="712">
        <f t="shared" si="108"/>
        <v>1447.7128107822266</v>
      </c>
      <c r="E458" s="712">
        <f t="shared" si="109"/>
        <v>938.5139996322431</v>
      </c>
      <c r="F458" s="712">
        <f t="shared" si="110"/>
        <v>589.73476754922308</v>
      </c>
      <c r="G458" s="712">
        <f t="shared" si="111"/>
        <v>401.88993779516414</v>
      </c>
      <c r="H458" s="719">
        <f t="shared" si="112"/>
        <v>305.70009661988018</v>
      </c>
      <c r="I458" s="712">
        <f t="shared" si="113"/>
        <v>304.98819257383025</v>
      </c>
      <c r="J458" s="712">
        <f t="shared" si="114"/>
        <v>304.4876413837668</v>
      </c>
      <c r="K458" s="712">
        <f t="shared" si="115"/>
        <v>304.19019776496521</v>
      </c>
      <c r="L458" s="712">
        <f t="shared" si="116"/>
        <v>304.0908881376227</v>
      </c>
      <c r="N458" s="582">
        <v>384</v>
      </c>
      <c r="O458" s="712">
        <f t="shared" si="117"/>
        <v>5.7006545128708979</v>
      </c>
      <c r="P458" s="712">
        <f t="shared" si="118"/>
        <v>767.32193658454128</v>
      </c>
      <c r="Q458" s="712">
        <f t="shared" si="119"/>
        <v>753.76987498081508</v>
      </c>
      <c r="R458" s="712">
        <f t="shared" si="120"/>
        <v>744.02593555070143</v>
      </c>
      <c r="S458" s="712">
        <f t="shared" si="121"/>
        <v>738.13189389688273</v>
      </c>
      <c r="T458" s="712">
        <f t="shared" si="122"/>
        <v>736.11261136303506</v>
      </c>
    </row>
    <row r="459" spans="2:20">
      <c r="B459" s="582">
        <v>385</v>
      </c>
      <c r="C459" s="712">
        <f t="shared" ref="C459:C522" si="123">$C$73*B459</f>
        <v>5.7154999673314997</v>
      </c>
      <c r="D459" s="712">
        <f t="shared" ref="D459:D522" si="124">(1-2*FoAb-2*FoAb*BiCombAb)*D458+2*FoAb*E458+2*FoAb*BiCombAb*Tcomb</f>
        <v>1447.9248820833584</v>
      </c>
      <c r="E459" s="712">
        <f t="shared" ref="E459:E522" si="125">FoAb*D458+(1-2*FoAb)*E458+FoAb*F458</f>
        <v>939.25195938830302</v>
      </c>
      <c r="F459" s="712">
        <f t="shared" ref="F459:F522" si="126">FoAb*E458+(1-2*FoAb)*F458+FoAb*G458</f>
        <v>590.4750955875777</v>
      </c>
      <c r="G459" s="712">
        <f t="shared" ref="G459:G522" si="127">FoAb*F458+(1-2*FoAb)*G458+FoAb*H458</f>
        <v>402.31156770721515</v>
      </c>
      <c r="H459" s="719">
        <f t="shared" ref="H459:H522" si="128">_FoN1*G458+(1-_FoN1-_FoN2)*H458+_FoN2*I458</f>
        <v>305.75483161209735</v>
      </c>
      <c r="I459" s="712">
        <f t="shared" ref="I459:I522" si="129">FoCase*H458+(1-2*FoCase)*I458+FoCase*J458</f>
        <v>305.04010671609456</v>
      </c>
      <c r="J459" s="712">
        <f t="shared" ref="J459:J522" si="130">FoCase*I458+(1-2*FoCase)*J458+FoCase*K458</f>
        <v>304.53753025468001</v>
      </c>
      <c r="K459" s="712">
        <f t="shared" ref="K459:K522" si="131">FoCase*J458+(1-2*FoCase)*K458+FoCase*L458</f>
        <v>304.23886498629042</v>
      </c>
      <c r="L459" s="712">
        <f t="shared" ref="L459:L522" si="132">(1-2*FoCase-2*FoCase*BiAtmCase)*L458+2*FoCase*K458+2*FoCase*BiAtmCase*Tatm</f>
        <v>304.13914194448751</v>
      </c>
      <c r="N459" s="582">
        <v>385</v>
      </c>
      <c r="O459" s="712">
        <f t="shared" ref="O459:O522" si="133">$O$73*N459</f>
        <v>5.7154999673314997</v>
      </c>
      <c r="P459" s="712">
        <f t="shared" ref="P459:P522" si="134">(1-2*FoCase-2*FoCase*BiCombCase)*P458+2*FoCase*Q458+2*FoCase*BiCombCase*Tcomb</f>
        <v>768.24294656934615</v>
      </c>
      <c r="Q459" s="712">
        <f t="shared" ref="Q459:Q522" si="135">FoCase*P458+(1-2*FoCase)*Q458+FoCase*R458</f>
        <v>754.70525574658757</v>
      </c>
      <c r="R459" s="712">
        <f t="shared" ref="R459:R522" si="136">FoCase*Q458+(1-2*FoCase)*R458+FoCase*S458</f>
        <v>744.97157756688716</v>
      </c>
      <c r="S459" s="712">
        <f t="shared" ref="S459:S522" si="137">FoCase*R458+(1-2*FoCase)*S458+FoCase*T458</f>
        <v>739.08364255083518</v>
      </c>
      <c r="T459" s="712">
        <f t="shared" ref="T459:T522" si="138">(1-2*FoCase-2*FoCase*BiAtmCase)*T458+2*FoCase*S458+2*FoCase*BiAtmCase*Tatm</f>
        <v>737.06628521301798</v>
      </c>
    </row>
    <row r="460" spans="2:20">
      <c r="B460" s="582">
        <v>386</v>
      </c>
      <c r="C460" s="712">
        <f t="shared" si="123"/>
        <v>5.7303454217921006</v>
      </c>
      <c r="D460" s="712">
        <f t="shared" si="124"/>
        <v>1448.13621708302</v>
      </c>
      <c r="E460" s="712">
        <f t="shared" si="125"/>
        <v>939.98751085466938</v>
      </c>
      <c r="F460" s="712">
        <f t="shared" si="126"/>
        <v>591.21394666102594</v>
      </c>
      <c r="G460" s="712">
        <f t="shared" si="127"/>
        <v>402.73297590509509</v>
      </c>
      <c r="H460" s="719">
        <f t="shared" si="128"/>
        <v>305.80975911047949</v>
      </c>
      <c r="I460" s="712">
        <f t="shared" si="129"/>
        <v>305.09221627460022</v>
      </c>
      <c r="J460" s="712">
        <f t="shared" si="130"/>
        <v>304.5876165174588</v>
      </c>
      <c r="K460" s="712">
        <f t="shared" si="131"/>
        <v>304.28773073265188</v>
      </c>
      <c r="L460" s="712">
        <f t="shared" si="132"/>
        <v>304.1875946240595</v>
      </c>
      <c r="N460" s="582">
        <v>386</v>
      </c>
      <c r="O460" s="712">
        <f t="shared" si="133"/>
        <v>5.7303454217921006</v>
      </c>
      <c r="P460" s="712">
        <f t="shared" si="134"/>
        <v>769.16296264731193</v>
      </c>
      <c r="Q460" s="712">
        <f t="shared" si="135"/>
        <v>755.63962709730936</v>
      </c>
      <c r="R460" s="712">
        <f t="shared" si="136"/>
        <v>745.91619909460587</v>
      </c>
      <c r="S460" s="712">
        <f t="shared" si="137"/>
        <v>740.03436412634983</v>
      </c>
      <c r="T460" s="712">
        <f t="shared" si="138"/>
        <v>738.01892990699002</v>
      </c>
    </row>
    <row r="461" spans="2:20">
      <c r="B461" s="582">
        <v>387</v>
      </c>
      <c r="C461" s="712">
        <f t="shared" si="123"/>
        <v>5.7451908762527024</v>
      </c>
      <c r="D461" s="712">
        <f t="shared" si="124"/>
        <v>1448.3468197532898</v>
      </c>
      <c r="E461" s="712">
        <f t="shared" si="125"/>
        <v>940.7206660070641</v>
      </c>
      <c r="F461" s="712">
        <f t="shared" si="126"/>
        <v>591.95132225968723</v>
      </c>
      <c r="G461" s="712">
        <f t="shared" si="127"/>
        <v>403.15415851990844</v>
      </c>
      <c r="H461" s="719">
        <f t="shared" si="128"/>
        <v>305.86487885531983</v>
      </c>
      <c r="I461" s="712">
        <f t="shared" si="129"/>
        <v>305.14452101981976</v>
      </c>
      <c r="J461" s="712">
        <f t="shared" si="130"/>
        <v>304.63789996517312</v>
      </c>
      <c r="K461" s="712">
        <f t="shared" si="131"/>
        <v>304.33679481110903</v>
      </c>
      <c r="L461" s="712">
        <f t="shared" si="132"/>
        <v>304.23624598815326</v>
      </c>
      <c r="N461" s="582">
        <v>387</v>
      </c>
      <c r="O461" s="712">
        <f t="shared" si="133"/>
        <v>5.7451908762527024</v>
      </c>
      <c r="P461" s="712">
        <f t="shared" si="134"/>
        <v>770.08198589101175</v>
      </c>
      <c r="Q461" s="712">
        <f t="shared" si="135"/>
        <v>756.57299012228964</v>
      </c>
      <c r="R461" s="712">
        <f t="shared" si="136"/>
        <v>746.85980123511661</v>
      </c>
      <c r="S461" s="712">
        <f t="shared" si="137"/>
        <v>740.98405973179695</v>
      </c>
      <c r="T461" s="712">
        <f t="shared" si="138"/>
        <v>738.97054655556371</v>
      </c>
    </row>
    <row r="462" spans="2:20">
      <c r="B462" s="582">
        <v>388</v>
      </c>
      <c r="C462" s="712">
        <f t="shared" si="123"/>
        <v>5.7600363307133033</v>
      </c>
      <c r="D462" s="712">
        <f t="shared" si="124"/>
        <v>1448.5566940354693</v>
      </c>
      <c r="E462" s="712">
        <f t="shared" si="125"/>
        <v>941.45143673615485</v>
      </c>
      <c r="F462" s="712">
        <f t="shared" si="126"/>
        <v>592.68722389726406</v>
      </c>
      <c r="G462" s="712">
        <f t="shared" si="127"/>
        <v>403.57511172401507</v>
      </c>
      <c r="H462" s="719">
        <f t="shared" si="128"/>
        <v>305.92019058539279</v>
      </c>
      <c r="I462" s="712">
        <f t="shared" si="129"/>
        <v>305.19702072036347</v>
      </c>
      <c r="J462" s="712">
        <f t="shared" si="130"/>
        <v>304.68838038877863</v>
      </c>
      <c r="K462" s="712">
        <f t="shared" si="131"/>
        <v>304.38605702645305</v>
      </c>
      <c r="L462" s="712">
        <f t="shared" si="132"/>
        <v>304.2850958462638</v>
      </c>
      <c r="N462" s="582">
        <v>388</v>
      </c>
      <c r="O462" s="712">
        <f t="shared" si="133"/>
        <v>5.7600363307133033</v>
      </c>
      <c r="P462" s="712">
        <f t="shared" si="134"/>
        <v>771.00001737186165</v>
      </c>
      <c r="Q462" s="712">
        <f t="shared" si="135"/>
        <v>757.50534590966163</v>
      </c>
      <c r="R462" s="712">
        <f t="shared" si="136"/>
        <v>747.80238508848993</v>
      </c>
      <c r="S462" s="712">
        <f t="shared" si="137"/>
        <v>741.93273047435116</v>
      </c>
      <c r="T462" s="712">
        <f t="shared" si="138"/>
        <v>739.92113626815285</v>
      </c>
    </row>
    <row r="463" spans="2:20">
      <c r="B463" s="582">
        <v>389</v>
      </c>
      <c r="C463" s="712">
        <f t="shared" si="123"/>
        <v>5.7748817851739052</v>
      </c>
      <c r="D463" s="712">
        <f t="shared" si="124"/>
        <v>1448.7658438403932</v>
      </c>
      <c r="E463" s="712">
        <f t="shared" si="125"/>
        <v>942.17983484830484</v>
      </c>
      <c r="F463" s="712">
        <f t="shared" si="126"/>
        <v>593.42165311062388</v>
      </c>
      <c r="G463" s="712">
        <f t="shared" si="127"/>
        <v>403.99583173075229</v>
      </c>
      <c r="H463" s="719">
        <f t="shared" si="128"/>
        <v>305.97569403797416</v>
      </c>
      <c r="I463" s="712">
        <f t="shared" si="129"/>
        <v>305.24971514300165</v>
      </c>
      <c r="J463" s="712">
        <f t="shared" si="130"/>
        <v>304.73905757714061</v>
      </c>
      <c r="K463" s="712">
        <f t="shared" si="131"/>
        <v>304.43551718123206</v>
      </c>
      <c r="L463" s="712">
        <f t="shared" si="132"/>
        <v>304.33414400559207</v>
      </c>
      <c r="N463" s="582">
        <v>389</v>
      </c>
      <c r="O463" s="712">
        <f t="shared" si="133"/>
        <v>5.7748817851739052</v>
      </c>
      <c r="P463" s="712">
        <f t="shared" si="134"/>
        <v>771.91705816012109</v>
      </c>
      <c r="Q463" s="712">
        <f t="shared" si="135"/>
        <v>758.43669554638507</v>
      </c>
      <c r="R463" s="712">
        <f t="shared" si="136"/>
        <v>748.74395175360905</v>
      </c>
      <c r="S463" s="712">
        <f t="shared" si="137"/>
        <v>742.88037745999191</v>
      </c>
      <c r="T463" s="712">
        <f t="shared" si="138"/>
        <v>740.87070015297445</v>
      </c>
    </row>
    <row r="464" spans="2:20">
      <c r="B464" s="582">
        <v>390</v>
      </c>
      <c r="C464" s="712">
        <f t="shared" si="123"/>
        <v>5.7897272396345061</v>
      </c>
      <c r="D464" s="712">
        <f t="shared" si="124"/>
        <v>1448.9742730487349</v>
      </c>
      <c r="E464" s="712">
        <f t="shared" si="125"/>
        <v>942.90587206631483</v>
      </c>
      <c r="F464" s="712">
        <f t="shared" si="126"/>
        <v>594.15461145938627</v>
      </c>
      <c r="G464" s="712">
        <f t="shared" si="127"/>
        <v>404.41631479415724</v>
      </c>
      <c r="H464" s="719">
        <f t="shared" si="128"/>
        <v>306.03138894886126</v>
      </c>
      <c r="I464" s="712">
        <f t="shared" si="129"/>
        <v>305.30260405268712</v>
      </c>
      <c r="J464" s="712">
        <f t="shared" si="130"/>
        <v>304.78993131705823</v>
      </c>
      <c r="K464" s="712">
        <f t="shared" si="131"/>
        <v>304.48517507577634</v>
      </c>
      <c r="L464" s="712">
        <f t="shared" si="132"/>
        <v>304.38339027107008</v>
      </c>
      <c r="N464" s="582">
        <v>390</v>
      </c>
      <c r="O464" s="712">
        <f t="shared" si="133"/>
        <v>5.7897272396345061</v>
      </c>
      <c r="P464" s="712">
        <f t="shared" si="134"/>
        <v>772.83310932489508</v>
      </c>
      <c r="Q464" s="712">
        <f t="shared" si="135"/>
        <v>759.367040118246</v>
      </c>
      <c r="R464" s="712">
        <f t="shared" si="136"/>
        <v>749.68450232817167</v>
      </c>
      <c r="S464" s="712">
        <f t="shared" si="137"/>
        <v>743.82700179350536</v>
      </c>
      <c r="T464" s="712">
        <f t="shared" si="138"/>
        <v>741.8192393170491</v>
      </c>
    </row>
    <row r="465" spans="2:20">
      <c r="B465" s="582">
        <v>391</v>
      </c>
      <c r="C465" s="712">
        <f t="shared" si="123"/>
        <v>5.804572694095107</v>
      </c>
      <c r="D465" s="712">
        <f t="shared" si="124"/>
        <v>1449.1819855113074</v>
      </c>
      <c r="E465" s="712">
        <f t="shared" si="125"/>
        <v>943.62956003015779</v>
      </c>
      <c r="F465" s="712">
        <f t="shared" si="126"/>
        <v>594.88610052551701</v>
      </c>
      <c r="G465" s="712">
        <f t="shared" si="127"/>
        <v>404.83655720869058</v>
      </c>
      <c r="H465" s="719">
        <f t="shared" si="128"/>
        <v>306.08727505239256</v>
      </c>
      <c r="I465" s="712">
        <f t="shared" si="129"/>
        <v>305.35568721257744</v>
      </c>
      <c r="J465" s="712">
        <f t="shared" si="130"/>
        <v>304.84100139328814</v>
      </c>
      <c r="K465" s="712">
        <f t="shared" si="131"/>
        <v>304.53503050822269</v>
      </c>
      <c r="L465" s="712">
        <f t="shared" si="132"/>
        <v>304.43283444538628</v>
      </c>
      <c r="N465" s="582">
        <v>391</v>
      </c>
      <c r="O465" s="712">
        <f t="shared" si="133"/>
        <v>5.804572694095107</v>
      </c>
      <c r="P465" s="712">
        <f t="shared" si="134"/>
        <v>773.74817193413458</v>
      </c>
      <c r="Q465" s="712">
        <f t="shared" si="135"/>
        <v>760.29638070985902</v>
      </c>
      <c r="R465" s="712">
        <f t="shared" si="136"/>
        <v>750.62403790869053</v>
      </c>
      <c r="S465" s="712">
        <f t="shared" si="137"/>
        <v>744.77260457848524</v>
      </c>
      <c r="T465" s="712">
        <f t="shared" si="138"/>
        <v>742.7667548662032</v>
      </c>
    </row>
    <row r="466" spans="2:20">
      <c r="B466" s="582">
        <v>392</v>
      </c>
      <c r="C466" s="712">
        <f t="shared" si="123"/>
        <v>5.8194181485557088</v>
      </c>
      <c r="D466" s="712">
        <f t="shared" si="124"/>
        <v>1449.388985049362</v>
      </c>
      <c r="E466" s="712">
        <f t="shared" si="125"/>
        <v>944.3509102977066</v>
      </c>
      <c r="F466" s="712">
        <f t="shared" si="126"/>
        <v>595.61612191292681</v>
      </c>
      <c r="G466" s="712">
        <f t="shared" si="127"/>
        <v>405.25655530896051</v>
      </c>
      <c r="H466" s="719">
        <f t="shared" si="128"/>
        <v>306.14335208146764</v>
      </c>
      <c r="I466" s="712">
        <f t="shared" si="129"/>
        <v>305.40896438405656</v>
      </c>
      <c r="J466" s="712">
        <f t="shared" si="130"/>
        <v>304.89226758856813</v>
      </c>
      <c r="K466" s="712">
        <f t="shared" si="131"/>
        <v>304.58508327453956</v>
      </c>
      <c r="L466" s="712">
        <f t="shared" si="132"/>
        <v>304.48247632901035</v>
      </c>
      <c r="N466" s="582">
        <v>392</v>
      </c>
      <c r="O466" s="712">
        <f t="shared" si="133"/>
        <v>5.8194181485557088</v>
      </c>
      <c r="P466" s="712">
        <f t="shared" si="134"/>
        <v>774.6622470546381</v>
      </c>
      <c r="Q466" s="712">
        <f t="shared" si="135"/>
        <v>761.22471840466824</v>
      </c>
      <c r="R466" s="712">
        <f t="shared" si="136"/>
        <v>751.5625595904952</v>
      </c>
      <c r="S466" s="712">
        <f t="shared" si="137"/>
        <v>745.71718691733452</v>
      </c>
      <c r="T466" s="712">
        <f t="shared" si="138"/>
        <v>743.71324790506947</v>
      </c>
    </row>
    <row r="467" spans="2:20">
      <c r="B467" s="582">
        <v>393</v>
      </c>
      <c r="C467" s="712">
        <f t="shared" si="123"/>
        <v>5.8342636030163098</v>
      </c>
      <c r="D467" s="712">
        <f t="shared" si="124"/>
        <v>1449.5952754548807</v>
      </c>
      <c r="E467" s="712">
        <f t="shared" si="125"/>
        <v>945.06993434545382</v>
      </c>
      <c r="F467" s="712">
        <f t="shared" si="126"/>
        <v>596.34467724707656</v>
      </c>
      <c r="G467" s="712">
        <f t="shared" si="127"/>
        <v>405.67630546944775</v>
      </c>
      <c r="H467" s="719">
        <f t="shared" si="128"/>
        <v>306.19961976756679</v>
      </c>
      <c r="I467" s="712">
        <f t="shared" si="129"/>
        <v>305.46243532675715</v>
      </c>
      <c r="J467" s="712">
        <f t="shared" si="130"/>
        <v>304.94372968364081</v>
      </c>
      <c r="K467" s="712">
        <f t="shared" si="131"/>
        <v>304.63533316855103</v>
      </c>
      <c r="L467" s="712">
        <f t="shared" si="132"/>
        <v>304.53231572021815</v>
      </c>
      <c r="N467" s="582">
        <v>393</v>
      </c>
      <c r="O467" s="712">
        <f t="shared" si="133"/>
        <v>5.8342636030163098</v>
      </c>
      <c r="P467" s="712">
        <f t="shared" si="134"/>
        <v>775.57533575205287</v>
      </c>
      <c r="Q467" s="712">
        <f t="shared" si="135"/>
        <v>762.15205428494846</v>
      </c>
      <c r="R467" s="712">
        <f t="shared" si="136"/>
        <v>752.50006846773351</v>
      </c>
      <c r="S467" s="712">
        <f t="shared" si="137"/>
        <v>746.66074991126652</v>
      </c>
      <c r="T467" s="712">
        <f t="shared" si="138"/>
        <v>744.6587195370887</v>
      </c>
    </row>
    <row r="468" spans="2:20">
      <c r="B468" s="582">
        <v>394</v>
      </c>
      <c r="C468" s="712">
        <f t="shared" si="123"/>
        <v>5.8491090574769116</v>
      </c>
      <c r="D468" s="712">
        <f t="shared" si="124"/>
        <v>1449.8008604908675</v>
      </c>
      <c r="E468" s="712">
        <f t="shared" si="125"/>
        <v>945.7866435692257</v>
      </c>
      <c r="F468" s="712">
        <f t="shared" si="126"/>
        <v>597.07176817458856</v>
      </c>
      <c r="G468" s="712">
        <f t="shared" si="127"/>
        <v>406.09580410423132</v>
      </c>
      <c r="H468" s="719">
        <f t="shared" si="128"/>
        <v>306.25607784076999</v>
      </c>
      <c r="I468" s="712">
        <f t="shared" si="129"/>
        <v>305.51609979858199</v>
      </c>
      <c r="J468" s="712">
        <f t="shared" si="130"/>
        <v>304.99538745727671</v>
      </c>
      <c r="K468" s="712">
        <f t="shared" si="131"/>
        <v>304.68577998196156</v>
      </c>
      <c r="L468" s="712">
        <f t="shared" si="132"/>
        <v>304.5823524151163</v>
      </c>
      <c r="N468" s="582">
        <v>394</v>
      </c>
      <c r="O468" s="712">
        <f t="shared" si="133"/>
        <v>5.8491090574769116</v>
      </c>
      <c r="P468" s="712">
        <f t="shared" si="134"/>
        <v>776.48743909087636</v>
      </c>
      <c r="Q468" s="712">
        <f t="shared" si="135"/>
        <v>763.07838943180673</v>
      </c>
      <c r="R468" s="712">
        <f t="shared" si="136"/>
        <v>753.43656563337208</v>
      </c>
      <c r="S468" s="712">
        <f t="shared" si="137"/>
        <v>747.60329466030601</v>
      </c>
      <c r="T468" s="712">
        <f t="shared" si="138"/>
        <v>745.60317086451073</v>
      </c>
    </row>
    <row r="469" spans="2:20">
      <c r="B469" s="582">
        <v>395</v>
      </c>
      <c r="C469" s="712">
        <f t="shared" si="123"/>
        <v>5.8639545119375125</v>
      </c>
      <c r="D469" s="712">
        <f t="shared" si="124"/>
        <v>1450.0057438916338</v>
      </c>
      <c r="E469" s="712">
        <f t="shared" si="125"/>
        <v>946.50104928488759</v>
      </c>
      <c r="F469" s="712">
        <f t="shared" si="126"/>
        <v>597.7973963628624</v>
      </c>
      <c r="G469" s="712">
        <f t="shared" si="127"/>
        <v>406.51504766671513</v>
      </c>
      <c r="H469" s="719">
        <f t="shared" si="128"/>
        <v>306.31272602977674</v>
      </c>
      <c r="I469" s="712">
        <f t="shared" si="129"/>
        <v>305.56995755572552</v>
      </c>
      <c r="J469" s="712">
        <f t="shared" si="130"/>
        <v>305.0472406862977</v>
      </c>
      <c r="K469" s="712">
        <f t="shared" si="131"/>
        <v>304.73642350438001</v>
      </c>
      <c r="L469" s="712">
        <f t="shared" si="132"/>
        <v>304.63258620766663</v>
      </c>
      <c r="N469" s="582">
        <v>395</v>
      </c>
      <c r="O469" s="712">
        <f t="shared" si="133"/>
        <v>5.8639545119375125</v>
      </c>
      <c r="P469" s="712">
        <f t="shared" si="134"/>
        <v>777.39855813445706</v>
      </c>
      <c r="Q469" s="712">
        <f t="shared" si="135"/>
        <v>764.00372492518341</v>
      </c>
      <c r="R469" s="712">
        <f t="shared" si="136"/>
        <v>754.37205217919859</v>
      </c>
      <c r="S469" s="712">
        <f t="shared" si="137"/>
        <v>748.5448222632906</v>
      </c>
      <c r="T469" s="712">
        <f t="shared" si="138"/>
        <v>746.54660298839644</v>
      </c>
    </row>
    <row r="470" spans="2:20">
      <c r="B470" s="582">
        <v>396</v>
      </c>
      <c r="C470" s="712">
        <f t="shared" si="123"/>
        <v>5.8787999663981143</v>
      </c>
      <c r="D470" s="712">
        <f t="shared" si="124"/>
        <v>1450.2099293630808</v>
      </c>
      <c r="E470" s="712">
        <f t="shared" si="125"/>
        <v>947.2131627290438</v>
      </c>
      <c r="F470" s="712">
        <f t="shared" si="126"/>
        <v>598.52156349969709</v>
      </c>
      <c r="G470" s="712">
        <f t="shared" si="127"/>
        <v>406.93403264935546</v>
      </c>
      <c r="H470" s="719">
        <f t="shared" si="128"/>
        <v>306.36956406192473</v>
      </c>
      <c r="I470" s="712">
        <f t="shared" si="129"/>
        <v>305.62400835269534</v>
      </c>
      <c r="J470" s="712">
        <f t="shared" si="130"/>
        <v>305.09928914559964</v>
      </c>
      <c r="K470" s="712">
        <f t="shared" si="131"/>
        <v>304.78726352334354</v>
      </c>
      <c r="L470" s="712">
        <f t="shared" si="132"/>
        <v>304.68301688971047</v>
      </c>
      <c r="N470" s="582">
        <v>396</v>
      </c>
      <c r="O470" s="712">
        <f t="shared" si="133"/>
        <v>5.8787999663981143</v>
      </c>
      <c r="P470" s="712">
        <f t="shared" si="134"/>
        <v>778.30869394499598</v>
      </c>
      <c r="Q470" s="712">
        <f t="shared" si="135"/>
        <v>764.92806184385336</v>
      </c>
      <c r="R470" s="712">
        <f t="shared" si="136"/>
        <v>755.30652919582189</v>
      </c>
      <c r="S470" s="712">
        <f t="shared" si="137"/>
        <v>749.48533381787252</v>
      </c>
      <c r="T470" s="712">
        <f t="shared" si="138"/>
        <v>747.48901700861779</v>
      </c>
    </row>
    <row r="471" spans="2:20">
      <c r="B471" s="582">
        <v>397</v>
      </c>
      <c r="C471" s="712">
        <f t="shared" si="123"/>
        <v>5.8936454208587152</v>
      </c>
      <c r="D471" s="712">
        <f t="shared" si="124"/>
        <v>1450.4134205829794</v>
      </c>
      <c r="E471" s="712">
        <f t="shared" si="125"/>
        <v>947.9229950597296</v>
      </c>
      <c r="F471" s="712">
        <f t="shared" si="126"/>
        <v>599.24427129291837</v>
      </c>
      <c r="G471" s="712">
        <f t="shared" si="127"/>
        <v>407.35275558338907</v>
      </c>
      <c r="H471" s="719">
        <f t="shared" si="128"/>
        <v>306.42659166320897</v>
      </c>
      <c r="I471" s="712">
        <f t="shared" si="129"/>
        <v>305.67825194233319</v>
      </c>
      <c r="J471" s="712">
        <f t="shared" si="130"/>
        <v>305.15153260817567</v>
      </c>
      <c r="K471" s="712">
        <f t="shared" si="131"/>
        <v>304.83829982434156</v>
      </c>
      <c r="L471" s="712">
        <f t="shared" si="132"/>
        <v>304.733644250993</v>
      </c>
      <c r="N471" s="582">
        <v>397</v>
      </c>
      <c r="O471" s="712">
        <f t="shared" si="133"/>
        <v>5.8936454208587152</v>
      </c>
      <c r="P471" s="712">
        <f t="shared" si="134"/>
        <v>779.21784758354795</v>
      </c>
      <c r="Q471" s="712">
        <f t="shared" si="135"/>
        <v>765.85140126542728</v>
      </c>
      <c r="R471" s="712">
        <f t="shared" si="136"/>
        <v>756.23999777267443</v>
      </c>
      <c r="S471" s="712">
        <f t="shared" si="137"/>
        <v>750.42483042051913</v>
      </c>
      <c r="T471" s="712">
        <f t="shared" si="138"/>
        <v>748.43041402386018</v>
      </c>
    </row>
    <row r="472" spans="2:20">
      <c r="B472" s="582">
        <v>398</v>
      </c>
      <c r="C472" s="712">
        <f t="shared" si="123"/>
        <v>5.9084908753193162</v>
      </c>
      <c r="D472" s="712">
        <f t="shared" si="124"/>
        <v>1450.6162212012446</v>
      </c>
      <c r="E472" s="712">
        <f t="shared" si="125"/>
        <v>948.63055735709702</v>
      </c>
      <c r="F472" s="712">
        <f t="shared" si="126"/>
        <v>599.96552147001148</v>
      </c>
      <c r="G472" s="712">
        <f t="shared" si="127"/>
        <v>407.77121303856256</v>
      </c>
      <c r="H472" s="719">
        <f t="shared" si="128"/>
        <v>306.48380855830067</v>
      </c>
      <c r="I472" s="712">
        <f t="shared" si="129"/>
        <v>305.73268807583645</v>
      </c>
      <c r="J472" s="712">
        <f t="shared" si="130"/>
        <v>305.2039708451386</v>
      </c>
      <c r="K472" s="712">
        <f t="shared" si="131"/>
        <v>304.8895321908393</v>
      </c>
      <c r="L472" s="712">
        <f t="shared" si="132"/>
        <v>304.78446807918709</v>
      </c>
      <c r="N472" s="582">
        <v>398</v>
      </c>
      <c r="O472" s="712">
        <f t="shared" si="133"/>
        <v>5.9084908753193162</v>
      </c>
      <c r="P472" s="712">
        <f t="shared" si="134"/>
        <v>780.12602011002275</v>
      </c>
      <c r="Q472" s="712">
        <f t="shared" si="135"/>
        <v>766.77374426635276</v>
      </c>
      <c r="R472" s="712">
        <f t="shared" si="136"/>
        <v>757.17245899801287</v>
      </c>
      <c r="S472" s="712">
        <f t="shared" si="137"/>
        <v>751.36331316651456</v>
      </c>
      <c r="T472" s="712">
        <f t="shared" si="138"/>
        <v>749.37079513162348</v>
      </c>
    </row>
    <row r="473" spans="2:20">
      <c r="B473" s="582">
        <v>399</v>
      </c>
      <c r="C473" s="712">
        <f t="shared" si="123"/>
        <v>5.923336329779918</v>
      </c>
      <c r="D473" s="712">
        <f t="shared" si="124"/>
        <v>1450.8183348402076</v>
      </c>
      <c r="E473" s="712">
        <f t="shared" si="125"/>
        <v>949.33586062409347</v>
      </c>
      <c r="F473" s="712">
        <f t="shared" si="126"/>
        <v>600.68531577775912</v>
      </c>
      <c r="G473" s="712">
        <f t="shared" si="127"/>
        <v>408.18940162286231</v>
      </c>
      <c r="H473" s="719">
        <f t="shared" si="128"/>
        <v>306.54121447056582</v>
      </c>
      <c r="I473" s="712">
        <f t="shared" si="129"/>
        <v>305.78731650277848</v>
      </c>
      <c r="J473" s="712">
        <f t="shared" si="130"/>
        <v>305.25660362574348</v>
      </c>
      <c r="K473" s="712">
        <f t="shared" si="131"/>
        <v>304.94096040430151</v>
      </c>
      <c r="L473" s="712">
        <f t="shared" si="132"/>
        <v>304.83548815991713</v>
      </c>
      <c r="N473" s="582">
        <v>399</v>
      </c>
      <c r="O473" s="712">
        <f t="shared" si="133"/>
        <v>5.923336329779918</v>
      </c>
      <c r="P473" s="712">
        <f t="shared" si="134"/>
        <v>781.03321258318636</v>
      </c>
      <c r="Q473" s="712">
        <f t="shared" si="135"/>
        <v>767.6950919219164</v>
      </c>
      <c r="R473" s="712">
        <f t="shared" si="136"/>
        <v>758.10391395891907</v>
      </c>
      <c r="S473" s="712">
        <f t="shared" si="137"/>
        <v>752.30078314996103</v>
      </c>
      <c r="T473" s="712">
        <f t="shared" si="138"/>
        <v>750.31016142822295</v>
      </c>
    </row>
    <row r="474" spans="2:20">
      <c r="B474" s="582">
        <v>400</v>
      </c>
      <c r="C474" s="712">
        <f t="shared" si="123"/>
        <v>5.9381817842405189</v>
      </c>
      <c r="D474" s="712">
        <f t="shared" si="124"/>
        <v>1451.0197650948851</v>
      </c>
      <c r="E474" s="712">
        <f t="shared" si="125"/>
        <v>950.03891578713433</v>
      </c>
      <c r="F474" s="712">
        <f t="shared" si="126"/>
        <v>601.40365598188453</v>
      </c>
      <c r="G474" s="712">
        <f t="shared" si="127"/>
        <v>408.60731798224532</v>
      </c>
      <c r="H474" s="719">
        <f t="shared" si="128"/>
        <v>306.59880912208371</v>
      </c>
      <c r="I474" s="712">
        <f t="shared" si="129"/>
        <v>305.84213697112995</v>
      </c>
      <c r="J474" s="712">
        <f t="shared" si="130"/>
        <v>305.30943071741007</v>
      </c>
      <c r="K474" s="712">
        <f t="shared" si="131"/>
        <v>304.99258424421544</v>
      </c>
      <c r="L474" s="712">
        <f t="shared" si="132"/>
        <v>304.88670427678284</v>
      </c>
      <c r="N474" s="582">
        <v>400</v>
      </c>
      <c r="O474" s="712">
        <f t="shared" si="133"/>
        <v>5.9381817842405189</v>
      </c>
      <c r="P474" s="712">
        <f t="shared" si="134"/>
        <v>781.93942606066196</v>
      </c>
      <c r="Q474" s="712">
        <f t="shared" si="135"/>
        <v>768.6154453062436</v>
      </c>
      <c r="R474" s="712">
        <f t="shared" si="136"/>
        <v>759.03436374130251</v>
      </c>
      <c r="S474" s="712">
        <f t="shared" si="137"/>
        <v>753.23724146378004</v>
      </c>
      <c r="T474" s="712">
        <f t="shared" si="138"/>
        <v>751.24851400879083</v>
      </c>
    </row>
    <row r="475" spans="2:20">
      <c r="B475" s="582">
        <v>401</v>
      </c>
      <c r="C475" s="712">
        <f t="shared" si="123"/>
        <v>5.9530272387011207</v>
      </c>
      <c r="D475" s="712">
        <f t="shared" si="124"/>
        <v>1451.2205155332435</v>
      </c>
      <c r="E475" s="712">
        <f t="shared" si="125"/>
        <v>950.73973369676821</v>
      </c>
      <c r="F475" s="712">
        <f t="shared" si="126"/>
        <v>602.1205438666999</v>
      </c>
      <c r="G475" s="712">
        <f t="shared" si="127"/>
        <v>409.02495880037145</v>
      </c>
      <c r="H475" s="719">
        <f t="shared" si="128"/>
        <v>306.65659223366515</v>
      </c>
      <c r="I475" s="712">
        <f t="shared" si="129"/>
        <v>305.89714922727899</v>
      </c>
      <c r="J475" s="712">
        <f t="shared" si="130"/>
        <v>305.36245188574503</v>
      </c>
      <c r="K475" s="712">
        <f t="shared" si="131"/>
        <v>305.04440348811454</v>
      </c>
      <c r="L475" s="712">
        <f t="shared" si="132"/>
        <v>304.93811621138263</v>
      </c>
      <c r="N475" s="582">
        <v>401</v>
      </c>
      <c r="O475" s="712">
        <f t="shared" si="133"/>
        <v>5.9530272387011207</v>
      </c>
      <c r="P475" s="712">
        <f t="shared" si="134"/>
        <v>782.84466159893179</v>
      </c>
      <c r="Q475" s="712">
        <f t="shared" si="135"/>
        <v>769.53480549230107</v>
      </c>
      <c r="R475" s="712">
        <f t="shared" si="136"/>
        <v>759.96380942990015</v>
      </c>
      <c r="S475" s="712">
        <f t="shared" si="137"/>
        <v>754.17268919971366</v>
      </c>
      <c r="T475" s="712">
        <f t="shared" si="138"/>
        <v>752.18585396727769</v>
      </c>
    </row>
    <row r="476" spans="2:20">
      <c r="B476" s="582">
        <v>402</v>
      </c>
      <c r="C476" s="712">
        <f t="shared" si="123"/>
        <v>5.9678726931617216</v>
      </c>
      <c r="D476" s="712">
        <f t="shared" si="124"/>
        <v>1451.4205896964618</v>
      </c>
      <c r="E476" s="712">
        <f t="shared" si="125"/>
        <v>951.43832512833603</v>
      </c>
      <c r="F476" s="712">
        <f t="shared" si="126"/>
        <v>602.83598123476008</v>
      </c>
      <c r="G476" s="712">
        <f t="shared" si="127"/>
        <v>409.44232079833574</v>
      </c>
      <c r="H476" s="719">
        <f t="shared" si="128"/>
        <v>306.7145635248711</v>
      </c>
      <c r="I476" s="712">
        <f t="shared" si="129"/>
        <v>305.95235301605192</v>
      </c>
      <c r="J476" s="712">
        <f t="shared" si="130"/>
        <v>305.41566689456397</v>
      </c>
      <c r="K476" s="712">
        <f t="shared" si="131"/>
        <v>305.09641791160112</v>
      </c>
      <c r="L476" s="712">
        <f t="shared" si="132"/>
        <v>304.98972374333698</v>
      </c>
      <c r="N476" s="582">
        <v>402</v>
      </c>
      <c r="O476" s="712">
        <f t="shared" si="133"/>
        <v>5.9678726931617216</v>
      </c>
      <c r="P476" s="712">
        <f t="shared" si="134"/>
        <v>783.74892025333759</v>
      </c>
      <c r="Q476" s="712">
        <f t="shared" si="135"/>
        <v>770.45317355189786</v>
      </c>
      <c r="R476" s="712">
        <f t="shared" si="136"/>
        <v>760.89225210827863</v>
      </c>
      <c r="S476" s="712">
        <f t="shared" si="137"/>
        <v>755.10712744832608</v>
      </c>
      <c r="T476" s="712">
        <f t="shared" si="138"/>
        <v>753.12218239645335</v>
      </c>
    </row>
    <row r="477" spans="2:20">
      <c r="B477" s="582">
        <v>403</v>
      </c>
      <c r="C477" s="712">
        <f t="shared" si="123"/>
        <v>5.9827181476223226</v>
      </c>
      <c r="D477" s="712">
        <f t="shared" si="124"/>
        <v>1451.6199910991897</v>
      </c>
      <c r="E477" s="712">
        <f t="shared" si="125"/>
        <v>952.1347007826239</v>
      </c>
      <c r="F477" s="712">
        <f t="shared" si="126"/>
        <v>603.54996990652057</v>
      </c>
      <c r="G477" s="712">
        <f t="shared" si="127"/>
        <v>409.85940073440241</v>
      </c>
      <c r="H477" s="719">
        <f t="shared" si="128"/>
        <v>306.77272271403035</v>
      </c>
      <c r="I477" s="712">
        <f t="shared" si="129"/>
        <v>306.00774808073339</v>
      </c>
      <c r="J477" s="712">
        <f t="shared" si="130"/>
        <v>305.46907550591322</v>
      </c>
      <c r="K477" s="712">
        <f t="shared" si="131"/>
        <v>305.14862728836931</v>
      </c>
      <c r="L477" s="712">
        <f t="shared" si="132"/>
        <v>305.04152665031171</v>
      </c>
      <c r="N477" s="582">
        <v>403</v>
      </c>
      <c r="O477" s="712">
        <f t="shared" si="133"/>
        <v>5.9827181476223226</v>
      </c>
      <c r="P477" s="712">
        <f t="shared" si="134"/>
        <v>784.65220307808261</v>
      </c>
      <c r="Q477" s="712">
        <f t="shared" si="135"/>
        <v>771.37055055568567</v>
      </c>
      <c r="R477" s="712">
        <f t="shared" si="136"/>
        <v>761.81969285883542</v>
      </c>
      <c r="S477" s="712">
        <f t="shared" si="137"/>
        <v>756.04055729900404</v>
      </c>
      <c r="T477" s="712">
        <f t="shared" si="138"/>
        <v>754.0575003879087</v>
      </c>
    </row>
    <row r="478" spans="2:20">
      <c r="B478" s="582">
        <v>404</v>
      </c>
      <c r="C478" s="712">
        <f t="shared" si="123"/>
        <v>5.9975636020829244</v>
      </c>
      <c r="D478" s="712">
        <f t="shared" si="124"/>
        <v>1451.8187232298033</v>
      </c>
      <c r="E478" s="712">
        <f t="shared" si="125"/>
        <v>952.8288712865093</v>
      </c>
      <c r="F478" s="712">
        <f t="shared" si="126"/>
        <v>604.26251172000127</v>
      </c>
      <c r="G478" s="712">
        <f t="shared" si="127"/>
        <v>410.27619540373951</v>
      </c>
      <c r="H478" s="719">
        <f t="shared" si="128"/>
        <v>306.83106951825772</v>
      </c>
      <c r="I478" s="712">
        <f t="shared" si="129"/>
        <v>306.06333416308672</v>
      </c>
      <c r="J478" s="712">
        <f t="shared" si="130"/>
        <v>305.52267748009194</v>
      </c>
      <c r="K478" s="712">
        <f t="shared" si="131"/>
        <v>305.2010313902278</v>
      </c>
      <c r="L478" s="712">
        <f t="shared" si="132"/>
        <v>305.09352470804106</v>
      </c>
      <c r="N478" s="582">
        <v>404</v>
      </c>
      <c r="O478" s="712">
        <f t="shared" si="133"/>
        <v>5.9975636020829244</v>
      </c>
      <c r="P478" s="712">
        <f t="shared" si="134"/>
        <v>785.55451112623211</v>
      </c>
      <c r="Q478" s="712">
        <f t="shared" si="135"/>
        <v>772.28693757316137</v>
      </c>
      <c r="R478" s="712">
        <f t="shared" si="136"/>
        <v>762.74613276279956</v>
      </c>
      <c r="S478" s="712">
        <f t="shared" si="137"/>
        <v>756.97297983995907</v>
      </c>
      <c r="T478" s="712">
        <f t="shared" si="138"/>
        <v>754.99180903205615</v>
      </c>
    </row>
    <row r="479" spans="2:20">
      <c r="B479" s="582">
        <v>405</v>
      </c>
      <c r="C479" s="712">
        <f t="shared" si="123"/>
        <v>6.0124090565435253</v>
      </c>
      <c r="D479" s="712">
        <f t="shared" si="124"/>
        <v>1452.0167895506565</v>
      </c>
      <c r="E479" s="712">
        <f t="shared" si="125"/>
        <v>953.52084719360039</v>
      </c>
      <c r="F479" s="712">
        <f t="shared" si="126"/>
        <v>604.97360853045393</v>
      </c>
      <c r="G479" s="712">
        <f t="shared" si="127"/>
        <v>410.69270163815474</v>
      </c>
      <c r="H479" s="719">
        <f t="shared" si="128"/>
        <v>306.88960365347162</v>
      </c>
      <c r="I479" s="712">
        <f t="shared" si="129"/>
        <v>306.11911100337369</v>
      </c>
      <c r="J479" s="712">
        <f t="shared" si="130"/>
        <v>305.57647257567328</v>
      </c>
      <c r="K479" s="712">
        <f t="shared" si="131"/>
        <v>305.25362998712245</v>
      </c>
      <c r="L479" s="712">
        <f t="shared" si="132"/>
        <v>305.1457176903503</v>
      </c>
      <c r="N479" s="582">
        <v>405</v>
      </c>
      <c r="O479" s="712">
        <f t="shared" si="133"/>
        <v>6.0124090565435253</v>
      </c>
      <c r="P479" s="712">
        <f t="shared" si="134"/>
        <v>786.4558454497153</v>
      </c>
      <c r="Q479" s="712">
        <f t="shared" si="135"/>
        <v>773.20233567266746</v>
      </c>
      <c r="R479" s="712">
        <f t="shared" si="136"/>
        <v>763.67157290023351</v>
      </c>
      <c r="S479" s="712">
        <f t="shared" si="137"/>
        <v>757.90439615822834</v>
      </c>
      <c r="T479" s="712">
        <f t="shared" si="138"/>
        <v>755.92510941813168</v>
      </c>
    </row>
    <row r="480" spans="2:20">
      <c r="B480" s="582">
        <v>406</v>
      </c>
      <c r="C480" s="712">
        <f t="shared" si="123"/>
        <v>6.0272545110041271</v>
      </c>
      <c r="D480" s="712">
        <f t="shared" si="124"/>
        <v>1452.2141934983326</v>
      </c>
      <c r="E480" s="712">
        <f t="shared" si="125"/>
        <v>954.2106389848708</v>
      </c>
      <c r="F480" s="712">
        <f t="shared" si="126"/>
        <v>605.68326221003588</v>
      </c>
      <c r="G480" s="712">
        <f t="shared" si="127"/>
        <v>411.10891630583205</v>
      </c>
      <c r="H480" s="719">
        <f t="shared" si="128"/>
        <v>306.94832483441184</v>
      </c>
      <c r="I480" s="712">
        <f t="shared" si="129"/>
        <v>306.17507834037445</v>
      </c>
      <c r="J480" s="712">
        <f t="shared" si="130"/>
        <v>305.63046054952611</v>
      </c>
      <c r="K480" s="712">
        <f t="shared" si="131"/>
        <v>305.3064228471585</v>
      </c>
      <c r="L480" s="712">
        <f t="shared" si="132"/>
        <v>305.19810536917879</v>
      </c>
      <c r="N480" s="582">
        <v>406</v>
      </c>
      <c r="O480" s="712">
        <f t="shared" si="133"/>
        <v>6.0272545110041271</v>
      </c>
      <c r="P480" s="712">
        <f t="shared" si="134"/>
        <v>787.35620709932584</v>
      </c>
      <c r="Q480" s="712">
        <f t="shared" si="135"/>
        <v>774.11674592139366</v>
      </c>
      <c r="R480" s="712">
        <f t="shared" si="136"/>
        <v>764.59601435003424</v>
      </c>
      <c r="S480" s="712">
        <f t="shared" si="137"/>
        <v>758.83480733967576</v>
      </c>
      <c r="T480" s="712">
        <f t="shared" si="138"/>
        <v>756.85740263419598</v>
      </c>
    </row>
    <row r="481" spans="2:20">
      <c r="B481" s="582">
        <v>407</v>
      </c>
      <c r="C481" s="712">
        <f t="shared" si="123"/>
        <v>6.0420999654647281</v>
      </c>
      <c r="D481" s="712">
        <f t="shared" si="124"/>
        <v>1452.4109384838887</v>
      </c>
      <c r="E481" s="712">
        <f t="shared" si="125"/>
        <v>954.89825706928616</v>
      </c>
      <c r="F481" s="712">
        <f t="shared" si="126"/>
        <v>606.39147464748737</v>
      </c>
      <c r="G481" s="712">
        <f t="shared" si="127"/>
        <v>411.52483631106912</v>
      </c>
      <c r="H481" s="719">
        <f t="shared" si="128"/>
        <v>307.00723277465721</v>
      </c>
      <c r="I481" s="712">
        <f t="shared" si="129"/>
        <v>306.23123591140734</v>
      </c>
      <c r="J481" s="712">
        <f t="shared" si="130"/>
        <v>305.68464115683616</v>
      </c>
      <c r="K481" s="712">
        <f t="shared" si="131"/>
        <v>305.35940973662304</v>
      </c>
      <c r="L481" s="712">
        <f t="shared" si="132"/>
        <v>305.25068751460225</v>
      </c>
      <c r="N481" s="582">
        <v>407</v>
      </c>
      <c r="O481" s="712">
        <f t="shared" si="133"/>
        <v>6.0420999654647281</v>
      </c>
      <c r="P481" s="712">
        <f t="shared" si="134"/>
        <v>788.25559712472375</v>
      </c>
      <c r="Q481" s="712">
        <f t="shared" si="135"/>
        <v>775.03016938537803</v>
      </c>
      <c r="R481" s="712">
        <f t="shared" si="136"/>
        <v>765.51945818993431</v>
      </c>
      <c r="S481" s="712">
        <f t="shared" si="137"/>
        <v>759.7642144689936</v>
      </c>
      <c r="T481" s="712">
        <f t="shared" si="138"/>
        <v>757.78868976713522</v>
      </c>
    </row>
    <row r="482" spans="2:20">
      <c r="B482" s="582">
        <v>408</v>
      </c>
      <c r="C482" s="712">
        <f t="shared" si="123"/>
        <v>6.0569454199253299</v>
      </c>
      <c r="D482" s="712">
        <f t="shared" si="124"/>
        <v>1452.607027893099</v>
      </c>
      <c r="E482" s="712">
        <f t="shared" si="125"/>
        <v>955.58371178442599</v>
      </c>
      <c r="F482" s="712">
        <f t="shared" si="126"/>
        <v>607.09824774781396</v>
      </c>
      <c r="G482" s="712">
        <f t="shared" si="127"/>
        <v>411.94045859401638</v>
      </c>
      <c r="H482" s="719">
        <f t="shared" si="128"/>
        <v>307.06632718664264</v>
      </c>
      <c r="I482" s="712">
        <f t="shared" si="129"/>
        <v>306.28758345234826</v>
      </c>
      <c r="J482" s="712">
        <f t="shared" si="130"/>
        <v>305.73901415112732</v>
      </c>
      <c r="K482" s="712">
        <f t="shared" si="131"/>
        <v>305.41259042000689</v>
      </c>
      <c r="L482" s="712">
        <f t="shared" si="132"/>
        <v>305.30346389485538</v>
      </c>
      <c r="N482" s="582">
        <v>408</v>
      </c>
      <c r="O482" s="712">
        <f t="shared" si="133"/>
        <v>6.0569454199253299</v>
      </c>
      <c r="P482" s="712">
        <f t="shared" si="134"/>
        <v>789.15401657443601</v>
      </c>
      <c r="Q482" s="712">
        <f t="shared" si="135"/>
        <v>775.94260712950802</v>
      </c>
      <c r="R482" s="712">
        <f t="shared" si="136"/>
        <v>766.4419054965033</v>
      </c>
      <c r="S482" s="712">
        <f t="shared" si="137"/>
        <v>760.69261862970359</v>
      </c>
      <c r="T482" s="712">
        <f t="shared" si="138"/>
        <v>758.71897190266282</v>
      </c>
    </row>
    <row r="483" spans="2:20">
      <c r="B483" s="582">
        <v>409</v>
      </c>
      <c r="C483" s="712">
        <f t="shared" si="123"/>
        <v>6.0717908743859308</v>
      </c>
      <c r="D483" s="712">
        <f t="shared" si="124"/>
        <v>1452.8024650866967</v>
      </c>
      <c r="E483" s="712">
        <f t="shared" si="125"/>
        <v>956.26701339709882</v>
      </c>
      <c r="F483" s="712">
        <f t="shared" si="126"/>
        <v>607.80358343197327</v>
      </c>
      <c r="G483" s="712">
        <f t="shared" si="127"/>
        <v>412.35578013041641</v>
      </c>
      <c r="H483" s="719">
        <f t="shared" si="128"/>
        <v>307.12560778167642</v>
      </c>
      <c r="I483" s="712">
        <f t="shared" si="129"/>
        <v>306.34412069765028</v>
      </c>
      <c r="J483" s="712">
        <f t="shared" si="130"/>
        <v>305.79357928428232</v>
      </c>
      <c r="K483" s="712">
        <f t="shared" si="131"/>
        <v>305.46596466002677</v>
      </c>
      <c r="L483" s="712">
        <f t="shared" si="132"/>
        <v>305.35643427635381</v>
      </c>
      <c r="N483" s="582">
        <v>409</v>
      </c>
      <c r="O483" s="712">
        <f t="shared" si="133"/>
        <v>6.0717908743859308</v>
      </c>
      <c r="P483" s="712">
        <f t="shared" si="134"/>
        <v>790.05146649585834</v>
      </c>
      <c r="Q483" s="712">
        <f t="shared" si="135"/>
        <v>776.85406021752215</v>
      </c>
      <c r="R483" s="712">
        <f t="shared" si="136"/>
        <v>767.36335734514864</v>
      </c>
      <c r="S483" s="712">
        <f t="shared" si="137"/>
        <v>761.62002090415808</v>
      </c>
      <c r="T483" s="712">
        <f t="shared" si="138"/>
        <v>759.6482501253206</v>
      </c>
    </row>
    <row r="484" spans="2:20">
      <c r="B484" s="582">
        <v>410</v>
      </c>
      <c r="C484" s="712">
        <f t="shared" si="123"/>
        <v>6.0866363288465317</v>
      </c>
      <c r="D484" s="712">
        <f t="shared" si="124"/>
        <v>1452.9972534006099</v>
      </c>
      <c r="E484" s="712">
        <f t="shared" si="125"/>
        <v>956.94817210395138</v>
      </c>
      <c r="F484" s="712">
        <f t="shared" si="126"/>
        <v>608.50748363656646</v>
      </c>
      <c r="G484" s="712">
        <f t="shared" si="127"/>
        <v>412.77079793134482</v>
      </c>
      <c r="H484" s="719">
        <f t="shared" si="128"/>
        <v>307.18507426995768</v>
      </c>
      <c r="I484" s="712">
        <f t="shared" si="129"/>
        <v>306.40084738036256</v>
      </c>
      <c r="J484" s="712">
        <f t="shared" si="130"/>
        <v>305.84833630656385</v>
      </c>
      <c r="K484" s="712">
        <f t="shared" si="131"/>
        <v>305.51953221764677</v>
      </c>
      <c r="L484" s="712">
        <f t="shared" si="132"/>
        <v>305.40959842371666</v>
      </c>
      <c r="N484" s="582">
        <v>410</v>
      </c>
      <c r="O484" s="712">
        <f t="shared" si="133"/>
        <v>6.0866363288465317</v>
      </c>
      <c r="P484" s="712">
        <f t="shared" si="134"/>
        <v>790.94794793525591</v>
      </c>
      <c r="Q484" s="712">
        <f t="shared" si="135"/>
        <v>777.76452971201104</v>
      </c>
      <c r="R484" s="712">
        <f t="shared" si="136"/>
        <v>768.28381481011797</v>
      </c>
      <c r="S484" s="712">
        <f t="shared" si="137"/>
        <v>762.5464223735413</v>
      </c>
      <c r="T484" s="712">
        <f t="shared" si="138"/>
        <v>760.57652551848003</v>
      </c>
    </row>
    <row r="485" spans="2:20">
      <c r="B485" s="582">
        <v>411</v>
      </c>
      <c r="C485" s="712">
        <f t="shared" si="123"/>
        <v>6.1014817833071335</v>
      </c>
      <c r="D485" s="712">
        <f t="shared" si="124"/>
        <v>1453.1913961461973</v>
      </c>
      <c r="E485" s="712">
        <f t="shared" si="125"/>
        <v>957.62719803207199</v>
      </c>
      <c r="F485" s="712">
        <f t="shared" si="126"/>
        <v>609.20995031353414</v>
      </c>
      <c r="G485" s="712">
        <f t="shared" si="127"/>
        <v>413.18550904295205</v>
      </c>
      <c r="H485" s="719">
        <f t="shared" si="128"/>
        <v>307.24472636059284</v>
      </c>
      <c r="I485" s="712">
        <f t="shared" si="129"/>
        <v>306.45776323214983</v>
      </c>
      <c r="J485" s="712">
        <f t="shared" si="130"/>
        <v>305.903284966635</v>
      </c>
      <c r="K485" s="712">
        <f t="shared" si="131"/>
        <v>305.57329285210022</v>
      </c>
      <c r="L485" s="712">
        <f t="shared" si="132"/>
        <v>305.46295609978796</v>
      </c>
      <c r="N485" s="582">
        <v>411</v>
      </c>
      <c r="O485" s="712">
        <f t="shared" si="133"/>
        <v>6.1014817833071335</v>
      </c>
      <c r="P485" s="712">
        <f t="shared" si="134"/>
        <v>791.84346193776503</v>
      </c>
      <c r="Q485" s="712">
        <f t="shared" si="135"/>
        <v>778.67401667441823</v>
      </c>
      <c r="R485" s="712">
        <f t="shared" si="136"/>
        <v>769.20327896449908</v>
      </c>
      <c r="S485" s="712">
        <f t="shared" si="137"/>
        <v>763.47182411787117</v>
      </c>
      <c r="T485" s="712">
        <f t="shared" si="138"/>
        <v>761.50379916434326</v>
      </c>
    </row>
    <row r="486" spans="2:20">
      <c r="B486" s="582">
        <v>412</v>
      </c>
      <c r="C486" s="712">
        <f t="shared" si="123"/>
        <v>6.1163272377677345</v>
      </c>
      <c r="D486" s="712">
        <f t="shared" si="124"/>
        <v>1453.3848966104804</v>
      </c>
      <c r="E486" s="712">
        <f t="shared" si="125"/>
        <v>958.30410123958848</v>
      </c>
      <c r="F486" s="712">
        <f t="shared" si="126"/>
        <v>609.91098542985651</v>
      </c>
      <c r="G486" s="712">
        <f t="shared" si="127"/>
        <v>413.59991054620616</v>
      </c>
      <c r="H486" s="719">
        <f t="shared" si="128"/>
        <v>307.30456376161271</v>
      </c>
      <c r="I486" s="712">
        <f t="shared" si="129"/>
        <v>306.51486798331121</v>
      </c>
      <c r="J486" s="712">
        <f t="shared" si="130"/>
        <v>305.95842501158</v>
      </c>
      <c r="K486" s="712">
        <f t="shared" si="131"/>
        <v>305.62724632091101</v>
      </c>
      <c r="L486" s="712">
        <f t="shared" si="132"/>
        <v>305.51650706565869</v>
      </c>
      <c r="N486" s="582">
        <v>412</v>
      </c>
      <c r="O486" s="712">
        <f t="shared" si="133"/>
        <v>6.1163272377677345</v>
      </c>
      <c r="P486" s="712">
        <f t="shared" si="134"/>
        <v>792.7380095473942</v>
      </c>
      <c r="Q486" s="712">
        <f t="shared" si="135"/>
        <v>779.58252216504206</v>
      </c>
      <c r="R486" s="712">
        <f t="shared" si="136"/>
        <v>770.12175088022218</v>
      </c>
      <c r="S486" s="712">
        <f t="shared" si="137"/>
        <v>764.39622721599949</v>
      </c>
      <c r="T486" s="712">
        <f t="shared" si="138"/>
        <v>762.4300721439447</v>
      </c>
    </row>
    <row r="487" spans="2:20">
      <c r="B487" s="582">
        <v>413</v>
      </c>
      <c r="C487" s="712">
        <f t="shared" si="123"/>
        <v>6.1311726922283363</v>
      </c>
      <c r="D487" s="712">
        <f t="shared" si="124"/>
        <v>1453.5777580563715</v>
      </c>
      <c r="E487" s="712">
        <f t="shared" si="125"/>
        <v>958.97889171625934</v>
      </c>
      <c r="F487" s="712">
        <f t="shared" si="126"/>
        <v>610.61059096725808</v>
      </c>
      <c r="G487" s="712">
        <f t="shared" si="127"/>
        <v>414.01399955663675</v>
      </c>
      <c r="H487" s="719">
        <f t="shared" si="128"/>
        <v>307.36458617998915</v>
      </c>
      <c r="I487" s="712">
        <f t="shared" si="129"/>
        <v>306.57216136279891</v>
      </c>
      <c r="J487" s="712">
        <f t="shared" si="130"/>
        <v>306.01375618692441</v>
      </c>
      <c r="K487" s="712">
        <f t="shared" si="131"/>
        <v>305.68139237991488</v>
      </c>
      <c r="L487" s="712">
        <f t="shared" si="132"/>
        <v>305.57025108068848</v>
      </c>
      <c r="N487" s="582">
        <v>413</v>
      </c>
      <c r="O487" s="712">
        <f t="shared" si="133"/>
        <v>6.1311726922283363</v>
      </c>
      <c r="P487" s="712">
        <f t="shared" si="134"/>
        <v>793.63159180702496</v>
      </c>
      <c r="Q487" s="712">
        <f t="shared" si="135"/>
        <v>780.49004724303677</v>
      </c>
      <c r="R487" s="712">
        <f t="shared" si="136"/>
        <v>771.03923162805995</v>
      </c>
      <c r="S487" s="712">
        <f t="shared" si="137"/>
        <v>765.3196327456144</v>
      </c>
      <c r="T487" s="712">
        <f t="shared" si="138"/>
        <v>763.35534553715229</v>
      </c>
    </row>
    <row r="488" spans="2:20">
      <c r="B488" s="582">
        <v>414</v>
      </c>
      <c r="C488" s="712">
        <f t="shared" si="123"/>
        <v>6.1460181466889372</v>
      </c>
      <c r="D488" s="712">
        <f t="shared" si="124"/>
        <v>1453.7699837229013</v>
      </c>
      <c r="E488" s="712">
        <f t="shared" si="125"/>
        <v>959.65157938405991</v>
      </c>
      <c r="F488" s="712">
        <f t="shared" si="126"/>
        <v>611.30876892191657</v>
      </c>
      <c r="G488" s="712">
        <f t="shared" si="127"/>
        <v>414.42777322407994</v>
      </c>
      <c r="H488" s="719">
        <f t="shared" si="128"/>
        <v>307.42479332165141</v>
      </c>
      <c r="I488" s="712">
        <f t="shared" si="129"/>
        <v>306.62964309823707</v>
      </c>
      <c r="J488" s="712">
        <f t="shared" si="130"/>
        <v>306.06927823665546</v>
      </c>
      <c r="K488" s="712">
        <f t="shared" si="131"/>
        <v>305.73573078328076</v>
      </c>
      <c r="L488" s="712">
        <f t="shared" si="132"/>
        <v>305.62418790252678</v>
      </c>
      <c r="N488" s="582">
        <v>414</v>
      </c>
      <c r="O488" s="712">
        <f t="shared" si="133"/>
        <v>6.1460181466889372</v>
      </c>
      <c r="P488" s="712">
        <f t="shared" si="134"/>
        <v>794.52420975841369</v>
      </c>
      <c r="Q488" s="712">
        <f t="shared" si="135"/>
        <v>781.39659296641355</v>
      </c>
      <c r="R488" s="712">
        <f t="shared" si="136"/>
        <v>771.95572227763046</v>
      </c>
      <c r="S488" s="712">
        <f t="shared" si="137"/>
        <v>766.24204178324055</v>
      </c>
      <c r="T488" s="712">
        <f t="shared" si="138"/>
        <v>764.27962042266847</v>
      </c>
    </row>
    <row r="489" spans="2:20">
      <c r="B489" s="582">
        <v>415</v>
      </c>
      <c r="C489" s="712">
        <f t="shared" si="123"/>
        <v>6.1608636011495381</v>
      </c>
      <c r="D489" s="712">
        <f t="shared" si="124"/>
        <v>1453.9615768254423</v>
      </c>
      <c r="E489" s="712">
        <f t="shared" si="125"/>
        <v>960.32217409776263</v>
      </c>
      <c r="F489" s="712">
        <f t="shared" si="126"/>
        <v>612.0055213041752</v>
      </c>
      <c r="G489" s="712">
        <f t="shared" si="127"/>
        <v>414.84122873242433</v>
      </c>
      <c r="H489" s="719">
        <f t="shared" si="128"/>
        <v>307.48518489150291</v>
      </c>
      <c r="I489" s="712">
        <f t="shared" si="129"/>
        <v>306.6873129159402</v>
      </c>
      <c r="J489" s="712">
        <f t="shared" si="130"/>
        <v>306.12499090324195</v>
      </c>
      <c r="K489" s="712">
        <f t="shared" si="131"/>
        <v>305.79026128353149</v>
      </c>
      <c r="L489" s="712">
        <f t="shared" si="132"/>
        <v>305.67831728713446</v>
      </c>
      <c r="N489" s="582">
        <v>415</v>
      </c>
      <c r="O489" s="712">
        <f t="shared" si="133"/>
        <v>6.1608636011495381</v>
      </c>
      <c r="P489" s="712">
        <f t="shared" si="134"/>
        <v>795.41586444219251</v>
      </c>
      <c r="Q489" s="712">
        <f t="shared" si="135"/>
        <v>782.30216039204163</v>
      </c>
      <c r="R489" s="712">
        <f t="shared" si="136"/>
        <v>772.87122389739693</v>
      </c>
      <c r="S489" s="712">
        <f t="shared" si="137"/>
        <v>767.16345540424118</v>
      </c>
      <c r="T489" s="712">
        <f t="shared" si="138"/>
        <v>765.20289787803154</v>
      </c>
    </row>
    <row r="490" spans="2:20">
      <c r="B490" s="582">
        <v>416</v>
      </c>
      <c r="C490" s="712">
        <f t="shared" si="123"/>
        <v>6.1757090556101399</v>
      </c>
      <c r="D490" s="712">
        <f t="shared" si="124"/>
        <v>1454.1525405559303</v>
      </c>
      <c r="E490" s="712">
        <f t="shared" si="125"/>
        <v>960.99068564551169</v>
      </c>
      <c r="F490" s="712">
        <f t="shared" si="126"/>
        <v>612.70085013826099</v>
      </c>
      <c r="G490" s="712">
        <f t="shared" si="127"/>
        <v>415.25436329935837</v>
      </c>
      <c r="H490" s="719">
        <f t="shared" si="128"/>
        <v>307.54576059343702</v>
      </c>
      <c r="I490" s="712">
        <f t="shared" si="129"/>
        <v>306.7451705409315</v>
      </c>
      <c r="J490" s="712">
        <f t="shared" si="130"/>
        <v>306.18089392765438</v>
      </c>
      <c r="K490" s="712">
        <f t="shared" si="131"/>
        <v>305.8449836315649</v>
      </c>
      <c r="L490" s="712">
        <f t="shared" si="132"/>
        <v>305.73263898880469</v>
      </c>
      <c r="N490" s="582">
        <v>416</v>
      </c>
      <c r="O490" s="712">
        <f t="shared" si="133"/>
        <v>6.1757090556101399</v>
      </c>
      <c r="P490" s="712">
        <f t="shared" si="134"/>
        <v>796.30655689787056</v>
      </c>
      <c r="Q490" s="712">
        <f t="shared" si="135"/>
        <v>783.20675057564995</v>
      </c>
      <c r="R490" s="712">
        <f t="shared" si="136"/>
        <v>773.78573755466982</v>
      </c>
      <c r="S490" s="712">
        <f t="shared" si="137"/>
        <v>768.0838746828191</v>
      </c>
      <c r="T490" s="712">
        <f t="shared" si="138"/>
        <v>766.12517897961709</v>
      </c>
    </row>
    <row r="491" spans="2:20">
      <c r="B491" s="582">
        <v>417</v>
      </c>
      <c r="C491" s="712">
        <f t="shared" si="123"/>
        <v>6.1905545100707409</v>
      </c>
      <c r="D491" s="712">
        <f t="shared" si="124"/>
        <v>1454.342878083083</v>
      </c>
      <c r="E491" s="712">
        <f t="shared" si="125"/>
        <v>961.65712374939187</v>
      </c>
      <c r="F491" s="712">
        <f t="shared" si="126"/>
        <v>613.39475746200537</v>
      </c>
      <c r="G491" s="712">
        <f t="shared" si="127"/>
        <v>415.66717417611829</v>
      </c>
      <c r="H491" s="719">
        <f t="shared" si="128"/>
        <v>307.6065201303536</v>
      </c>
      <c r="I491" s="712">
        <f t="shared" si="129"/>
        <v>306.80321569696127</v>
      </c>
      <c r="J491" s="712">
        <f t="shared" si="130"/>
        <v>306.23698704938454</v>
      </c>
      <c r="K491" s="712">
        <f t="shared" si="131"/>
        <v>305.89989757667428</v>
      </c>
      <c r="L491" s="712">
        <f t="shared" si="132"/>
        <v>305.78715276018426</v>
      </c>
      <c r="N491" s="582">
        <v>417</v>
      </c>
      <c r="O491" s="712">
        <f t="shared" si="133"/>
        <v>6.1905545100707409</v>
      </c>
      <c r="P491" s="712">
        <f t="shared" si="134"/>
        <v>797.19628816383511</v>
      </c>
      <c r="Q491" s="712">
        <f t="shared" si="135"/>
        <v>784.11036457182809</v>
      </c>
      <c r="R491" s="712">
        <f t="shared" si="136"/>
        <v>774.69926431560748</v>
      </c>
      <c r="S491" s="712">
        <f t="shared" si="137"/>
        <v>769.00330069201766</v>
      </c>
      <c r="T491" s="712">
        <f t="shared" si="138"/>
        <v>767.04646480263921</v>
      </c>
    </row>
    <row r="492" spans="2:20">
      <c r="B492" s="582">
        <v>418</v>
      </c>
      <c r="C492" s="712">
        <f t="shared" si="123"/>
        <v>6.2053999645313427</v>
      </c>
      <c r="D492" s="712">
        <f t="shared" si="124"/>
        <v>1454.5325925526156</v>
      </c>
      <c r="E492" s="712">
        <f t="shared" si="125"/>
        <v>962.3214980659925</v>
      </c>
      <c r="F492" s="712">
        <f t="shared" si="126"/>
        <v>614.08724532656925</v>
      </c>
      <c r="G492" s="712">
        <f t="shared" si="127"/>
        <v>416.07965864723798</v>
      </c>
      <c r="H492" s="719">
        <f t="shared" si="128"/>
        <v>307.66746320417474</v>
      </c>
      <c r="I492" s="712">
        <f t="shared" si="129"/>
        <v>306.86144810652496</v>
      </c>
      <c r="J492" s="712">
        <f t="shared" si="130"/>
        <v>306.29327000646515</v>
      </c>
      <c r="K492" s="712">
        <f t="shared" si="131"/>
        <v>305.95500286656926</v>
      </c>
      <c r="L492" s="712">
        <f t="shared" si="132"/>
        <v>305.84185835229408</v>
      </c>
      <c r="N492" s="582">
        <v>418</v>
      </c>
      <c r="O492" s="712">
        <f t="shared" si="133"/>
        <v>6.2053999645313427</v>
      </c>
      <c r="P492" s="712">
        <f t="shared" si="134"/>
        <v>798.08505927735291</v>
      </c>
      <c r="Q492" s="712">
        <f t="shared" si="135"/>
        <v>785.0130034340275</v>
      </c>
      <c r="R492" s="712">
        <f t="shared" si="136"/>
        <v>775.61180524521819</v>
      </c>
      <c r="S492" s="712">
        <f t="shared" si="137"/>
        <v>769.92173450372218</v>
      </c>
      <c r="T492" s="712">
        <f t="shared" si="138"/>
        <v>767.96675642115156</v>
      </c>
    </row>
    <row r="493" spans="2:20">
      <c r="B493" s="582">
        <v>419</v>
      </c>
      <c r="C493" s="712">
        <f t="shared" si="123"/>
        <v>6.2202454189919436</v>
      </c>
      <c r="D493" s="712">
        <f t="shared" si="124"/>
        <v>1454.7216870874556</v>
      </c>
      <c r="E493" s="712">
        <f t="shared" si="125"/>
        <v>962.98381818696521</v>
      </c>
      <c r="F493" s="712">
        <f t="shared" si="126"/>
        <v>614.77831579617259</v>
      </c>
      <c r="G493" s="712">
        <f t="shared" si="127"/>
        <v>416.49181403029883</v>
      </c>
      <c r="H493" s="719">
        <f t="shared" si="128"/>
        <v>307.7285895158609</v>
      </c>
      <c r="I493" s="712">
        <f t="shared" si="129"/>
        <v>306.9198674908809</v>
      </c>
      <c r="J493" s="712">
        <f t="shared" si="130"/>
        <v>306.3497425354895</v>
      </c>
      <c r="K493" s="712">
        <f t="shared" si="131"/>
        <v>306.01029924739572</v>
      </c>
      <c r="L493" s="712">
        <f t="shared" si="132"/>
        <v>305.89675551455019</v>
      </c>
      <c r="N493" s="582">
        <v>419</v>
      </c>
      <c r="O493" s="712">
        <f t="shared" si="133"/>
        <v>6.2202454189919436</v>
      </c>
      <c r="P493" s="712">
        <f t="shared" si="134"/>
        <v>798.97287127457128</v>
      </c>
      <c r="Q493" s="712">
        <f t="shared" si="135"/>
        <v>785.91466821456311</v>
      </c>
      <c r="R493" s="712">
        <f t="shared" si="136"/>
        <v>776.52336140736043</v>
      </c>
      <c r="S493" s="712">
        <f t="shared" si="137"/>
        <v>770.83917718866155</v>
      </c>
      <c r="T493" s="712">
        <f t="shared" si="138"/>
        <v>768.88605490804866</v>
      </c>
    </row>
    <row r="494" spans="2:20">
      <c r="B494" s="582">
        <v>420</v>
      </c>
      <c r="C494" s="712">
        <f t="shared" si="123"/>
        <v>6.2350908734525454</v>
      </c>
      <c r="D494" s="712">
        <f t="shared" si="124"/>
        <v>1454.9101647879536</v>
      </c>
      <c r="E494" s="712">
        <f t="shared" si="125"/>
        <v>963.64409363957668</v>
      </c>
      <c r="F494" s="712">
        <f t="shared" si="126"/>
        <v>615.46797094782778</v>
      </c>
      <c r="G494" s="712">
        <f t="shared" si="127"/>
        <v>416.90363767568169</v>
      </c>
      <c r="H494" s="719">
        <f t="shared" si="128"/>
        <v>307.78989876542641</v>
      </c>
      <c r="I494" s="712">
        <f t="shared" si="129"/>
        <v>306.97847357006856</v>
      </c>
      <c r="J494" s="712">
        <f t="shared" si="130"/>
        <v>306.40640437163063</v>
      </c>
      <c r="K494" s="712">
        <f t="shared" si="131"/>
        <v>306.06578646375658</v>
      </c>
      <c r="L494" s="712">
        <f t="shared" si="132"/>
        <v>305.95184399478399</v>
      </c>
      <c r="N494" s="582">
        <v>420</v>
      </c>
      <c r="O494" s="712">
        <f t="shared" si="133"/>
        <v>6.2350908734525454</v>
      </c>
      <c r="P494" s="712">
        <f t="shared" si="134"/>
        <v>799.85972519051973</v>
      </c>
      <c r="Q494" s="712">
        <f t="shared" si="135"/>
        <v>786.81535996461366</v>
      </c>
      <c r="R494" s="712">
        <f t="shared" si="136"/>
        <v>777.43393386474497</v>
      </c>
      <c r="S494" s="712">
        <f t="shared" si="137"/>
        <v>771.75562981640917</v>
      </c>
      <c r="T494" s="712">
        <f t="shared" si="138"/>
        <v>769.80436133506748</v>
      </c>
    </row>
    <row r="495" spans="2:20">
      <c r="B495" s="582">
        <v>421</v>
      </c>
      <c r="C495" s="712">
        <f t="shared" si="123"/>
        <v>6.2499363279131463</v>
      </c>
      <c r="D495" s="712">
        <f t="shared" si="124"/>
        <v>1455.0980287320915</v>
      </c>
      <c r="E495" s="712">
        <f t="shared" si="125"/>
        <v>964.30233388725605</v>
      </c>
      <c r="F495" s="712">
        <f t="shared" si="126"/>
        <v>616.15621287107638</v>
      </c>
      <c r="G495" s="712">
        <f t="shared" si="127"/>
        <v>417.31512696631967</v>
      </c>
      <c r="H495" s="719">
        <f t="shared" si="128"/>
        <v>307.85139065195517</v>
      </c>
      <c r="I495" s="712">
        <f t="shared" si="129"/>
        <v>307.03726606292571</v>
      </c>
      <c r="J495" s="712">
        <f t="shared" si="130"/>
        <v>306.46325524866052</v>
      </c>
      <c r="K495" s="712">
        <f t="shared" si="131"/>
        <v>306.12146425873141</v>
      </c>
      <c r="L495" s="712">
        <f t="shared" si="132"/>
        <v>306.00712353926298</v>
      </c>
      <c r="N495" s="582">
        <v>421</v>
      </c>
      <c r="O495" s="712">
        <f t="shared" si="133"/>
        <v>6.2499363279131463</v>
      </c>
      <c r="P495" s="712">
        <f t="shared" si="134"/>
        <v>800.74562205911013</v>
      </c>
      <c r="Q495" s="712">
        <f t="shared" si="135"/>
        <v>787.71507973422399</v>
      </c>
      <c r="R495" s="712">
        <f t="shared" si="136"/>
        <v>778.34352367893564</v>
      </c>
      <c r="S495" s="712">
        <f t="shared" si="137"/>
        <v>772.67109345538393</v>
      </c>
      <c r="T495" s="712">
        <f t="shared" si="138"/>
        <v>770.72167677278821</v>
      </c>
    </row>
    <row r="496" spans="2:20">
      <c r="B496" s="582">
        <v>422</v>
      </c>
      <c r="C496" s="712">
        <f t="shared" si="123"/>
        <v>6.2647817823737473</v>
      </c>
      <c r="D496" s="712">
        <f t="shared" si="124"/>
        <v>1455.2852819756899</v>
      </c>
      <c r="E496" s="712">
        <f t="shared" si="125"/>
        <v>964.95854833013698</v>
      </c>
      <c r="F496" s="712">
        <f t="shared" si="126"/>
        <v>616.8430436677296</v>
      </c>
      <c r="G496" s="712">
        <f t="shared" si="127"/>
        <v>417.72627931745177</v>
      </c>
      <c r="H496" s="719">
        <f t="shared" si="128"/>
        <v>307.91306487361601</v>
      </c>
      <c r="I496" s="712">
        <f t="shared" si="129"/>
        <v>307.09624468710638</v>
      </c>
      <c r="J496" s="712">
        <f t="shared" si="130"/>
        <v>306.52029489896904</v>
      </c>
      <c r="K496" s="712">
        <f t="shared" si="131"/>
        <v>306.17733237389666</v>
      </c>
      <c r="L496" s="712">
        <f t="shared" si="132"/>
        <v>306.06259389271082</v>
      </c>
      <c r="N496" s="582">
        <v>422</v>
      </c>
      <c r="O496" s="712">
        <f t="shared" si="133"/>
        <v>6.2647817823737473</v>
      </c>
      <c r="P496" s="712">
        <f t="shared" si="134"/>
        <v>801.63056291313933</v>
      </c>
      <c r="Q496" s="712">
        <f t="shared" si="135"/>
        <v>788.61382857230569</v>
      </c>
      <c r="R496" s="712">
        <f t="shared" si="136"/>
        <v>779.25213191035073</v>
      </c>
      <c r="S496" s="712">
        <f t="shared" si="137"/>
        <v>773.58556917285205</v>
      </c>
      <c r="T496" s="712">
        <f t="shared" si="138"/>
        <v>771.63800229063577</v>
      </c>
    </row>
    <row r="497" spans="2:20">
      <c r="B497" s="582">
        <v>423</v>
      </c>
      <c r="C497" s="712">
        <f t="shared" si="123"/>
        <v>6.2796272368343491</v>
      </c>
      <c r="D497" s="712">
        <f t="shared" si="124"/>
        <v>1455.4719275526115</v>
      </c>
      <c r="E497" s="712">
        <f t="shared" si="125"/>
        <v>965.61274630559456</v>
      </c>
      <c r="F497" s="712">
        <f t="shared" si="126"/>
        <v>617.52846545161333</v>
      </c>
      <c r="G497" s="712">
        <f t="shared" si="127"/>
        <v>418.13709217637796</v>
      </c>
      <c r="H497" s="719">
        <f t="shared" si="128"/>
        <v>307.97492112767821</v>
      </c>
      <c r="I497" s="712">
        <f t="shared" si="129"/>
        <v>307.15540915909799</v>
      </c>
      <c r="J497" s="712">
        <f t="shared" si="130"/>
        <v>306.57752305358315</v>
      </c>
      <c r="K497" s="712">
        <f t="shared" si="131"/>
        <v>306.2333905493453</v>
      </c>
      <c r="L497" s="712">
        <f t="shared" si="132"/>
        <v>306.11825479832731</v>
      </c>
      <c r="N497" s="582">
        <v>423</v>
      </c>
      <c r="O497" s="712">
        <f t="shared" si="133"/>
        <v>6.2796272368343491</v>
      </c>
      <c r="P497" s="712">
        <f t="shared" si="134"/>
        <v>802.5145487842891</v>
      </c>
      <c r="Q497" s="712">
        <f t="shared" si="135"/>
        <v>789.51160752663827</v>
      </c>
      <c r="R497" s="712">
        <f t="shared" si="136"/>
        <v>780.15975961826393</v>
      </c>
      <c r="S497" s="712">
        <f t="shared" si="137"/>
        <v>774.49905803492788</v>
      </c>
      <c r="T497" s="712">
        <f t="shared" si="138"/>
        <v>772.55333895688091</v>
      </c>
    </row>
    <row r="498" spans="2:20">
      <c r="B498" s="582">
        <v>424</v>
      </c>
      <c r="C498" s="712">
        <f t="shared" si="123"/>
        <v>6.29447269129495</v>
      </c>
      <c r="D498" s="712">
        <f t="shared" si="124"/>
        <v>1455.6579684749631</v>
      </c>
      <c r="E498" s="712">
        <f t="shared" si="125"/>
        <v>966.26493708877683</v>
      </c>
      <c r="F498" s="712">
        <f t="shared" si="126"/>
        <v>618.21248034831626</v>
      </c>
      <c r="G498" s="712">
        <f t="shared" si="127"/>
        <v>418.54756302221546</v>
      </c>
      <c r="H498" s="719">
        <f t="shared" si="128"/>
        <v>308.03695911052665</v>
      </c>
      <c r="I498" s="712">
        <f t="shared" si="129"/>
        <v>307.21475919423881</v>
      </c>
      <c r="J498" s="712">
        <f t="shared" si="130"/>
        <v>306.63493944218533</v>
      </c>
      <c r="K498" s="712">
        <f t="shared" si="131"/>
        <v>306.28963852370663</v>
      </c>
      <c r="L498" s="712">
        <f t="shared" si="132"/>
        <v>306.17410599780851</v>
      </c>
      <c r="N498" s="582">
        <v>424</v>
      </c>
      <c r="O498" s="712">
        <f t="shared" si="133"/>
        <v>6.29447269129495</v>
      </c>
      <c r="P498" s="712">
        <f t="shared" si="134"/>
        <v>803.39758070312826</v>
      </c>
      <c r="Q498" s="712">
        <f t="shared" si="135"/>
        <v>790.40841764387062</v>
      </c>
      <c r="R498" s="712">
        <f t="shared" si="136"/>
        <v>781.06640786080629</v>
      </c>
      <c r="S498" s="712">
        <f t="shared" si="137"/>
        <v>775.41156110657494</v>
      </c>
      <c r="T498" s="712">
        <f t="shared" si="138"/>
        <v>773.46768783864195</v>
      </c>
    </row>
    <row r="499" spans="2:20">
      <c r="B499" s="582">
        <v>425</v>
      </c>
      <c r="C499" s="712">
        <f t="shared" si="123"/>
        <v>6.3093181457555518</v>
      </c>
      <c r="D499" s="712">
        <f t="shared" si="124"/>
        <v>1455.8434077332956</v>
      </c>
      <c r="E499" s="712">
        <f t="shared" si="125"/>
        <v>966.91512989313128</v>
      </c>
      <c r="F499" s="712">
        <f t="shared" si="126"/>
        <v>618.895090494942</v>
      </c>
      <c r="G499" s="712">
        <f t="shared" si="127"/>
        <v>418.95768936565588</v>
      </c>
      <c r="H499" s="719">
        <f t="shared" si="128"/>
        <v>308.09917851767693</v>
      </c>
      <c r="I499" s="712">
        <f t="shared" si="129"/>
        <v>307.27429450673498</v>
      </c>
      <c r="J499" s="712">
        <f t="shared" si="130"/>
        <v>306.69254379313219</v>
      </c>
      <c r="K499" s="712">
        <f t="shared" si="131"/>
        <v>306.34607603416561</v>
      </c>
      <c r="L499" s="712">
        <f t="shared" si="132"/>
        <v>306.2301472313664</v>
      </c>
      <c r="N499" s="582">
        <v>425</v>
      </c>
      <c r="O499" s="712">
        <f t="shared" si="133"/>
        <v>6.3093181457555518</v>
      </c>
      <c r="P499" s="712">
        <f t="shared" si="134"/>
        <v>804.27965969911304</v>
      </c>
      <c r="Q499" s="712">
        <f t="shared" si="135"/>
        <v>791.30425996952238</v>
      </c>
      <c r="R499" s="712">
        <f t="shared" si="136"/>
        <v>781.97207769496652</v>
      </c>
      <c r="S499" s="712">
        <f t="shared" si="137"/>
        <v>776.32307945160801</v>
      </c>
      <c r="T499" s="712">
        <f t="shared" si="138"/>
        <v>774.38105000188511</v>
      </c>
    </row>
    <row r="500" spans="2:20">
      <c r="B500" s="582">
        <v>426</v>
      </c>
      <c r="C500" s="712">
        <f t="shared" si="123"/>
        <v>6.3241636002161528</v>
      </c>
      <c r="D500" s="712">
        <f t="shared" si="124"/>
        <v>1456.0282482968009</v>
      </c>
      <c r="E500" s="712">
        <f t="shared" si="125"/>
        <v>967.56333387092661</v>
      </c>
      <c r="F500" s="712">
        <f t="shared" si="126"/>
        <v>619.5762980398639</v>
      </c>
      <c r="G500" s="712">
        <f t="shared" si="127"/>
        <v>419.36746874872381</v>
      </c>
      <c r="H500" s="719">
        <f t="shared" si="128"/>
        <v>308.16157904379014</v>
      </c>
      <c r="I500" s="712">
        <f t="shared" si="129"/>
        <v>307.3340148096774</v>
      </c>
      <c r="J500" s="712">
        <f t="shared" si="130"/>
        <v>306.75033583347317</v>
      </c>
      <c r="K500" s="712">
        <f t="shared" si="131"/>
        <v>306.40270281648225</v>
      </c>
      <c r="L500" s="712">
        <f t="shared" si="132"/>
        <v>306.28637823774881</v>
      </c>
      <c r="N500" s="582">
        <v>426</v>
      </c>
      <c r="O500" s="712">
        <f t="shared" si="133"/>
        <v>6.3241636002161528</v>
      </c>
      <c r="P500" s="712">
        <f t="shared" si="134"/>
        <v>805.16078680058934</v>
      </c>
      <c r="Q500" s="712">
        <f t="shared" si="135"/>
        <v>792.1991355479845</v>
      </c>
      <c r="R500" s="712">
        <f t="shared" si="136"/>
        <v>782.87677017659291</v>
      </c>
      <c r="S500" s="712">
        <f t="shared" si="137"/>
        <v>777.23361413269367</v>
      </c>
      <c r="T500" s="712">
        <f t="shared" si="138"/>
        <v>775.29342651142667</v>
      </c>
    </row>
    <row r="501" spans="2:20">
      <c r="B501" s="582">
        <v>427</v>
      </c>
      <c r="C501" s="712">
        <f t="shared" si="123"/>
        <v>6.3390090546767537</v>
      </c>
      <c r="D501" s="712">
        <f t="shared" si="124"/>
        <v>1456.2124931135068</v>
      </c>
      <c r="E501" s="712">
        <f t="shared" si="125"/>
        <v>968.20955811376882</v>
      </c>
      <c r="F501" s="712">
        <f t="shared" si="126"/>
        <v>620.25610514248467</v>
      </c>
      <c r="G501" s="712">
        <f t="shared" si="127"/>
        <v>419.77689874453642</v>
      </c>
      <c r="H501" s="719">
        <f t="shared" si="128"/>
        <v>308.22416038268796</v>
      </c>
      <c r="I501" s="712">
        <f t="shared" si="129"/>
        <v>307.39391981505872</v>
      </c>
      <c r="J501" s="712">
        <f t="shared" si="130"/>
        <v>306.80831528896869</v>
      </c>
      <c r="K501" s="712">
        <f t="shared" si="131"/>
        <v>306.45951860501077</v>
      </c>
      <c r="L501" s="712">
        <f t="shared" si="132"/>
        <v>306.34279875425847</v>
      </c>
      <c r="N501" s="582">
        <v>427</v>
      </c>
      <c r="O501" s="712">
        <f t="shared" si="133"/>
        <v>6.3390090546767537</v>
      </c>
      <c r="P501" s="712">
        <f t="shared" si="134"/>
        <v>806.04096303479287</v>
      </c>
      <c r="Q501" s="712">
        <f t="shared" si="135"/>
        <v>793.09304542252107</v>
      </c>
      <c r="R501" s="712">
        <f t="shared" si="136"/>
        <v>783.78048636039443</v>
      </c>
      <c r="S501" s="712">
        <f t="shared" si="137"/>
        <v>778.14316621135163</v>
      </c>
      <c r="T501" s="712">
        <f t="shared" si="138"/>
        <v>776.20481843093353</v>
      </c>
    </row>
    <row r="502" spans="2:20">
      <c r="B502" s="582">
        <v>428</v>
      </c>
      <c r="C502" s="712">
        <f t="shared" si="123"/>
        <v>6.3538545091373555</v>
      </c>
      <c r="D502" s="712">
        <f t="shared" si="124"/>
        <v>1456.3961451104697</v>
      </c>
      <c r="E502" s="712">
        <f t="shared" si="125"/>
        <v>968.85381165311321</v>
      </c>
      <c r="F502" s="712">
        <f t="shared" si="126"/>
        <v>620.93451397299862</v>
      </c>
      <c r="G502" s="712">
        <f t="shared" si="127"/>
        <v>420.18597695706421</v>
      </c>
      <c r="H502" s="719">
        <f t="shared" si="128"/>
        <v>308.28692222736731</v>
      </c>
      <c r="I502" s="712">
        <f t="shared" si="129"/>
        <v>307.45400923379015</v>
      </c>
      <c r="J502" s="712">
        <f t="shared" si="130"/>
        <v>306.86648188410823</v>
      </c>
      <c r="K502" s="712">
        <f t="shared" si="131"/>
        <v>306.51652313271899</v>
      </c>
      <c r="L502" s="712">
        <f t="shared" si="132"/>
        <v>306.39940851677278</v>
      </c>
      <c r="N502" s="582">
        <v>428</v>
      </c>
      <c r="O502" s="712">
        <f t="shared" si="133"/>
        <v>6.3538545091373555</v>
      </c>
      <c r="P502" s="712">
        <f t="shared" si="134"/>
        <v>806.92018942785091</v>
      </c>
      <c r="Q502" s="712">
        <f t="shared" si="135"/>
        <v>793.98599063527047</v>
      </c>
      <c r="R502" s="712">
        <f t="shared" si="136"/>
        <v>784.68322729994156</v>
      </c>
      <c r="S502" s="712">
        <f t="shared" si="137"/>
        <v>779.05173674795628</v>
      </c>
      <c r="T502" s="712">
        <f t="shared" si="138"/>
        <v>777.1152268229248</v>
      </c>
    </row>
    <row r="503" spans="2:20">
      <c r="B503" s="582">
        <v>429</v>
      </c>
      <c r="C503" s="712">
        <f t="shared" si="123"/>
        <v>6.3686999635979564</v>
      </c>
      <c r="D503" s="712">
        <f t="shared" si="124"/>
        <v>1456.5792071939668</v>
      </c>
      <c r="E503" s="712">
        <f t="shared" si="125"/>
        <v>969.49610346077031</v>
      </c>
      <c r="F503" s="712">
        <f t="shared" si="126"/>
        <v>621.61152671215768</v>
      </c>
      <c r="G503" s="712">
        <f t="shared" si="127"/>
        <v>420.59470102089324</v>
      </c>
      <c r="H503" s="719">
        <f t="shared" si="128"/>
        <v>308.34986427001468</v>
      </c>
      <c r="I503" s="712">
        <f t="shared" si="129"/>
        <v>307.51428277571762</v>
      </c>
      <c r="J503" s="712">
        <f t="shared" si="130"/>
        <v>306.92483534212863</v>
      </c>
      <c r="K503" s="712">
        <f t="shared" si="131"/>
        <v>306.57371613120665</v>
      </c>
      <c r="L503" s="712">
        <f t="shared" si="132"/>
        <v>306.45620725976272</v>
      </c>
      <c r="N503" s="582">
        <v>429</v>
      </c>
      <c r="O503" s="712">
        <f t="shared" si="133"/>
        <v>6.3686999635979564</v>
      </c>
      <c r="P503" s="712">
        <f t="shared" si="134"/>
        <v>807.79846700478345</v>
      </c>
      <c r="Q503" s="712">
        <f t="shared" si="135"/>
        <v>794.87797222724623</v>
      </c>
      <c r="R503" s="712">
        <f t="shared" si="136"/>
        <v>785.58499404766792</v>
      </c>
      <c r="S503" s="712">
        <f t="shared" si="137"/>
        <v>779.95932680173746</v>
      </c>
      <c r="T503" s="712">
        <f t="shared" si="138"/>
        <v>778.02465274877329</v>
      </c>
    </row>
    <row r="504" spans="2:20">
      <c r="B504" s="582">
        <v>430</v>
      </c>
      <c r="C504" s="712">
        <f t="shared" si="123"/>
        <v>6.3835454180585582</v>
      </c>
      <c r="D504" s="712">
        <f t="shared" si="124"/>
        <v>1456.7616822496832</v>
      </c>
      <c r="E504" s="712">
        <f t="shared" si="125"/>
        <v>970.13644244940804</v>
      </c>
      <c r="F504" s="712">
        <f t="shared" si="126"/>
        <v>622.28714555104079</v>
      </c>
      <c r="G504" s="712">
        <f t="shared" si="127"/>
        <v>421.003068600988</v>
      </c>
      <c r="H504" s="719">
        <f t="shared" si="128"/>
        <v>308.41298620202099</v>
      </c>
      <c r="I504" s="712">
        <f t="shared" si="129"/>
        <v>307.57474014963884</v>
      </c>
      <c r="J504" s="712">
        <f t="shared" si="130"/>
        <v>306.98337538503176</v>
      </c>
      <c r="K504" s="712">
        <f t="shared" si="131"/>
        <v>306.63109733072474</v>
      </c>
      <c r="L504" s="712">
        <f t="shared" si="132"/>
        <v>306.513194716312</v>
      </c>
      <c r="N504" s="582">
        <v>430</v>
      </c>
      <c r="O504" s="712">
        <f t="shared" si="133"/>
        <v>6.3835454180585582</v>
      </c>
      <c r="P504" s="712">
        <f t="shared" si="134"/>
        <v>808.67579678950426</v>
      </c>
      <c r="Q504" s="712">
        <f t="shared" si="135"/>
        <v>795.76899123833857</v>
      </c>
      <c r="R504" s="712">
        <f t="shared" si="136"/>
        <v>786.48578765487161</v>
      </c>
      <c r="S504" s="712">
        <f t="shared" si="137"/>
        <v>780.86593743078197</v>
      </c>
      <c r="T504" s="712">
        <f t="shared" si="138"/>
        <v>778.93309726870598</v>
      </c>
    </row>
    <row r="505" spans="2:20">
      <c r="B505" s="582">
        <v>431</v>
      </c>
      <c r="C505" s="712">
        <f t="shared" si="123"/>
        <v>6.3983908725191592</v>
      </c>
      <c r="D505" s="712">
        <f t="shared" si="124"/>
        <v>1456.9435731428996</v>
      </c>
      <c r="E505" s="712">
        <f t="shared" si="125"/>
        <v>970.77483747304871</v>
      </c>
      <c r="F505" s="712">
        <f t="shared" si="126"/>
        <v>622.96137269082635</v>
      </c>
      <c r="G505" s="712">
        <f t="shared" si="127"/>
        <v>421.41107739245587</v>
      </c>
      <c r="H505" s="719">
        <f t="shared" si="128"/>
        <v>308.47628771399559</v>
      </c>
      <c r="I505" s="712">
        <f t="shared" si="129"/>
        <v>307.63538106331913</v>
      </c>
      <c r="J505" s="712">
        <f t="shared" si="130"/>
        <v>307.04210173360224</v>
      </c>
      <c r="K505" s="712">
        <f t="shared" si="131"/>
        <v>306.68866646019382</v>
      </c>
      <c r="L505" s="712">
        <f t="shared" si="132"/>
        <v>306.57037061813617</v>
      </c>
      <c r="N505" s="582">
        <v>431</v>
      </c>
      <c r="O505" s="712">
        <f t="shared" si="133"/>
        <v>6.3983908725191592</v>
      </c>
      <c r="P505" s="712">
        <f t="shared" si="134"/>
        <v>809.55217980482223</v>
      </c>
      <c r="Q505" s="712">
        <f t="shared" si="135"/>
        <v>796.65904870731561</v>
      </c>
      <c r="R505" s="712">
        <f t="shared" si="136"/>
        <v>787.38560917171617</v>
      </c>
      <c r="S505" s="712">
        <f t="shared" si="137"/>
        <v>781.7715696920352</v>
      </c>
      <c r="T505" s="712">
        <f t="shared" si="138"/>
        <v>779.8405614418059</v>
      </c>
    </row>
    <row r="506" spans="2:20">
      <c r="B506" s="582">
        <v>432</v>
      </c>
      <c r="C506" s="712">
        <f t="shared" si="123"/>
        <v>6.413236326979761</v>
      </c>
      <c r="D506" s="712">
        <f t="shared" si="124"/>
        <v>1457.124882718676</v>
      </c>
      <c r="E506" s="712">
        <f t="shared" si="125"/>
        <v>971.41129732756065</v>
      </c>
      <c r="F506" s="712">
        <f t="shared" si="126"/>
        <v>623.63421034256817</v>
      </c>
      <c r="G506" s="712">
        <f t="shared" si="127"/>
        <v>421.81872512031259</v>
      </c>
      <c r="H506" s="719">
        <f t="shared" si="128"/>
        <v>308.53976849578072</v>
      </c>
      <c r="I506" s="712">
        <f t="shared" si="129"/>
        <v>307.69620522350766</v>
      </c>
      <c r="J506" s="712">
        <f t="shared" si="130"/>
        <v>307.10101410742533</v>
      </c>
      <c r="K506" s="712">
        <f t="shared" si="131"/>
        <v>306.74642324722242</v>
      </c>
      <c r="L506" s="712">
        <f t="shared" si="132"/>
        <v>306.62773469560108</v>
      </c>
      <c r="N506" s="582">
        <v>432</v>
      </c>
      <c r="O506" s="712">
        <f t="shared" si="133"/>
        <v>6.413236326979761</v>
      </c>
      <c r="P506" s="712">
        <f t="shared" si="134"/>
        <v>810.42761707244233</v>
      </c>
      <c r="Q506" s="712">
        <f t="shared" si="135"/>
        <v>797.54814567182416</v>
      </c>
      <c r="R506" s="712">
        <f t="shared" si="136"/>
        <v>788.28445964723164</v>
      </c>
      <c r="S506" s="712">
        <f t="shared" si="137"/>
        <v>782.67622464130125</v>
      </c>
      <c r="T506" s="712">
        <f t="shared" si="138"/>
        <v>780.74704632601345</v>
      </c>
    </row>
    <row r="507" spans="2:20">
      <c r="B507" s="582">
        <v>433</v>
      </c>
      <c r="C507" s="712">
        <f t="shared" si="123"/>
        <v>6.4280817814403619</v>
      </c>
      <c r="D507" s="712">
        <f t="shared" si="124"/>
        <v>1457.3056138020345</v>
      </c>
      <c r="E507" s="712">
        <f t="shared" si="125"/>
        <v>972.04583075114624</v>
      </c>
      <c r="F507" s="712">
        <f t="shared" si="126"/>
        <v>624.30566072697525</v>
      </c>
      <c r="G507" s="712">
        <f t="shared" si="127"/>
        <v>422.22600953924933</v>
      </c>
      <c r="H507" s="719">
        <f t="shared" si="128"/>
        <v>308.60342823646545</v>
      </c>
      <c r="I507" s="712">
        <f t="shared" si="129"/>
        <v>307.7572123359538</v>
      </c>
      <c r="J507" s="712">
        <f t="shared" si="130"/>
        <v>307.16011222490408</v>
      </c>
      <c r="K507" s="712">
        <f t="shared" si="131"/>
        <v>306.80436741812571</v>
      </c>
      <c r="L507" s="712">
        <f t="shared" si="132"/>
        <v>306.68528667774177</v>
      </c>
      <c r="N507" s="582">
        <v>433</v>
      </c>
      <c r="O507" s="712">
        <f t="shared" si="133"/>
        <v>6.4280817814403619</v>
      </c>
      <c r="P507" s="712">
        <f t="shared" si="134"/>
        <v>811.30210961296723</v>
      </c>
      <c r="Q507" s="712">
        <f t="shared" si="135"/>
        <v>798.4362831683917</v>
      </c>
      <c r="R507" s="712">
        <f t="shared" si="136"/>
        <v>789.18234012931612</v>
      </c>
      <c r="S507" s="712">
        <f t="shared" si="137"/>
        <v>783.5799033332454</v>
      </c>
      <c r="T507" s="712">
        <f t="shared" si="138"/>
        <v>781.65255297812678</v>
      </c>
    </row>
    <row r="508" spans="2:20">
      <c r="B508" s="582">
        <v>434</v>
      </c>
      <c r="C508" s="712">
        <f t="shared" si="123"/>
        <v>6.4429272359009628</v>
      </c>
      <c r="D508" s="712">
        <f t="shared" si="124"/>
        <v>1457.4857691981401</v>
      </c>
      <c r="E508" s="712">
        <f t="shared" si="125"/>
        <v>972.67844642482441</v>
      </c>
      <c r="F508" s="712">
        <f t="shared" si="126"/>
        <v>624.9757260741934</v>
      </c>
      <c r="G508" s="712">
        <f t="shared" si="127"/>
        <v>422.63292843340014</v>
      </c>
      <c r="H508" s="719">
        <f t="shared" si="128"/>
        <v>308.66726662439959</v>
      </c>
      <c r="I508" s="712">
        <f t="shared" si="129"/>
        <v>307.81840210542276</v>
      </c>
      <c r="J508" s="712">
        <f t="shared" si="130"/>
        <v>307.21939580327688</v>
      </c>
      <c r="K508" s="712">
        <f t="shared" si="131"/>
        <v>306.86249869794358</v>
      </c>
      <c r="L508" s="712">
        <f t="shared" si="132"/>
        <v>306.7430262922806</v>
      </c>
      <c r="N508" s="582">
        <v>434</v>
      </c>
      <c r="O508" s="712">
        <f t="shared" si="133"/>
        <v>6.4429272359009628</v>
      </c>
      <c r="P508" s="712">
        <f t="shared" si="134"/>
        <v>812.17565844589797</v>
      </c>
      <c r="Q508" s="712">
        <f t="shared" si="135"/>
        <v>799.32346223242689</v>
      </c>
      <c r="R508" s="712">
        <f t="shared" si="136"/>
        <v>790.07925166473683</v>
      </c>
      <c r="S508" s="712">
        <f t="shared" si="137"/>
        <v>784.48260682139437</v>
      </c>
      <c r="T508" s="712">
        <f t="shared" si="138"/>
        <v>782.55708245380401</v>
      </c>
    </row>
    <row r="509" spans="2:20">
      <c r="B509" s="582">
        <v>435</v>
      </c>
      <c r="C509" s="712">
        <f t="shared" si="123"/>
        <v>6.4577726903615646</v>
      </c>
      <c r="D509" s="712">
        <f t="shared" si="124"/>
        <v>1457.6653516924791</v>
      </c>
      <c r="E509" s="712">
        <f t="shared" si="125"/>
        <v>973.30915297290915</v>
      </c>
      <c r="F509" s="712">
        <f t="shared" si="126"/>
        <v>625.64440862359129</v>
      </c>
      <c r="G509" s="712">
        <f t="shared" si="127"/>
        <v>423.03947961611129</v>
      </c>
      <c r="H509" s="719">
        <f t="shared" si="128"/>
        <v>308.73128334720781</v>
      </c>
      <c r="I509" s="712">
        <f t="shared" si="129"/>
        <v>307.87977423571135</v>
      </c>
      <c r="J509" s="712">
        <f t="shared" si="130"/>
        <v>307.27886455863472</v>
      </c>
      <c r="K509" s="712">
        <f t="shared" si="131"/>
        <v>306.9208168104584</v>
      </c>
      <c r="L509" s="712">
        <f t="shared" si="132"/>
        <v>306.80095326564623</v>
      </c>
      <c r="N509" s="582">
        <v>435</v>
      </c>
      <c r="O509" s="712">
        <f t="shared" si="133"/>
        <v>6.4577726903615646</v>
      </c>
      <c r="P509" s="712">
        <f t="shared" si="134"/>
        <v>813.04826458963544</v>
      </c>
      <c r="Q509" s="712">
        <f t="shared" si="135"/>
        <v>800.20968389822099</v>
      </c>
      <c r="R509" s="712">
        <f t="shared" si="136"/>
        <v>790.97519529913154</v>
      </c>
      <c r="S509" s="712">
        <f t="shared" si="137"/>
        <v>785.38433615813847</v>
      </c>
      <c r="T509" s="712">
        <f t="shared" si="138"/>
        <v>783.46063580756402</v>
      </c>
    </row>
    <row r="510" spans="2:20">
      <c r="B510" s="582">
        <v>436</v>
      </c>
      <c r="C510" s="712">
        <f t="shared" si="123"/>
        <v>6.4726181448221656</v>
      </c>
      <c r="D510" s="712">
        <f t="shared" si="124"/>
        <v>1457.8443640510361</v>
      </c>
      <c r="E510" s="712">
        <f t="shared" si="125"/>
        <v>973.93795896348229</v>
      </c>
      <c r="F510" s="712">
        <f t="shared" si="126"/>
        <v>626.31171062354895</v>
      </c>
      <c r="G510" s="712">
        <f t="shared" si="127"/>
        <v>423.44566092971166</v>
      </c>
      <c r="H510" s="719">
        <f t="shared" si="128"/>
        <v>308.79547809180309</v>
      </c>
      <c r="I510" s="712">
        <f t="shared" si="129"/>
        <v>307.941328429664</v>
      </c>
      <c r="J510" s="712">
        <f t="shared" si="130"/>
        <v>307.33851820593782</v>
      </c>
      <c r="K510" s="712">
        <f t="shared" si="131"/>
        <v>306.97932147821342</v>
      </c>
      <c r="L510" s="712">
        <f t="shared" si="132"/>
        <v>306.85906732299094</v>
      </c>
      <c r="N510" s="582">
        <v>436</v>
      </c>
      <c r="O510" s="712">
        <f t="shared" si="133"/>
        <v>6.4726181448221656</v>
      </c>
      <c r="P510" s="712">
        <f t="shared" si="134"/>
        <v>813.91992906148164</v>
      </c>
      <c r="Q510" s="712">
        <f t="shared" si="135"/>
        <v>801.09494919894928</v>
      </c>
      <c r="R510" s="712">
        <f t="shared" si="136"/>
        <v>791.87017207700956</v>
      </c>
      <c r="S510" s="712">
        <f t="shared" si="137"/>
        <v>786.28509239473181</v>
      </c>
      <c r="T510" s="712">
        <f t="shared" si="138"/>
        <v>784.36321409278753</v>
      </c>
    </row>
    <row r="511" spans="2:20">
      <c r="B511" s="582">
        <v>437</v>
      </c>
      <c r="C511" s="712">
        <f t="shared" si="123"/>
        <v>6.4874635992827674</v>
      </c>
      <c r="D511" s="712">
        <f t="shared" si="124"/>
        <v>1458.0228090204675</v>
      </c>
      <c r="E511" s="712">
        <f t="shared" si="125"/>
        <v>974.56487290886355</v>
      </c>
      <c r="F511" s="712">
        <f t="shared" si="126"/>
        <v>626.97763433124965</v>
      </c>
      <c r="G511" s="712">
        <f t="shared" si="127"/>
        <v>423.85147024528425</v>
      </c>
      <c r="H511" s="719">
        <f t="shared" si="128"/>
        <v>308.85985054440056</v>
      </c>
      <c r="I511" s="712">
        <f t="shared" si="129"/>
        <v>308.00306438918773</v>
      </c>
      <c r="J511" s="712">
        <f t="shared" si="130"/>
        <v>307.39835645903315</v>
      </c>
      <c r="K511" s="712">
        <f t="shared" si="131"/>
        <v>307.03801242253007</v>
      </c>
      <c r="L511" s="712">
        <f t="shared" si="132"/>
        <v>306.91736818820954</v>
      </c>
      <c r="N511" s="582">
        <v>437</v>
      </c>
      <c r="O511" s="712">
        <f t="shared" si="133"/>
        <v>6.4874635992827674</v>
      </c>
      <c r="P511" s="712">
        <f t="shared" si="134"/>
        <v>814.7906528776407</v>
      </c>
      <c r="Q511" s="712">
        <f t="shared" si="135"/>
        <v>801.97925916667202</v>
      </c>
      <c r="R511" s="712">
        <f t="shared" si="136"/>
        <v>792.76418304175274</v>
      </c>
      <c r="S511" s="712">
        <f t="shared" si="137"/>
        <v>787.18487658129447</v>
      </c>
      <c r="T511" s="712">
        <f t="shared" si="138"/>
        <v>785.26481836171843</v>
      </c>
    </row>
    <row r="512" spans="2:20">
      <c r="B512" s="582">
        <v>438</v>
      </c>
      <c r="C512" s="712">
        <f t="shared" si="123"/>
        <v>6.5023090537433683</v>
      </c>
      <c r="D512" s="712">
        <f t="shared" si="124"/>
        <v>1458.2006893282758</v>
      </c>
      <c r="E512" s="712">
        <f t="shared" si="125"/>
        <v>975.18990326607457</v>
      </c>
      <c r="F512" s="712">
        <f t="shared" si="126"/>
        <v>627.64218201247434</v>
      </c>
      <c r="G512" s="712">
        <f t="shared" si="127"/>
        <v>424.25690546243879</v>
      </c>
      <c r="H512" s="719">
        <f t="shared" si="128"/>
        <v>308.92440039053082</v>
      </c>
      <c r="I512" s="712">
        <f t="shared" si="129"/>
        <v>308.06498181526808</v>
      </c>
      <c r="J512" s="712">
        <f t="shared" si="130"/>
        <v>307.45837903067093</v>
      </c>
      <c r="K512" s="712">
        <f t="shared" si="131"/>
        <v>307.09688936352597</v>
      </c>
      <c r="L512" s="712">
        <f t="shared" si="132"/>
        <v>306.97585558395679</v>
      </c>
      <c r="N512" s="582">
        <v>438</v>
      </c>
      <c r="O512" s="712">
        <f t="shared" si="133"/>
        <v>6.5023090537433683</v>
      </c>
      <c r="P512" s="712">
        <f t="shared" si="134"/>
        <v>815.66043705322011</v>
      </c>
      <c r="Q512" s="712">
        <f t="shared" si="135"/>
        <v>802.86261483233557</v>
      </c>
      <c r="R512" s="712">
        <f t="shared" si="136"/>
        <v>793.65722923561725</v>
      </c>
      <c r="S512" s="712">
        <f t="shared" si="137"/>
        <v>788.08368976681288</v>
      </c>
      <c r="T512" s="712">
        <f t="shared" si="138"/>
        <v>786.16544966546576</v>
      </c>
    </row>
    <row r="513" spans="2:20">
      <c r="B513" s="582">
        <v>439</v>
      </c>
      <c r="C513" s="712">
        <f t="shared" si="123"/>
        <v>6.5171545082039692</v>
      </c>
      <c r="D513" s="712">
        <f t="shared" si="124"/>
        <v>1458.3780076829801</v>
      </c>
      <c r="E513" s="712">
        <f t="shared" si="125"/>
        <v>975.81305843729933</v>
      </c>
      <c r="F513" s="712">
        <f t="shared" si="126"/>
        <v>628.30535594139985</v>
      </c>
      <c r="G513" s="712">
        <f t="shared" si="127"/>
        <v>424.66196450908586</v>
      </c>
      <c r="H513" s="719">
        <f t="shared" si="128"/>
        <v>308.98912731505322</v>
      </c>
      <c r="I513" s="712">
        <f t="shared" si="129"/>
        <v>308.12708040798418</v>
      </c>
      <c r="J513" s="712">
        <f t="shared" si="130"/>
        <v>307.51858563252108</v>
      </c>
      <c r="K513" s="712">
        <f t="shared" si="131"/>
        <v>307.15595202013236</v>
      </c>
      <c r="L513" s="712">
        <f t="shared" si="132"/>
        <v>307.0345292316652</v>
      </c>
      <c r="N513" s="582">
        <v>439</v>
      </c>
      <c r="O513" s="712">
        <f t="shared" si="133"/>
        <v>6.5171545082039692</v>
      </c>
      <c r="P513" s="712">
        <f t="shared" si="134"/>
        <v>816.52928260223177</v>
      </c>
      <c r="Q513" s="712">
        <f t="shared" si="135"/>
        <v>803.74501722577395</v>
      </c>
      <c r="R513" s="712">
        <f t="shared" si="136"/>
        <v>794.54931169973452</v>
      </c>
      <c r="S513" s="712">
        <f t="shared" si="137"/>
        <v>788.98153299914168</v>
      </c>
      <c r="T513" s="712">
        <f t="shared" si="138"/>
        <v>787.06510905400319</v>
      </c>
    </row>
    <row r="514" spans="2:20">
      <c r="B514" s="582">
        <v>440</v>
      </c>
      <c r="C514" s="712">
        <f t="shared" si="123"/>
        <v>6.5319999626645711</v>
      </c>
      <c r="D514" s="712">
        <f t="shared" si="124"/>
        <v>1458.5547667742846</v>
      </c>
      <c r="E514" s="712">
        <f t="shared" si="125"/>
        <v>976.43434677033997</v>
      </c>
      <c r="F514" s="712">
        <f t="shared" si="126"/>
        <v>628.9671584003994</v>
      </c>
      <c r="G514" s="712">
        <f t="shared" si="127"/>
        <v>425.06664534121194</v>
      </c>
      <c r="H514" s="719">
        <f t="shared" si="128"/>
        <v>309.05403100216961</v>
      </c>
      <c r="I514" s="712">
        <f t="shared" si="129"/>
        <v>308.18935986652366</v>
      </c>
      <c r="J514" s="712">
        <f t="shared" si="130"/>
        <v>307.57897597519019</v>
      </c>
      <c r="K514" s="712">
        <f t="shared" si="131"/>
        <v>307.21520011011114</v>
      </c>
      <c r="L514" s="712">
        <f t="shared" si="132"/>
        <v>307.09338885156302</v>
      </c>
      <c r="N514" s="582">
        <v>440</v>
      </c>
      <c r="O514" s="712">
        <f t="shared" si="133"/>
        <v>6.5319999626645711</v>
      </c>
      <c r="P514" s="712">
        <f t="shared" si="134"/>
        <v>817.39719053759359</v>
      </c>
      <c r="Q514" s="712">
        <f t="shared" si="135"/>
        <v>804.62646737570981</v>
      </c>
      <c r="R514" s="712">
        <f t="shared" si="136"/>
        <v>795.4404314741123</v>
      </c>
      <c r="S514" s="712">
        <f t="shared" si="137"/>
        <v>789.8784073250049</v>
      </c>
      <c r="T514" s="712">
        <f t="shared" si="138"/>
        <v>787.96379757617206</v>
      </c>
    </row>
    <row r="515" spans="2:20">
      <c r="B515" s="582">
        <v>441</v>
      </c>
      <c r="C515" s="712">
        <f t="shared" si="123"/>
        <v>6.546845417125172</v>
      </c>
      <c r="D515" s="712">
        <f t="shared" si="124"/>
        <v>1458.7309692732467</v>
      </c>
      <c r="E515" s="712">
        <f t="shared" si="125"/>
        <v>977.05377655906807</v>
      </c>
      <c r="F515" s="712">
        <f t="shared" si="126"/>
        <v>629.62759167984609</v>
      </c>
      <c r="G515" s="712">
        <f t="shared" si="127"/>
        <v>425.4709459426557</v>
      </c>
      <c r="H515" s="719">
        <f t="shared" si="128"/>
        <v>309.11911113543681</v>
      </c>
      <c r="I515" s="712">
        <f t="shared" si="129"/>
        <v>308.25181988919815</v>
      </c>
      <c r="J515" s="712">
        <f t="shared" si="130"/>
        <v>307.6395497682376</v>
      </c>
      <c r="K515" s="712">
        <f t="shared" si="131"/>
        <v>307.27463335007258</v>
      </c>
      <c r="L515" s="712">
        <f t="shared" si="132"/>
        <v>307.15243416269124</v>
      </c>
      <c r="N515" s="582">
        <v>441</v>
      </c>
      <c r="O515" s="712">
        <f t="shared" si="133"/>
        <v>6.546845417125172</v>
      </c>
      <c r="P515" s="712">
        <f t="shared" si="134"/>
        <v>818.26416187113023</v>
      </c>
      <c r="Q515" s="712">
        <f t="shared" si="135"/>
        <v>805.5069663097554</v>
      </c>
      <c r="R515" s="712">
        <f t="shared" si="136"/>
        <v>796.33058959763616</v>
      </c>
      <c r="S515" s="712">
        <f t="shared" si="137"/>
        <v>790.77431378999677</v>
      </c>
      <c r="T515" s="712">
        <f t="shared" si="138"/>
        <v>788.86151627968184</v>
      </c>
    </row>
    <row r="516" spans="2:20">
      <c r="B516" s="582">
        <v>442</v>
      </c>
      <c r="C516" s="712">
        <f t="shared" si="123"/>
        <v>6.5616908715857738</v>
      </c>
      <c r="D516" s="712">
        <f t="shared" si="124"/>
        <v>1458.9066178324424</v>
      </c>
      <c r="E516" s="712">
        <f t="shared" si="125"/>
        <v>977.67135604387215</v>
      </c>
      <c r="F516" s="712">
        <f t="shared" si="126"/>
        <v>630.28665807791913</v>
      </c>
      <c r="G516" s="712">
        <f t="shared" si="127"/>
        <v>425.87486432488578</v>
      </c>
      <c r="H516" s="719">
        <f t="shared" si="128"/>
        <v>309.18436739778031</v>
      </c>
      <c r="I516" s="712">
        <f t="shared" si="129"/>
        <v>308.31446017345786</v>
      </c>
      <c r="J516" s="712">
        <f t="shared" si="130"/>
        <v>307.70030672019175</v>
      </c>
      <c r="K516" s="712">
        <f t="shared" si="131"/>
        <v>307.33425145549205</v>
      </c>
      <c r="L516" s="712">
        <f t="shared" si="132"/>
        <v>307.21166488292135</v>
      </c>
      <c r="N516" s="582">
        <v>442</v>
      </c>
      <c r="O516" s="712">
        <f t="shared" si="133"/>
        <v>6.5616908715857738</v>
      </c>
      <c r="P516" s="712">
        <f t="shared" si="134"/>
        <v>819.1301976135743</v>
      </c>
      <c r="Q516" s="712">
        <f t="shared" si="135"/>
        <v>806.38651505441442</v>
      </c>
      <c r="R516" s="712">
        <f t="shared" si="136"/>
        <v>797.21978710807048</v>
      </c>
      <c r="S516" s="712">
        <f t="shared" si="137"/>
        <v>791.66925343858316</v>
      </c>
      <c r="T516" s="712">
        <f t="shared" si="138"/>
        <v>789.75826621111105</v>
      </c>
    </row>
    <row r="517" spans="2:20">
      <c r="B517" s="582">
        <v>443</v>
      </c>
      <c r="C517" s="712">
        <f t="shared" si="123"/>
        <v>6.5765363260463747</v>
      </c>
      <c r="D517" s="712">
        <f t="shared" si="124"/>
        <v>1459.0817150861299</v>
      </c>
      <c r="E517" s="712">
        <f t="shared" si="125"/>
        <v>978.2870934121006</v>
      </c>
      <c r="F517" s="712">
        <f t="shared" si="126"/>
        <v>630.94435990041359</v>
      </c>
      <c r="G517" s="712">
        <f t="shared" si="127"/>
        <v>426.27839852677948</v>
      </c>
      <c r="H517" s="719">
        <f t="shared" si="128"/>
        <v>309.24979947150661</v>
      </c>
      <c r="I517" s="712">
        <f t="shared" si="129"/>
        <v>308.3772804159064</v>
      </c>
      <c r="J517" s="712">
        <f t="shared" si="130"/>
        <v>307.7612465385663</v>
      </c>
      <c r="K517" s="712">
        <f t="shared" si="131"/>
        <v>307.39405414072712</v>
      </c>
      <c r="L517" s="712">
        <f t="shared" si="132"/>
        <v>307.27108072897244</v>
      </c>
      <c r="N517" s="582">
        <v>443</v>
      </c>
      <c r="O517" s="712">
        <f t="shared" si="133"/>
        <v>6.5765363260463747</v>
      </c>
      <c r="P517" s="712">
        <f t="shared" si="134"/>
        <v>819.99529877456791</v>
      </c>
      <c r="Q517" s="712">
        <f t="shared" si="135"/>
        <v>807.26511463508257</v>
      </c>
      <c r="R517" s="712">
        <f t="shared" si="136"/>
        <v>798.10802504205958</v>
      </c>
      <c r="S517" s="712">
        <f t="shared" si="137"/>
        <v>792.56322731410273</v>
      </c>
      <c r="T517" s="712">
        <f t="shared" si="138"/>
        <v>790.65404841590907</v>
      </c>
    </row>
    <row r="518" spans="2:20">
      <c r="B518" s="582">
        <v>444</v>
      </c>
      <c r="C518" s="712">
        <f t="shared" si="123"/>
        <v>6.5913817805069765</v>
      </c>
      <c r="D518" s="712">
        <f t="shared" si="124"/>
        <v>1459.2562636504113</v>
      </c>
      <c r="E518" s="712">
        <f t="shared" si="125"/>
        <v>978.90099679850016</v>
      </c>
      <c r="F518" s="712">
        <f t="shared" si="126"/>
        <v>631.60069946055194</v>
      </c>
      <c r="G518" s="712">
        <f t="shared" si="127"/>
        <v>426.68154661440281</v>
      </c>
      <c r="H518" s="719">
        <f t="shared" si="128"/>
        <v>309.31540703831632</v>
      </c>
      <c r="I518" s="712">
        <f t="shared" si="129"/>
        <v>308.44028031231539</v>
      </c>
      <c r="J518" s="712">
        <f t="shared" si="130"/>
        <v>307.82236892987623</v>
      </c>
      <c r="K518" s="712">
        <f t="shared" si="131"/>
        <v>307.4540411190344</v>
      </c>
      <c r="L518" s="712">
        <f t="shared" si="132"/>
        <v>307.33068141642821</v>
      </c>
      <c r="N518" s="582">
        <v>444</v>
      </c>
      <c r="O518" s="712">
        <f t="shared" si="133"/>
        <v>6.5913817805069765</v>
      </c>
      <c r="P518" s="712">
        <f t="shared" si="134"/>
        <v>820.85946636266351</v>
      </c>
      <c r="Q518" s="712">
        <f t="shared" si="135"/>
        <v>808.14276607604893</v>
      </c>
      <c r="R518" s="712">
        <f t="shared" si="136"/>
        <v>798.99530443512958</v>
      </c>
      <c r="S518" s="712">
        <f t="shared" si="137"/>
        <v>793.45623645876856</v>
      </c>
      <c r="T518" s="712">
        <f t="shared" si="138"/>
        <v>791.54886393839672</v>
      </c>
    </row>
    <row r="519" spans="2:20">
      <c r="B519" s="582">
        <v>445</v>
      </c>
      <c r="C519" s="712">
        <f t="shared" si="123"/>
        <v>6.6062272349675775</v>
      </c>
      <c r="D519" s="712">
        <f t="shared" si="124"/>
        <v>1459.4302661233942</v>
      </c>
      <c r="E519" s="712">
        <f t="shared" si="125"/>
        <v>979.51307428565076</v>
      </c>
      <c r="F519" s="712">
        <f t="shared" si="126"/>
        <v>632.25567907879929</v>
      </c>
      <c r="G519" s="712">
        <f t="shared" si="127"/>
        <v>427.08430668079166</v>
      </c>
      <c r="H519" s="719">
        <f t="shared" si="128"/>
        <v>309.38118977931697</v>
      </c>
      <c r="I519" s="712">
        <f t="shared" si="129"/>
        <v>308.50345955763908</v>
      </c>
      <c r="J519" s="712">
        <f t="shared" si="130"/>
        <v>307.88367359965355</v>
      </c>
      <c r="K519" s="712">
        <f t="shared" si="131"/>
        <v>307.5142121025861</v>
      </c>
      <c r="L519" s="712">
        <f t="shared" si="132"/>
        <v>307.39046665975405</v>
      </c>
      <c r="N519" s="582">
        <v>445</v>
      </c>
      <c r="O519" s="712">
        <f t="shared" si="133"/>
        <v>6.6062272349675775</v>
      </c>
      <c r="P519" s="712">
        <f t="shared" si="134"/>
        <v>821.72270138532519</v>
      </c>
      <c r="Q519" s="712">
        <f t="shared" si="135"/>
        <v>809.01947040049765</v>
      </c>
      <c r="R519" s="712">
        <f t="shared" si="136"/>
        <v>799.88162632168849</v>
      </c>
      <c r="S519" s="712">
        <f t="shared" si="137"/>
        <v>794.34828191366864</v>
      </c>
      <c r="T519" s="712">
        <f t="shared" si="138"/>
        <v>792.44271382176817</v>
      </c>
    </row>
    <row r="520" spans="2:20">
      <c r="B520" s="582">
        <v>446</v>
      </c>
      <c r="C520" s="712">
        <f t="shared" si="123"/>
        <v>6.6210726894281784</v>
      </c>
      <c r="D520" s="712">
        <f t="shared" si="124"/>
        <v>1459.603725085349</v>
      </c>
      <c r="E520" s="712">
        <f t="shared" si="125"/>
        <v>980.12333390439596</v>
      </c>
      <c r="F520" s="712">
        <f t="shared" si="126"/>
        <v>632.90930108268049</v>
      </c>
      <c r="G520" s="712">
        <f t="shared" si="127"/>
        <v>427.48667684573422</v>
      </c>
      <c r="H520" s="719">
        <f t="shared" si="128"/>
        <v>309.44714737503512</v>
      </c>
      <c r="I520" s="712">
        <f t="shared" si="129"/>
        <v>308.56681784602881</v>
      </c>
      <c r="J520" s="712">
        <f t="shared" si="130"/>
        <v>307.9451602524631</v>
      </c>
      <c r="K520" s="712">
        <f t="shared" si="131"/>
        <v>307.57456680248674</v>
      </c>
      <c r="L520" s="712">
        <f t="shared" si="132"/>
        <v>307.4504361723138</v>
      </c>
      <c r="N520" s="582">
        <v>446</v>
      </c>
      <c r="O520" s="712">
        <f t="shared" si="133"/>
        <v>6.6210726894281784</v>
      </c>
      <c r="P520" s="712">
        <f t="shared" si="134"/>
        <v>822.58500484892988</v>
      </c>
      <c r="Q520" s="712">
        <f t="shared" si="135"/>
        <v>809.89522863050809</v>
      </c>
      <c r="R520" s="712">
        <f t="shared" si="136"/>
        <v>800.76699173502834</v>
      </c>
      <c r="S520" s="712">
        <f t="shared" si="137"/>
        <v>795.23936471876777</v>
      </c>
      <c r="T520" s="712">
        <f t="shared" si="138"/>
        <v>793.33559910809186</v>
      </c>
    </row>
    <row r="521" spans="2:20">
      <c r="B521" s="582">
        <v>447</v>
      </c>
      <c r="C521" s="712">
        <f t="shared" si="123"/>
        <v>6.6359181438887802</v>
      </c>
      <c r="D521" s="712">
        <f t="shared" si="124"/>
        <v>1459.7766430988668</v>
      </c>
      <c r="E521" s="712">
        <f t="shared" si="125"/>
        <v>980.73178363426939</v>
      </c>
      <c r="F521" s="712">
        <f t="shared" si="126"/>
        <v>633.56156780660024</v>
      </c>
      <c r="G521" s="712">
        <f t="shared" si="127"/>
        <v>427.88865525555497</v>
      </c>
      <c r="H521" s="719">
        <f t="shared" si="128"/>
        <v>309.5132795054293</v>
      </c>
      <c r="I521" s="712">
        <f t="shared" si="129"/>
        <v>308.63035487084721</v>
      </c>
      <c r="J521" s="712">
        <f t="shared" si="130"/>
        <v>308.00682859191818</v>
      </c>
      <c r="K521" s="712">
        <f t="shared" si="131"/>
        <v>307.63510492878942</v>
      </c>
      <c r="L521" s="712">
        <f t="shared" si="132"/>
        <v>307.51058966638647</v>
      </c>
      <c r="N521" s="582">
        <v>447</v>
      </c>
      <c r="O521" s="712">
        <f t="shared" si="133"/>
        <v>6.6359181438887802</v>
      </c>
      <c r="P521" s="712">
        <f t="shared" si="134"/>
        <v>823.44637775876845</v>
      </c>
      <c r="Q521" s="712">
        <f t="shared" si="135"/>
        <v>810.77004178705715</v>
      </c>
      <c r="R521" s="712">
        <f t="shared" si="136"/>
        <v>801.65140170732627</v>
      </c>
      <c r="S521" s="712">
        <f t="shared" si="137"/>
        <v>796.12948591290819</v>
      </c>
      <c r="T521" s="712">
        <f t="shared" si="138"/>
        <v>794.22752083831142</v>
      </c>
    </row>
    <row r="522" spans="2:20">
      <c r="B522" s="582">
        <v>448</v>
      </c>
      <c r="C522" s="712">
        <f t="shared" si="123"/>
        <v>6.6507635983493811</v>
      </c>
      <c r="D522" s="712">
        <f t="shared" si="124"/>
        <v>1459.9490227090137</v>
      </c>
      <c r="E522" s="712">
        <f t="shared" si="125"/>
        <v>981.33843140391696</v>
      </c>
      <c r="F522" s="712">
        <f t="shared" si="126"/>
        <v>634.21248159166601</v>
      </c>
      <c r="G522" s="712">
        <f t="shared" si="127"/>
        <v>428.29024008289912</v>
      </c>
      <c r="H522" s="719">
        <f t="shared" si="128"/>
        <v>309.57958584990217</v>
      </c>
      <c r="I522" s="712">
        <f t="shared" si="129"/>
        <v>308.69407032468223</v>
      </c>
      <c r="J522" s="712">
        <f t="shared" si="130"/>
        <v>308.06867832069599</v>
      </c>
      <c r="K522" s="712">
        <f t="shared" si="131"/>
        <v>307.69582619051221</v>
      </c>
      <c r="L522" s="712">
        <f t="shared" si="132"/>
        <v>307.5709268531827</v>
      </c>
      <c r="N522" s="582">
        <v>448</v>
      </c>
      <c r="O522" s="712">
        <f t="shared" si="133"/>
        <v>6.6507635983493811</v>
      </c>
      <c r="P522" s="712">
        <f t="shared" si="134"/>
        <v>824.30682111904684</v>
      </c>
      <c r="Q522" s="712">
        <f t="shared" si="135"/>
        <v>811.64391089001958</v>
      </c>
      <c r="R522" s="712">
        <f t="shared" si="136"/>
        <v>802.53485726964527</v>
      </c>
      <c r="S522" s="712">
        <f t="shared" si="137"/>
        <v>797.01864653381153</v>
      </c>
      <c r="T522" s="712">
        <f t="shared" si="138"/>
        <v>795.11848005224715</v>
      </c>
    </row>
    <row r="523" spans="2:20">
      <c r="B523" s="582">
        <v>449</v>
      </c>
      <c r="C523" s="712">
        <f t="shared" ref="C523:C586" si="139">$C$73*B523</f>
        <v>6.6656090528099829</v>
      </c>
      <c r="D523" s="712">
        <f t="shared" ref="D523:D586" si="140">(1-2*FoAb-2*FoAb*BiCombAb)*D522+2*FoAb*E522+2*FoAb*BiCombAb*Tcomb</f>
        <v>1460.1208664434855</v>
      </c>
      <c r="E523" s="712">
        <f t="shared" ref="E523:E586" si="141">FoAb*D522+(1-2*FoAb)*E522+FoAb*F522</f>
        <v>981.94328509151558</v>
      </c>
      <c r="F523" s="712">
        <f t="shared" ref="F523:F586" si="142">FoAb*E522+(1-2*FoAb)*F522+FoAb*G522</f>
        <v>634.86204478551326</v>
      </c>
      <c r="G523" s="712">
        <f t="shared" ref="G523:G586" si="143">FoAb*F522+(1-2*FoAb)*G522+FoAb*H522</f>
        <v>428.69142952651907</v>
      </c>
      <c r="H523" s="719">
        <f t="shared" ref="H523:H586" si="144">_FoN1*G522+(1-_FoN1-_FoN2)*H522+_FoN2*I522</f>
        <v>309.6460660873127</v>
      </c>
      <c r="I523" s="712">
        <f t="shared" ref="I523:I586" si="145">FoCase*H522+(1-2*FoCase)*I522+FoCase*J522</f>
        <v>308.75796389936136</v>
      </c>
      <c r="J523" s="712">
        <f t="shared" ref="J523:J586" si="146">FoCase*I522+(1-2*FoCase)*J522+FoCase*K522</f>
        <v>308.13070914055317</v>
      </c>
      <c r="K523" s="712">
        <f t="shared" ref="K523:K586" si="147">FoCase*J522+(1-2*FoCase)*K522+FoCase*L522</f>
        <v>307.75673029565428</v>
      </c>
      <c r="L523" s="712">
        <f t="shared" ref="L523:L586" si="148">(1-2*FoCase-2*FoCase*BiAtmCase)*L522+2*FoCase*K522+2*FoCase*BiAtmCase*Tatm</f>
        <v>307.6314474428612</v>
      </c>
      <c r="N523" s="582">
        <v>449</v>
      </c>
      <c r="O523" s="712">
        <f t="shared" ref="O523:O586" si="149">$O$73*N523</f>
        <v>6.6656090528099829</v>
      </c>
      <c r="P523" s="712">
        <f t="shared" ref="P523:P586" si="150">(1-2*FoCase-2*FoCase*BiCombCase)*P522+2*FoCase*Q522+2*FoCase*BiCombCase*Tcomb</f>
        <v>825.16633593288736</v>
      </c>
      <c r="Q523" s="712">
        <f t="shared" ref="Q523:Q586" si="151">FoCase*P522+(1-2*FoCase)*Q522+FoCase*R522</f>
        <v>812.51683695816985</v>
      </c>
      <c r="R523" s="712">
        <f t="shared" ref="R523:R586" si="152">FoCase*Q522+(1-2*FoCase)*R522+FoCase*S522</f>
        <v>803.41735945193568</v>
      </c>
      <c r="S523" s="712">
        <f t="shared" ref="S523:S586" si="153">FoCase*R522+(1-2*FoCase)*S522+FoCase*T522</f>
        <v>797.90684761807893</v>
      </c>
      <c r="T523" s="712">
        <f t="shared" ref="T523:T586" si="154">(1-2*FoCase-2*FoCase*BiAtmCase)*T522+2*FoCase*S522+2*FoCase*BiAtmCase*Tatm</f>
        <v>796.0084777885977</v>
      </c>
    </row>
    <row r="524" spans="2:20">
      <c r="B524" s="582">
        <v>450</v>
      </c>
      <c r="C524" s="712">
        <f t="shared" si="139"/>
        <v>6.6804545072705839</v>
      </c>
      <c r="D524" s="712">
        <f t="shared" si="140"/>
        <v>1460.2921768127599</v>
      </c>
      <c r="E524" s="712">
        <f t="shared" si="141"/>
        <v>982.54635252518733</v>
      </c>
      <c r="F524" s="712">
        <f t="shared" si="142"/>
        <v>635.51025974213348</v>
      </c>
      <c r="G524" s="712">
        <f t="shared" si="143"/>
        <v>429.09222181106151</v>
      </c>
      <c r="H524" s="719">
        <f t="shared" si="144"/>
        <v>309.71271989598847</v>
      </c>
      <c r="I524" s="712">
        <f t="shared" si="145"/>
        <v>308.82203528596563</v>
      </c>
      <c r="J524" s="712">
        <f t="shared" si="146"/>
        <v>308.19292075234068</v>
      </c>
      <c r="K524" s="712">
        <f t="shared" si="147"/>
        <v>307.81781695121185</v>
      </c>
      <c r="L524" s="712">
        <f t="shared" si="148"/>
        <v>307.69215114454533</v>
      </c>
      <c r="N524" s="582">
        <v>450</v>
      </c>
      <c r="O524" s="712">
        <f t="shared" si="149"/>
        <v>6.6804545072705839</v>
      </c>
      <c r="P524" s="712">
        <f t="shared" si="150"/>
        <v>826.02492320232989</v>
      </c>
      <c r="Q524" s="712">
        <f t="shared" si="151"/>
        <v>813.38882100918272</v>
      </c>
      <c r="R524" s="712">
        <f t="shared" si="152"/>
        <v>804.29890928303644</v>
      </c>
      <c r="S524" s="712">
        <f t="shared" si="153"/>
        <v>798.79409020119351</v>
      </c>
      <c r="T524" s="712">
        <f t="shared" si="154"/>
        <v>796.89751508494032</v>
      </c>
    </row>
    <row r="525" spans="2:20">
      <c r="B525" s="582">
        <v>451</v>
      </c>
      <c r="C525" s="712">
        <f t="shared" si="139"/>
        <v>6.6952999617311857</v>
      </c>
      <c r="D525" s="712">
        <f t="shared" si="140"/>
        <v>1460.4629563102458</v>
      </c>
      <c r="E525" s="712">
        <f t="shared" si="141"/>
        <v>983.1476414834101</v>
      </c>
      <c r="F525" s="712">
        <f t="shared" si="142"/>
        <v>636.15712882170419</v>
      </c>
      <c r="G525" s="712">
        <f t="shared" si="143"/>
        <v>429.49261518685614</v>
      </c>
      <c r="H525" s="719">
        <f t="shared" si="144"/>
        <v>309.77954695373757</v>
      </c>
      <c r="I525" s="712">
        <f t="shared" si="145"/>
        <v>308.88628417484307</v>
      </c>
      <c r="J525" s="712">
        <f t="shared" si="146"/>
        <v>308.25531285601926</v>
      </c>
      <c r="K525" s="712">
        <f t="shared" si="147"/>
        <v>307.87908586319418</v>
      </c>
      <c r="L525" s="712">
        <f t="shared" si="148"/>
        <v>307.7530376663388</v>
      </c>
      <c r="N525" s="582">
        <v>451</v>
      </c>
      <c r="O525" s="712">
        <f t="shared" si="149"/>
        <v>6.6952999617311857</v>
      </c>
      <c r="P525" s="712">
        <f t="shared" si="150"/>
        <v>826.88258392833279</v>
      </c>
      <c r="Q525" s="712">
        <f t="shared" si="151"/>
        <v>814.25986405963499</v>
      </c>
      <c r="R525" s="712">
        <f t="shared" si="152"/>
        <v>805.17950779067633</v>
      </c>
      <c r="S525" s="712">
        <f t="shared" si="153"/>
        <v>799.68037531752032</v>
      </c>
      <c r="T525" s="712">
        <f t="shared" si="154"/>
        <v>797.78559297773279</v>
      </c>
    </row>
    <row r="526" spans="2:20">
      <c r="B526" s="582">
        <v>452</v>
      </c>
      <c r="C526" s="712">
        <f t="shared" si="139"/>
        <v>6.7101454161917866</v>
      </c>
      <c r="D526" s="712">
        <f t="shared" si="140"/>
        <v>1460.6332074124332</v>
      </c>
      <c r="E526" s="712">
        <f t="shared" si="141"/>
        <v>983.74715969542456</v>
      </c>
      <c r="F526" s="712">
        <f t="shared" si="142"/>
        <v>636.80265439042228</v>
      </c>
      <c r="G526" s="712">
        <f t="shared" si="143"/>
        <v>429.89260792970532</v>
      </c>
      <c r="H526" s="719">
        <f t="shared" si="144"/>
        <v>309.84654693786047</v>
      </c>
      <c r="I526" s="712">
        <f t="shared" si="145"/>
        <v>308.95071025562288</v>
      </c>
      <c r="J526" s="712">
        <f t="shared" si="146"/>
        <v>308.3178851506741</v>
      </c>
      <c r="K526" s="712">
        <f t="shared" si="147"/>
        <v>307.94053673663927</v>
      </c>
      <c r="L526" s="712">
        <f t="shared" si="148"/>
        <v>307.81410671534189</v>
      </c>
      <c r="N526" s="582">
        <v>452</v>
      </c>
      <c r="O526" s="712">
        <f t="shared" si="149"/>
        <v>6.7101454161917866</v>
      </c>
      <c r="P526" s="712">
        <f t="shared" si="150"/>
        <v>827.73931911077432</v>
      </c>
      <c r="Q526" s="712">
        <f t="shared" si="151"/>
        <v>815.12996712500626</v>
      </c>
      <c r="R526" s="712">
        <f t="shared" si="152"/>
        <v>806.05915600147489</v>
      </c>
      <c r="S526" s="712">
        <f t="shared" si="153"/>
        <v>800.56570400030887</v>
      </c>
      <c r="T526" s="712">
        <f t="shared" si="154"/>
        <v>798.6727125023142</v>
      </c>
    </row>
    <row r="527" spans="2:20">
      <c r="B527" s="582">
        <v>453</v>
      </c>
      <c r="C527" s="712">
        <f t="shared" si="139"/>
        <v>6.7249908706523875</v>
      </c>
      <c r="D527" s="712">
        <f t="shared" si="140"/>
        <v>1460.8029325790408</v>
      </c>
      <c r="E527" s="712">
        <f t="shared" si="141"/>
        <v>984.3449148416363</v>
      </c>
      <c r="F527" s="712">
        <f t="shared" si="142"/>
        <v>637.44683882033883</v>
      </c>
      <c r="G527" s="712">
        <f t="shared" si="143"/>
        <v>430.29219834067527</v>
      </c>
      <c r="H527" s="719">
        <f t="shared" si="144"/>
        <v>309.91371952516204</v>
      </c>
      <c r="I527" s="712">
        <f t="shared" si="145"/>
        <v>309.01531321722848</v>
      </c>
      <c r="J527" s="712">
        <f t="shared" si="146"/>
        <v>308.38063733452998</v>
      </c>
      <c r="K527" s="712">
        <f t="shared" si="147"/>
        <v>308.00216927562963</v>
      </c>
      <c r="L527" s="712">
        <f t="shared" si="148"/>
        <v>307.87535799766755</v>
      </c>
      <c r="N527" s="582">
        <v>453</v>
      </c>
      <c r="O527" s="712">
        <f t="shared" si="149"/>
        <v>6.7249908706523875</v>
      </c>
      <c r="P527" s="712">
        <f t="shared" si="150"/>
        <v>828.59512974845381</v>
      </c>
      <c r="Q527" s="712">
        <f t="shared" si="151"/>
        <v>815.99913121968029</v>
      </c>
      <c r="R527" s="712">
        <f t="shared" si="152"/>
        <v>806.93785494094368</v>
      </c>
      <c r="S527" s="712">
        <f t="shared" si="153"/>
        <v>801.45007728169321</v>
      </c>
      <c r="T527" s="712">
        <f t="shared" si="154"/>
        <v>799.55887469290633</v>
      </c>
    </row>
    <row r="528" spans="2:20">
      <c r="B528" s="582">
        <v>454</v>
      </c>
      <c r="C528" s="712">
        <f t="shared" si="139"/>
        <v>6.7398363251129894</v>
      </c>
      <c r="D528" s="712">
        <f t="shared" si="140"/>
        <v>1460.9721342531611</v>
      </c>
      <c r="E528" s="712">
        <f t="shared" si="141"/>
        <v>984.94091455401565</v>
      </c>
      <c r="F528" s="712">
        <f t="shared" si="142"/>
        <v>638.08968448919711</v>
      </c>
      <c r="G528" s="712">
        <f t="shared" si="143"/>
        <v>430.69138474588806</v>
      </c>
      <c r="H528" s="719">
        <f t="shared" si="144"/>
        <v>309.981064391963</v>
      </c>
      <c r="I528" s="712">
        <f t="shared" si="145"/>
        <v>309.08009274789146</v>
      </c>
      <c r="J528" s="712">
        <f t="shared" si="146"/>
        <v>308.44356910496577</v>
      </c>
      <c r="K528" s="712">
        <f t="shared" si="147"/>
        <v>308.06398318330753</v>
      </c>
      <c r="L528" s="712">
        <f t="shared" si="148"/>
        <v>307.93679121845673</v>
      </c>
      <c r="N528" s="582">
        <v>454</v>
      </c>
      <c r="O528" s="712">
        <f t="shared" si="149"/>
        <v>6.7398363251129894</v>
      </c>
      <c r="P528" s="712">
        <f t="shared" si="150"/>
        <v>829.45001683909243</v>
      </c>
      <c r="Q528" s="712">
        <f t="shared" si="151"/>
        <v>816.86735735694629</v>
      </c>
      <c r="R528" s="712">
        <f t="shared" si="152"/>
        <v>807.81560563348785</v>
      </c>
      <c r="S528" s="712">
        <f t="shared" si="153"/>
        <v>802.33349619269336</v>
      </c>
      <c r="T528" s="712">
        <f t="shared" si="154"/>
        <v>800.44408058261536</v>
      </c>
    </row>
    <row r="529" spans="2:20">
      <c r="B529" s="582">
        <v>455</v>
      </c>
      <c r="C529" s="712">
        <f t="shared" si="139"/>
        <v>6.7546817795735903</v>
      </c>
      <c r="D529" s="712">
        <f t="shared" si="140"/>
        <v>1461.1408148614053</v>
      </c>
      <c r="E529" s="712">
        <f t="shared" si="141"/>
        <v>985.53516641649287</v>
      </c>
      <c r="F529" s="712">
        <f t="shared" si="142"/>
        <v>638.73119378027263</v>
      </c>
      <c r="G529" s="712">
        <f t="shared" si="143"/>
        <v>431.09016549631508</v>
      </c>
      <c r="H529" s="719">
        <f t="shared" si="144"/>
        <v>310.04858121411172</v>
      </c>
      <c r="I529" s="712">
        <f t="shared" si="145"/>
        <v>309.14504853516451</v>
      </c>
      <c r="J529" s="712">
        <f t="shared" si="146"/>
        <v>308.50668015852921</v>
      </c>
      <c r="K529" s="712">
        <f t="shared" si="147"/>
        <v>308.1259781618906</v>
      </c>
      <c r="L529" s="712">
        <f t="shared" si="148"/>
        <v>307.99840608189453</v>
      </c>
      <c r="N529" s="582">
        <v>455</v>
      </c>
      <c r="O529" s="712">
        <f t="shared" si="149"/>
        <v>6.7546817795735903</v>
      </c>
      <c r="P529" s="712">
        <f t="shared" si="150"/>
        <v>830.30398137933514</v>
      </c>
      <c r="Q529" s="712">
        <f t="shared" si="151"/>
        <v>817.73464654899965</v>
      </c>
      <c r="R529" s="712">
        <f t="shared" si="152"/>
        <v>808.69240910240705</v>
      </c>
      <c r="S529" s="712">
        <f t="shared" si="153"/>
        <v>803.21596176321714</v>
      </c>
      <c r="T529" s="712">
        <f t="shared" si="154"/>
        <v>801.32833120343207</v>
      </c>
    </row>
    <row r="530" spans="2:20">
      <c r="B530" s="582">
        <v>456</v>
      </c>
      <c r="C530" s="712">
        <f t="shared" si="139"/>
        <v>6.7695272340341921</v>
      </c>
      <c r="D530" s="712">
        <f t="shared" si="140"/>
        <v>1461.308976814046</v>
      </c>
      <c r="E530" s="712">
        <f t="shared" si="141"/>
        <v>986.12767796534933</v>
      </c>
      <c r="F530" s="712">
        <f t="shared" si="142"/>
        <v>639.37136908221567</v>
      </c>
      <c r="G530" s="712">
        <f t="shared" si="143"/>
        <v>431.48853896757186</v>
      </c>
      <c r="H530" s="719">
        <f t="shared" si="144"/>
        <v>310.11626966699566</v>
      </c>
      <c r="I530" s="712">
        <f t="shared" si="145"/>
        <v>309.21018026593481</v>
      </c>
      <c r="J530" s="712">
        <f t="shared" si="146"/>
        <v>308.56997019095127</v>
      </c>
      <c r="K530" s="712">
        <f t="shared" si="147"/>
        <v>308.18815391268708</v>
      </c>
      <c r="L530" s="712">
        <f t="shared" si="148"/>
        <v>308.06020229122521</v>
      </c>
      <c r="N530" s="582">
        <v>456</v>
      </c>
      <c r="O530" s="712">
        <f t="shared" si="149"/>
        <v>6.7695272340341921</v>
      </c>
      <c r="P530" s="712">
        <f t="shared" si="150"/>
        <v>831.15702436475101</v>
      </c>
      <c r="Q530" s="712">
        <f t="shared" si="151"/>
        <v>818.60099980694395</v>
      </c>
      <c r="R530" s="712">
        <f t="shared" si="152"/>
        <v>809.56826636989649</v>
      </c>
      <c r="S530" s="712">
        <f t="shared" si="153"/>
        <v>804.09747502206096</v>
      </c>
      <c r="T530" s="712">
        <f t="shared" si="154"/>
        <v>802.2116275862337</v>
      </c>
    </row>
    <row r="531" spans="2:20">
      <c r="B531" s="582">
        <v>457</v>
      </c>
      <c r="C531" s="712">
        <f t="shared" si="139"/>
        <v>6.784372688494793</v>
      </c>
      <c r="D531" s="712">
        <f t="shared" si="140"/>
        <v>1461.476622505159</v>
      </c>
      <c r="E531" s="712">
        <f t="shared" si="141"/>
        <v>986.71845668960611</v>
      </c>
      <c r="F531" s="712">
        <f t="shared" si="142"/>
        <v>640.01021278889561</v>
      </c>
      <c r="G531" s="712">
        <f t="shared" si="143"/>
        <v>431.88650355971367</v>
      </c>
      <c r="H531" s="719">
        <f t="shared" si="144"/>
        <v>310.18412942555267</v>
      </c>
      <c r="I531" s="712">
        <f t="shared" si="145"/>
        <v>309.27548762643721</v>
      </c>
      <c r="J531" s="712">
        <f t="shared" si="146"/>
        <v>308.6334388971606</v>
      </c>
      <c r="K531" s="712">
        <f t="shared" si="147"/>
        <v>308.25051013611073</v>
      </c>
      <c r="L531" s="712">
        <f t="shared" si="148"/>
        <v>308.12217954876797</v>
      </c>
      <c r="N531" s="582">
        <v>457</v>
      </c>
      <c r="O531" s="712">
        <f t="shared" si="149"/>
        <v>6.784372688494793</v>
      </c>
      <c r="P531" s="712">
        <f t="shared" si="150"/>
        <v>832.00914678983474</v>
      </c>
      <c r="Q531" s="712">
        <f t="shared" si="151"/>
        <v>819.46641814079135</v>
      </c>
      <c r="R531" s="712">
        <f t="shared" si="152"/>
        <v>810.44317845704813</v>
      </c>
      <c r="S531" s="712">
        <f t="shared" si="153"/>
        <v>804.97803699691076</v>
      </c>
      <c r="T531" s="712">
        <f t="shared" si="154"/>
        <v>803.09397076078517</v>
      </c>
    </row>
    <row r="532" spans="2:20">
      <c r="B532" s="582">
        <v>458</v>
      </c>
      <c r="C532" s="712">
        <f t="shared" si="139"/>
        <v>6.799218142955394</v>
      </c>
      <c r="D532" s="712">
        <f t="shared" si="140"/>
        <v>1461.6437543127624</v>
      </c>
      <c r="E532" s="712">
        <f t="shared" si="141"/>
        <v>987.30751003140745</v>
      </c>
      <c r="F532" s="712">
        <f t="shared" si="142"/>
        <v>640.64772729924834</v>
      </c>
      <c r="G532" s="712">
        <f t="shared" si="143"/>
        <v>432.28405769703295</v>
      </c>
      <c r="H532" s="719">
        <f t="shared" si="144"/>
        <v>310.25216016428226</v>
      </c>
      <c r="I532" s="712">
        <f t="shared" si="145"/>
        <v>309.34097030226718</v>
      </c>
      <c r="J532" s="712">
        <f t="shared" si="146"/>
        <v>308.69708597129767</v>
      </c>
      <c r="K532" s="712">
        <f t="shared" si="147"/>
        <v>308.31304653169605</v>
      </c>
      <c r="L532" s="712">
        <f t="shared" si="148"/>
        <v>308.18433755593202</v>
      </c>
      <c r="N532" s="582">
        <v>458</v>
      </c>
      <c r="O532" s="712">
        <f t="shared" si="149"/>
        <v>6.799218142955394</v>
      </c>
      <c r="P532" s="712">
        <f t="shared" si="150"/>
        <v>832.86034964800808</v>
      </c>
      <c r="Q532" s="712">
        <f t="shared" si="151"/>
        <v>820.33090255946411</v>
      </c>
      <c r="R532" s="712">
        <f t="shared" si="152"/>
        <v>811.31714638385256</v>
      </c>
      <c r="S532" s="712">
        <f t="shared" si="153"/>
        <v>805.85764871434344</v>
      </c>
      <c r="T532" s="712">
        <f t="shared" si="154"/>
        <v>803.9753617557401</v>
      </c>
    </row>
    <row r="533" spans="2:20">
      <c r="B533" s="582">
        <v>459</v>
      </c>
      <c r="C533" s="712">
        <f t="shared" si="139"/>
        <v>6.8140635974159958</v>
      </c>
      <c r="D533" s="712">
        <f t="shared" si="140"/>
        <v>1461.8103745989563</v>
      </c>
      <c r="E533" s="712">
        <f t="shared" si="141"/>
        <v>987.89484538640238</v>
      </c>
      <c r="F533" s="712">
        <f t="shared" si="142"/>
        <v>641.2839150171252</v>
      </c>
      <c r="G533" s="712">
        <f t="shared" si="143"/>
        <v>432.68119982785731</v>
      </c>
      <c r="H533" s="719">
        <f t="shared" si="144"/>
        <v>310.32036155725712</v>
      </c>
      <c r="I533" s="712">
        <f t="shared" si="145"/>
        <v>309.40662797839354</v>
      </c>
      <c r="J533" s="712">
        <f t="shared" si="146"/>
        <v>308.760911106729</v>
      </c>
      <c r="K533" s="712">
        <f t="shared" si="147"/>
        <v>308.37576279811327</v>
      </c>
      <c r="L533" s="712">
        <f t="shared" si="148"/>
        <v>308.24667601323159</v>
      </c>
      <c r="N533" s="582">
        <v>459</v>
      </c>
      <c r="O533" s="712">
        <f t="shared" si="149"/>
        <v>6.8140635974159958</v>
      </c>
      <c r="P533" s="712">
        <f t="shared" si="150"/>
        <v>833.71063393162058</v>
      </c>
      <c r="Q533" s="712">
        <f t="shared" si="151"/>
        <v>821.19445407079559</v>
      </c>
      <c r="R533" s="712">
        <f t="shared" si="152"/>
        <v>812.19017116919906</v>
      </c>
      <c r="S533" s="712">
        <f t="shared" si="153"/>
        <v>806.73631119982826</v>
      </c>
      <c r="T533" s="712">
        <f t="shared" si="154"/>
        <v>804.85580159864196</v>
      </c>
    </row>
    <row r="534" spans="2:20">
      <c r="B534" s="582">
        <v>460</v>
      </c>
      <c r="C534" s="712">
        <f t="shared" si="139"/>
        <v>6.8289090518765967</v>
      </c>
      <c r="D534" s="712">
        <f t="shared" si="140"/>
        <v>1461.9764857100593</v>
      </c>
      <c r="E534" s="712">
        <f t="shared" si="141"/>
        <v>988.48047010412131</v>
      </c>
      <c r="F534" s="712">
        <f t="shared" si="142"/>
        <v>641.91877835114485</v>
      </c>
      <c r="G534" s="712">
        <f t="shared" si="143"/>
        <v>433.07792842434912</v>
      </c>
      <c r="H534" s="719">
        <f t="shared" si="144"/>
        <v>310.38873327813371</v>
      </c>
      <c r="I534" s="712">
        <f t="shared" si="145"/>
        <v>309.47246033917145</v>
      </c>
      <c r="J534" s="712">
        <f t="shared" si="146"/>
        <v>308.82491399606113</v>
      </c>
      <c r="K534" s="712">
        <f t="shared" si="147"/>
        <v>308.43865863318251</v>
      </c>
      <c r="L534" s="712">
        <f t="shared" si="148"/>
        <v>308.30919462030141</v>
      </c>
      <c r="N534" s="582">
        <v>460</v>
      </c>
      <c r="O534" s="712">
        <f t="shared" si="149"/>
        <v>6.8289090518765967</v>
      </c>
      <c r="P534" s="712">
        <f t="shared" si="150"/>
        <v>834.56000063195086</v>
      </c>
      <c r="Q534" s="712">
        <f t="shared" si="151"/>
        <v>822.05707368153162</v>
      </c>
      <c r="R534" s="712">
        <f t="shared" si="152"/>
        <v>813.06225383087758</v>
      </c>
      <c r="S534" s="712">
        <f t="shared" si="153"/>
        <v>807.61402547772775</v>
      </c>
      <c r="T534" s="712">
        <f t="shared" si="154"/>
        <v>805.73529131592522</v>
      </c>
    </row>
    <row r="535" spans="2:20">
      <c r="B535" s="582">
        <v>461</v>
      </c>
      <c r="C535" s="712">
        <f t="shared" si="139"/>
        <v>6.8437545063371985</v>
      </c>
      <c r="D535" s="712">
        <f t="shared" si="140"/>
        <v>1462.1420899767436</v>
      </c>
      <c r="E535" s="712">
        <f t="shared" si="141"/>
        <v>989.06439148834988</v>
      </c>
      <c r="F535" s="712">
        <f t="shared" si="142"/>
        <v>642.55231971454646</v>
      </c>
      <c r="G535" s="712">
        <f t="shared" si="143"/>
        <v>433.4742419823063</v>
      </c>
      <c r="H535" s="719">
        <f t="shared" si="144"/>
        <v>310.45727500016352</v>
      </c>
      <c r="I535" s="712">
        <f t="shared" si="145"/>
        <v>309.53846706835498</v>
      </c>
      <c r="J535" s="712">
        <f t="shared" si="146"/>
        <v>308.88909433115441</v>
      </c>
      <c r="K535" s="712">
        <f t="shared" si="147"/>
        <v>308.5017337338893</v>
      </c>
      <c r="L535" s="712">
        <f t="shared" si="148"/>
        <v>308.37189307591092</v>
      </c>
      <c r="N535" s="582">
        <v>461</v>
      </c>
      <c r="O535" s="712">
        <f t="shared" si="149"/>
        <v>6.8437545063371985</v>
      </c>
      <c r="P535" s="712">
        <f t="shared" si="150"/>
        <v>835.40845073920775</v>
      </c>
      <c r="Q535" s="712">
        <f t="shared" si="151"/>
        <v>822.91876239733176</v>
      </c>
      <c r="R535" s="712">
        <f t="shared" si="152"/>
        <v>813.93339538558007</v>
      </c>
      <c r="S535" s="712">
        <f t="shared" si="153"/>
        <v>808.49079257129904</v>
      </c>
      <c r="T535" s="712">
        <f t="shared" si="154"/>
        <v>806.61383193291704</v>
      </c>
    </row>
    <row r="536" spans="2:20">
      <c r="B536" s="582">
        <v>462</v>
      </c>
      <c r="C536" s="712">
        <f t="shared" si="139"/>
        <v>6.8585999607977994</v>
      </c>
      <c r="D536" s="712">
        <f t="shared" si="140"/>
        <v>1462.3071897141706</v>
      </c>
      <c r="E536" s="712">
        <f t="shared" si="141"/>
        <v>989.64661679749906</v>
      </c>
      <c r="F536" s="712">
        <f t="shared" si="142"/>
        <v>643.18454152504569</v>
      </c>
      <c r="G536" s="712">
        <f t="shared" si="143"/>
        <v>433.8701390209643</v>
      </c>
      <c r="H536" s="719">
        <f t="shared" si="144"/>
        <v>310.52598639620396</v>
      </c>
      <c r="I536" s="712">
        <f t="shared" si="145"/>
        <v>309.60464784910954</v>
      </c>
      <c r="J536" s="712">
        <f t="shared" si="146"/>
        <v>308.953451803137</v>
      </c>
      <c r="K536" s="712">
        <f t="shared" si="147"/>
        <v>308.56498779639833</v>
      </c>
      <c r="L536" s="712">
        <f t="shared" si="148"/>
        <v>308.43477107797952</v>
      </c>
      <c r="N536" s="582">
        <v>462</v>
      </c>
      <c r="O536" s="712">
        <f t="shared" si="149"/>
        <v>6.8585999607977994</v>
      </c>
      <c r="P536" s="712">
        <f t="shared" si="150"/>
        <v>836.25598524253166</v>
      </c>
      <c r="Q536" s="712">
        <f t="shared" si="151"/>
        <v>823.77952122277009</v>
      </c>
      <c r="R536" s="712">
        <f t="shared" si="152"/>
        <v>814.80359684890072</v>
      </c>
      <c r="S536" s="712">
        <f t="shared" si="153"/>
        <v>809.36661350269492</v>
      </c>
      <c r="T536" s="712">
        <f t="shared" si="154"/>
        <v>807.4914244738377</v>
      </c>
    </row>
    <row r="537" spans="2:20">
      <c r="B537" s="582">
        <v>463</v>
      </c>
      <c r="C537" s="712">
        <f t="shared" si="139"/>
        <v>6.8734454152584012</v>
      </c>
      <c r="D537" s="712">
        <f t="shared" si="140"/>
        <v>1462.4717872221233</v>
      </c>
      <c r="E537" s="712">
        <f t="shared" si="141"/>
        <v>990.22715324497199</v>
      </c>
      <c r="F537" s="712">
        <f t="shared" si="142"/>
        <v>643.81544620469253</v>
      </c>
      <c r="G537" s="712">
        <f t="shared" si="143"/>
        <v>434.26561808279916</v>
      </c>
      <c r="H537" s="719">
        <f t="shared" si="144"/>
        <v>310.59486713872911</v>
      </c>
      <c r="I537" s="712">
        <f t="shared" si="145"/>
        <v>309.67100236402456</v>
      </c>
      <c r="J537" s="712">
        <f t="shared" si="146"/>
        <v>309.01798610241826</v>
      </c>
      <c r="K537" s="712">
        <f t="shared" si="147"/>
        <v>308.62842051606822</v>
      </c>
      <c r="L537" s="712">
        <f t="shared" si="148"/>
        <v>308.49782832359114</v>
      </c>
      <c r="N537" s="582">
        <v>463</v>
      </c>
      <c r="O537" s="712">
        <f t="shared" si="149"/>
        <v>6.8734454152584012</v>
      </c>
      <c r="P537" s="712">
        <f t="shared" si="150"/>
        <v>837.1026051299956</v>
      </c>
      <c r="Q537" s="712">
        <f t="shared" si="151"/>
        <v>824.63935116133666</v>
      </c>
      <c r="R537" s="712">
        <f t="shared" si="152"/>
        <v>815.67285923533814</v>
      </c>
      <c r="S537" s="712">
        <f t="shared" si="153"/>
        <v>810.2414892929653</v>
      </c>
      <c r="T537" s="712">
        <f t="shared" si="154"/>
        <v>808.36806996180246</v>
      </c>
    </row>
    <row r="538" spans="2:20">
      <c r="B538" s="582">
        <v>464</v>
      </c>
      <c r="C538" s="712">
        <f t="shared" si="139"/>
        <v>6.8882908697190022</v>
      </c>
      <c r="D538" s="712">
        <f t="shared" si="140"/>
        <v>1462.6358847851377</v>
      </c>
      <c r="E538" s="712">
        <f t="shared" si="141"/>
        <v>990.80600799952697</v>
      </c>
      <c r="F538" s="712">
        <f t="shared" si="142"/>
        <v>644.44503617973135</v>
      </c>
      <c r="G538" s="712">
        <f t="shared" si="143"/>
        <v>434.6606777333318</v>
      </c>
      <c r="H538" s="719">
        <f t="shared" si="144"/>
        <v>310.66391689984022</v>
      </c>
      <c r="I538" s="712">
        <f t="shared" si="145"/>
        <v>309.73753029512557</v>
      </c>
      <c r="J538" s="712">
        <f t="shared" si="146"/>
        <v>309.08269691870248</v>
      </c>
      <c r="K538" s="712">
        <f t="shared" si="147"/>
        <v>308.69203158746564</v>
      </c>
      <c r="L538" s="712">
        <f t="shared" si="148"/>
        <v>308.56106450900847</v>
      </c>
      <c r="N538" s="582">
        <v>464</v>
      </c>
      <c r="O538" s="712">
        <f t="shared" si="149"/>
        <v>6.8882908697190022</v>
      </c>
      <c r="P538" s="712">
        <f t="shared" si="150"/>
        <v>837.94831138860593</v>
      </c>
      <c r="Q538" s="712">
        <f t="shared" si="151"/>
        <v>825.49825321543881</v>
      </c>
      <c r="R538" s="712">
        <f t="shared" si="152"/>
        <v>816.54118355829598</v>
      </c>
      <c r="S538" s="712">
        <f t="shared" si="153"/>
        <v>811.11542096205801</v>
      </c>
      <c r="T538" s="712">
        <f t="shared" si="154"/>
        <v>809.24376941882247</v>
      </c>
    </row>
    <row r="539" spans="2:20">
      <c r="B539" s="582">
        <v>465</v>
      </c>
      <c r="C539" s="712">
        <f t="shared" si="139"/>
        <v>6.9031363241796031</v>
      </c>
      <c r="D539" s="712">
        <f t="shared" si="140"/>
        <v>1462.7994846726338</v>
      </c>
      <c r="E539" s="712">
        <f t="shared" si="141"/>
        <v>991.38318818563755</v>
      </c>
      <c r="F539" s="712">
        <f t="shared" si="142"/>
        <v>645.07331388046282</v>
      </c>
      <c r="G539" s="712">
        <f t="shared" si="143"/>
        <v>435.05531656093365</v>
      </c>
      <c r="H539" s="719">
        <f t="shared" si="144"/>
        <v>310.73313535127659</v>
      </c>
      <c r="I539" s="712">
        <f t="shared" si="145"/>
        <v>309.80423132388654</v>
      </c>
      <c r="J539" s="712">
        <f t="shared" si="146"/>
        <v>309.14758394100215</v>
      </c>
      <c r="K539" s="712">
        <f t="shared" si="147"/>
        <v>308.75582070437952</v>
      </c>
      <c r="L539" s="712">
        <f t="shared" si="148"/>
        <v>308.62447932968769</v>
      </c>
      <c r="N539" s="582">
        <v>465</v>
      </c>
      <c r="O539" s="712">
        <f t="shared" si="149"/>
        <v>6.9031363241796031</v>
      </c>
      <c r="P539" s="712">
        <f t="shared" si="150"/>
        <v>838.79310500430438</v>
      </c>
      <c r="Q539" s="712">
        <f t="shared" si="151"/>
        <v>826.35622838640188</v>
      </c>
      <c r="R539" s="712">
        <f t="shared" si="152"/>
        <v>817.40857083008439</v>
      </c>
      <c r="S539" s="712">
        <f t="shared" si="153"/>
        <v>811.98840952882028</v>
      </c>
      <c r="T539" s="712">
        <f t="shared" si="154"/>
        <v>810.11852386580586</v>
      </c>
    </row>
    <row r="540" spans="2:20">
      <c r="B540" s="582">
        <v>466</v>
      </c>
      <c r="C540" s="712">
        <f t="shared" si="139"/>
        <v>6.9179817786402049</v>
      </c>
      <c r="D540" s="712">
        <f t="shared" si="140"/>
        <v>1462.9625891390433</v>
      </c>
      <c r="E540" s="712">
        <f t="shared" si="141"/>
        <v>991.95870088384936</v>
      </c>
      <c r="F540" s="712">
        <f t="shared" si="142"/>
        <v>645.70028174110826</v>
      </c>
      <c r="G540" s="712">
        <f t="shared" si="143"/>
        <v>435.44953317663362</v>
      </c>
      <c r="H540" s="719">
        <f t="shared" si="144"/>
        <v>310.80252216442585</v>
      </c>
      <c r="I540" s="712">
        <f t="shared" si="145"/>
        <v>309.87110513124208</v>
      </c>
      <c r="J540" s="712">
        <f t="shared" si="146"/>
        <v>309.21264685765124</v>
      </c>
      <c r="K540" s="712">
        <f t="shared" si="147"/>
        <v>308.81978755983511</v>
      </c>
      <c r="L540" s="712">
        <f t="shared" si="148"/>
        <v>308.68807248029248</v>
      </c>
      <c r="N540" s="582">
        <v>466</v>
      </c>
      <c r="O540" s="712">
        <f t="shared" si="149"/>
        <v>6.9179817786402049</v>
      </c>
      <c r="P540" s="712">
        <f t="shared" si="150"/>
        <v>839.63698696196843</v>
      </c>
      <c r="Q540" s="712">
        <f t="shared" si="151"/>
        <v>827.21327767447065</v>
      </c>
      <c r="R540" s="712">
        <f t="shared" si="152"/>
        <v>818.27502206192105</v>
      </c>
      <c r="S540" s="712">
        <f t="shared" si="153"/>
        <v>812.86045601099988</v>
      </c>
      <c r="T540" s="712">
        <f t="shared" si="154"/>
        <v>810.99233432255892</v>
      </c>
    </row>
    <row r="541" spans="2:20">
      <c r="B541" s="582">
        <v>467</v>
      </c>
      <c r="C541" s="712">
        <f t="shared" si="139"/>
        <v>6.9328272331008058</v>
      </c>
      <c r="D541" s="712">
        <f t="shared" si="140"/>
        <v>1463.1252004239393</v>
      </c>
      <c r="E541" s="712">
        <f t="shared" si="141"/>
        <v>992.53255313113243</v>
      </c>
      <c r="F541" s="712">
        <f t="shared" si="142"/>
        <v>646.32594219967552</v>
      </c>
      <c r="G541" s="712">
        <f t="shared" si="143"/>
        <v>435.84332621392559</v>
      </c>
      <c r="H541" s="719">
        <f t="shared" si="144"/>
        <v>310.87207701033446</v>
      </c>
      <c r="I541" s="712">
        <f t="shared" si="145"/>
        <v>309.9381513975992</v>
      </c>
      <c r="J541" s="712">
        <f t="shared" si="146"/>
        <v>309.27788535631862</v>
      </c>
      <c r="K541" s="712">
        <f t="shared" si="147"/>
        <v>308.88393184610783</v>
      </c>
      <c r="L541" s="712">
        <f t="shared" si="148"/>
        <v>308.75184365470847</v>
      </c>
      <c r="N541" s="582">
        <v>467</v>
      </c>
      <c r="O541" s="712">
        <f t="shared" si="149"/>
        <v>6.9328272331008058</v>
      </c>
      <c r="P541" s="712">
        <f t="shared" si="150"/>
        <v>840.47995824541283</v>
      </c>
      <c r="Q541" s="712">
        <f t="shared" si="151"/>
        <v>828.06940207881053</v>
      </c>
      <c r="R541" s="712">
        <f t="shared" si="152"/>
        <v>819.1405382639324</v>
      </c>
      <c r="S541" s="712">
        <f t="shared" si="153"/>
        <v>813.73156142524635</v>
      </c>
      <c r="T541" s="712">
        <f t="shared" si="154"/>
        <v>811.8652018077878</v>
      </c>
    </row>
    <row r="542" spans="2:20">
      <c r="B542" s="582">
        <v>468</v>
      </c>
      <c r="C542" s="712">
        <f t="shared" si="139"/>
        <v>6.9476726875614077</v>
      </c>
      <c r="D542" s="712">
        <f t="shared" si="140"/>
        <v>1463.2873207521607</v>
      </c>
      <c r="E542" s="712">
        <f t="shared" si="141"/>
        <v>993.10475192123238</v>
      </c>
      <c r="F542" s="712">
        <f t="shared" si="142"/>
        <v>646.95029769782695</v>
      </c>
      <c r="G542" s="712">
        <f t="shared" si="143"/>
        <v>436.23669432857798</v>
      </c>
      <c r="H542" s="719">
        <f t="shared" si="144"/>
        <v>310.94179955971771</v>
      </c>
      <c r="I542" s="712">
        <f t="shared" si="145"/>
        <v>310.00536980284943</v>
      </c>
      <c r="J542" s="712">
        <f t="shared" si="146"/>
        <v>309.34329912402097</v>
      </c>
      <c r="K542" s="712">
        <f t="shared" si="147"/>
        <v>308.9482532547371</v>
      </c>
      <c r="L542" s="712">
        <f t="shared" si="148"/>
        <v>308.81579254605691</v>
      </c>
      <c r="N542" s="582">
        <v>468</v>
      </c>
      <c r="O542" s="712">
        <f t="shared" si="149"/>
        <v>6.9476726875614077</v>
      </c>
      <c r="P542" s="712">
        <f t="shared" si="150"/>
        <v>841.32201983739037</v>
      </c>
      <c r="Q542" s="712">
        <f t="shared" si="151"/>
        <v>828.92460259750874</v>
      </c>
      <c r="R542" s="712">
        <f t="shared" si="152"/>
        <v>820.00512044515472</v>
      </c>
      <c r="S542" s="712">
        <f t="shared" si="153"/>
        <v>814.60172678711206</v>
      </c>
      <c r="T542" s="712">
        <f t="shared" si="154"/>
        <v>812.73712733909895</v>
      </c>
    </row>
    <row r="543" spans="2:20">
      <c r="B543" s="582">
        <v>469</v>
      </c>
      <c r="C543" s="712">
        <f t="shared" si="139"/>
        <v>6.9625181420220086</v>
      </c>
      <c r="D543" s="712">
        <f t="shared" si="140"/>
        <v>1463.4489523339389</v>
      </c>
      <c r="E543" s="712">
        <f t="shared" si="141"/>
        <v>993.67530420501646</v>
      </c>
      <c r="F543" s="712">
        <f t="shared" si="142"/>
        <v>647.57335068074963</v>
      </c>
      <c r="G543" s="712">
        <f t="shared" si="143"/>
        <v>436.62963619844402</v>
      </c>
      <c r="H543" s="719">
        <f t="shared" si="144"/>
        <v>311.01168948297033</v>
      </c>
      <c r="I543" s="712">
        <f t="shared" si="145"/>
        <v>310.07276002638059</v>
      </c>
      <c r="J543" s="712">
        <f t="shared" si="146"/>
        <v>309.4088878471357</v>
      </c>
      <c r="K543" s="712">
        <f t="shared" si="147"/>
        <v>309.01275147653996</v>
      </c>
      <c r="L543" s="712">
        <f t="shared" si="148"/>
        <v>308.87991884670879</v>
      </c>
      <c r="N543" s="582">
        <v>469</v>
      </c>
      <c r="O543" s="712">
        <f t="shared" si="149"/>
        <v>6.9625181420220086</v>
      </c>
      <c r="P543" s="712">
        <f t="shared" si="150"/>
        <v>842.1631727195936</v>
      </c>
      <c r="Q543" s="712">
        <f t="shared" si="151"/>
        <v>829.77888022757554</v>
      </c>
      <c r="R543" s="712">
        <f t="shared" si="152"/>
        <v>820.86876961353539</v>
      </c>
      <c r="S543" s="712">
        <f t="shared" si="153"/>
        <v>815.4709531110534</v>
      </c>
      <c r="T543" s="712">
        <f t="shared" si="154"/>
        <v>813.60811193300106</v>
      </c>
    </row>
    <row r="544" spans="2:20">
      <c r="B544" s="582">
        <v>470</v>
      </c>
      <c r="C544" s="712">
        <f t="shared" si="139"/>
        <v>6.9773635964826095</v>
      </c>
      <c r="D544" s="712">
        <f t="shared" si="140"/>
        <v>1463.6100973650207</v>
      </c>
      <c r="E544" s="712">
        <f t="shared" si="141"/>
        <v>994.24421689081692</v>
      </c>
      <c r="F544" s="712">
        <f t="shared" si="142"/>
        <v>648.19510359702713</v>
      </c>
      <c r="G544" s="712">
        <f t="shared" si="143"/>
        <v>437.02215052327301</v>
      </c>
      <c r="H544" s="719">
        <f t="shared" si="144"/>
        <v>311.08174645017641</v>
      </c>
      <c r="I544" s="712">
        <f t="shared" si="145"/>
        <v>310.14032174708819</v>
      </c>
      <c r="J544" s="712">
        <f t="shared" si="146"/>
        <v>309.47465121141386</v>
      </c>
      <c r="K544" s="712">
        <f t="shared" si="147"/>
        <v>309.07742620162458</v>
      </c>
      <c r="L544" s="712">
        <f t="shared" si="148"/>
        <v>308.94422224829873</v>
      </c>
      <c r="N544" s="582">
        <v>470</v>
      </c>
      <c r="O544" s="712">
        <f t="shared" si="149"/>
        <v>6.9773635964826095</v>
      </c>
      <c r="P544" s="712">
        <f t="shared" si="150"/>
        <v>843.00341787265575</v>
      </c>
      <c r="Q544" s="712">
        <f t="shared" si="151"/>
        <v>830.63223596494481</v>
      </c>
      <c r="R544" s="712">
        <f t="shared" si="152"/>
        <v>821.73148677593429</v>
      </c>
      <c r="S544" s="712">
        <f t="shared" si="153"/>
        <v>816.3392414104319</v>
      </c>
      <c r="T544" s="712">
        <f t="shared" si="154"/>
        <v>814.47815660490539</v>
      </c>
    </row>
    <row r="545" spans="2:20">
      <c r="B545" s="582">
        <v>471</v>
      </c>
      <c r="C545" s="712">
        <f t="shared" si="139"/>
        <v>6.9922090509432113</v>
      </c>
      <c r="D545" s="712">
        <f t="shared" si="140"/>
        <v>1463.7707580267911</v>
      </c>
      <c r="E545" s="712">
        <f t="shared" si="141"/>
        <v>994.81149684477168</v>
      </c>
      <c r="F545" s="712">
        <f t="shared" si="142"/>
        <v>648.81555889851313</v>
      </c>
      <c r="G545" s="712">
        <f t="shared" si="143"/>
        <v>437.41423602452363</v>
      </c>
      <c r="H545" s="719">
        <f t="shared" si="144"/>
        <v>311.15197013111924</v>
      </c>
      <c r="I545" s="712">
        <f t="shared" si="145"/>
        <v>310.20805464338758</v>
      </c>
      <c r="J545" s="712">
        <f t="shared" si="146"/>
        <v>309.54058890199286</v>
      </c>
      <c r="K545" s="712">
        <f t="shared" si="147"/>
        <v>309.14227711940396</v>
      </c>
      <c r="L545" s="712">
        <f t="shared" si="148"/>
        <v>309.00870244173831</v>
      </c>
      <c r="N545" s="582">
        <v>471</v>
      </c>
      <c r="O545" s="712">
        <f t="shared" si="149"/>
        <v>6.9922090509432113</v>
      </c>
      <c r="P545" s="712">
        <f t="shared" si="150"/>
        <v>843.84275627615148</v>
      </c>
      <c r="Q545" s="712">
        <f t="shared" si="151"/>
        <v>831.48467080447631</v>
      </c>
      <c r="R545" s="712">
        <f t="shared" si="152"/>
        <v>822.59327293812441</v>
      </c>
      <c r="S545" s="712">
        <f t="shared" si="153"/>
        <v>817.20659269751593</v>
      </c>
      <c r="T545" s="712">
        <f t="shared" si="154"/>
        <v>815.34726236912775</v>
      </c>
    </row>
    <row r="546" spans="2:20">
      <c r="B546" s="582">
        <v>472</v>
      </c>
      <c r="C546" s="712">
        <f t="shared" si="139"/>
        <v>7.0070545054038123</v>
      </c>
      <c r="D546" s="712">
        <f t="shared" si="140"/>
        <v>1463.9309364863959</v>
      </c>
      <c r="E546" s="712">
        <f t="shared" si="141"/>
        <v>995.37715089116136</v>
      </c>
      <c r="F546" s="712">
        <f t="shared" si="142"/>
        <v>649.43471904020782</v>
      </c>
      <c r="G546" s="712">
        <f t="shared" si="143"/>
        <v>437.80589144517728</v>
      </c>
      <c r="H546" s="719">
        <f t="shared" si="144"/>
        <v>311.22236019529151</v>
      </c>
      <c r="I546" s="712">
        <f t="shared" si="145"/>
        <v>310.27595839322476</v>
      </c>
      <c r="J546" s="712">
        <f t="shared" si="146"/>
        <v>309.60670060340914</v>
      </c>
      <c r="K546" s="712">
        <f t="shared" si="147"/>
        <v>309.20730391860894</v>
      </c>
      <c r="L546" s="712">
        <f t="shared" si="148"/>
        <v>309.07335911723004</v>
      </c>
      <c r="N546" s="582">
        <v>472</v>
      </c>
      <c r="O546" s="712">
        <f t="shared" si="149"/>
        <v>7.0070545054038123</v>
      </c>
      <c r="P546" s="712">
        <f t="shared" si="150"/>
        <v>844.68118890859864</v>
      </c>
      <c r="Q546" s="712">
        <f t="shared" si="151"/>
        <v>832.33618573995568</v>
      </c>
      <c r="R546" s="712">
        <f t="shared" si="152"/>
        <v>823.45412910479354</v>
      </c>
      <c r="S546" s="712">
        <f t="shared" si="153"/>
        <v>818.07300798348092</v>
      </c>
      <c r="T546" s="712">
        <f t="shared" si="154"/>
        <v>816.21543023888933</v>
      </c>
    </row>
    <row r="547" spans="2:20">
      <c r="B547" s="582">
        <v>473</v>
      </c>
      <c r="C547" s="712">
        <f t="shared" si="139"/>
        <v>7.0218999598644141</v>
      </c>
      <c r="D547" s="712">
        <f t="shared" si="140"/>
        <v>1464.0906348968599</v>
      </c>
      <c r="E547" s="712">
        <f t="shared" si="141"/>
        <v>995.94118581274358</v>
      </c>
      <c r="F547" s="712">
        <f t="shared" si="142"/>
        <v>650.05258648013444</v>
      </c>
      <c r="G547" s="712">
        <f t="shared" si="143"/>
        <v>438.19711554955359</v>
      </c>
      <c r="H547" s="719">
        <f t="shared" si="144"/>
        <v>311.29291631190483</v>
      </c>
      <c r="I547" s="712">
        <f t="shared" si="145"/>
        <v>310.34403267408823</v>
      </c>
      <c r="J547" s="712">
        <f t="shared" si="146"/>
        <v>309.6729859996106</v>
      </c>
      <c r="K547" s="712">
        <f t="shared" si="147"/>
        <v>309.27250628730155</v>
      </c>
      <c r="L547" s="712">
        <f t="shared" si="148"/>
        <v>309.13819196428057</v>
      </c>
      <c r="N547" s="582">
        <v>473</v>
      </c>
      <c r="O547" s="712">
        <f t="shared" si="149"/>
        <v>7.0218999598644141</v>
      </c>
      <c r="P547" s="712">
        <f t="shared" si="150"/>
        <v>845.51871674745894</v>
      </c>
      <c r="Q547" s="712">
        <f t="shared" si="151"/>
        <v>833.18678176409617</v>
      </c>
      <c r="R547" s="712">
        <f t="shared" si="152"/>
        <v>824.3140562795453</v>
      </c>
      <c r="S547" s="712">
        <f t="shared" si="153"/>
        <v>818.93848827841146</v>
      </c>
      <c r="T547" s="712">
        <f t="shared" si="154"/>
        <v>817.08266122631778</v>
      </c>
    </row>
    <row r="548" spans="2:20">
      <c r="B548" s="582">
        <v>474</v>
      </c>
      <c r="C548" s="712">
        <f t="shared" si="139"/>
        <v>7.036745414325015</v>
      </c>
      <c r="D548" s="712">
        <f t="shared" si="140"/>
        <v>1464.249855397208</v>
      </c>
      <c r="E548" s="712">
        <f t="shared" si="141"/>
        <v>996.5036083510837</v>
      </c>
      <c r="F548" s="712">
        <f t="shared" si="142"/>
        <v>650.66916367921942</v>
      </c>
      <c r="G548" s="712">
        <f t="shared" si="143"/>
        <v>438.58790712312651</v>
      </c>
      <c r="H548" s="719">
        <f t="shared" si="144"/>
        <v>311.36363814989983</v>
      </c>
      <c r="I548" s="712">
        <f t="shared" si="145"/>
        <v>310.41227716302001</v>
      </c>
      <c r="J548" s="712">
        <f t="shared" si="146"/>
        <v>309.73944477396918</v>
      </c>
      <c r="K548" s="712">
        <f t="shared" si="147"/>
        <v>309.33788391288817</v>
      </c>
      <c r="L548" s="712">
        <f t="shared" si="148"/>
        <v>309.20320067171394</v>
      </c>
      <c r="N548" s="582">
        <v>474</v>
      </c>
      <c r="O548" s="712">
        <f t="shared" si="149"/>
        <v>7.036745414325015</v>
      </c>
      <c r="P548" s="712">
        <f t="shared" si="150"/>
        <v>846.35534076913927</v>
      </c>
      <c r="Q548" s="712">
        <f t="shared" si="151"/>
        <v>834.03645986854008</v>
      </c>
      <c r="R548" s="712">
        <f t="shared" si="152"/>
        <v>825.17305546490024</v>
      </c>
      <c r="S548" s="712">
        <f t="shared" si="153"/>
        <v>819.80303459130209</v>
      </c>
      <c r="T548" s="712">
        <f t="shared" si="154"/>
        <v>817.94895634244835</v>
      </c>
    </row>
    <row r="549" spans="2:20">
      <c r="B549" s="582">
        <v>475</v>
      </c>
      <c r="C549" s="712">
        <f t="shared" si="139"/>
        <v>7.0515908687856168</v>
      </c>
      <c r="D549" s="712">
        <f t="shared" si="140"/>
        <v>1464.4086001125813</v>
      </c>
      <c r="E549" s="712">
        <f t="shared" si="141"/>
        <v>997.06442520688256</v>
      </c>
      <c r="F549" s="712">
        <f t="shared" si="142"/>
        <v>651.28445310117297</v>
      </c>
      <c r="G549" s="712">
        <f t="shared" si="143"/>
        <v>438.97826497234195</v>
      </c>
      <c r="H549" s="719">
        <f t="shared" si="144"/>
        <v>311.43452537795531</v>
      </c>
      <c r="I549" s="712">
        <f t="shared" si="145"/>
        <v>310.48069153662709</v>
      </c>
      <c r="J549" s="712">
        <f t="shared" si="146"/>
        <v>309.80607660929286</v>
      </c>
      <c r="K549" s="712">
        <f t="shared" si="147"/>
        <v>309.40343648213235</v>
      </c>
      <c r="L549" s="712">
        <f t="shared" si="148"/>
        <v>309.26838492768502</v>
      </c>
      <c r="N549" s="582">
        <v>475</v>
      </c>
      <c r="O549" s="712">
        <f t="shared" si="149"/>
        <v>7.0515908687856168</v>
      </c>
      <c r="P549" s="712">
        <f t="shared" si="150"/>
        <v>847.19106194899302</v>
      </c>
      <c r="Q549" s="712">
        <f t="shared" si="151"/>
        <v>834.88522104385925</v>
      </c>
      <c r="R549" s="712">
        <f t="shared" si="152"/>
        <v>826.03112766229708</v>
      </c>
      <c r="S549" s="712">
        <f t="shared" si="153"/>
        <v>820.66664793005839</v>
      </c>
      <c r="T549" s="712">
        <f t="shared" si="154"/>
        <v>818.8143165972258</v>
      </c>
    </row>
    <row r="550" spans="2:20">
      <c r="B550" s="582">
        <v>476</v>
      </c>
      <c r="C550" s="712">
        <f t="shared" si="139"/>
        <v>7.0664363232462177</v>
      </c>
      <c r="D550" s="712">
        <f t="shared" si="140"/>
        <v>1464.5668711543551</v>
      </c>
      <c r="E550" s="712">
        <f t="shared" si="141"/>
        <v>997.623643040302</v>
      </c>
      <c r="F550" s="712">
        <f t="shared" si="142"/>
        <v>651.89845721237202</v>
      </c>
      <c r="G550" s="712">
        <f t="shared" si="143"/>
        <v>439.3681879244362</v>
      </c>
      <c r="H550" s="719">
        <f t="shared" si="144"/>
        <v>311.50557766449822</v>
      </c>
      <c r="I550" s="712">
        <f t="shared" si="145"/>
        <v>310.54927547109213</v>
      </c>
      <c r="J550" s="712">
        <f t="shared" si="146"/>
        <v>309.87288118783817</v>
      </c>
      <c r="K550" s="712">
        <f t="shared" si="147"/>
        <v>309.46916368116786</v>
      </c>
      <c r="L550" s="712">
        <f t="shared" si="148"/>
        <v>309.33374441969244</v>
      </c>
      <c r="N550" s="582">
        <v>476</v>
      </c>
      <c r="O550" s="712">
        <f t="shared" si="149"/>
        <v>7.0664363232462177</v>
      </c>
      <c r="P550" s="712">
        <f t="shared" si="150"/>
        <v>848.02588126132071</v>
      </c>
      <c r="Q550" s="712">
        <f t="shared" si="151"/>
        <v>835.73306627955674</v>
      </c>
      <c r="R550" s="712">
        <f t="shared" si="152"/>
        <v>826.88827387209358</v>
      </c>
      <c r="S550" s="712">
        <f t="shared" si="153"/>
        <v>821.52932930149836</v>
      </c>
      <c r="T550" s="712">
        <f t="shared" si="154"/>
        <v>819.67874299950449</v>
      </c>
    </row>
    <row r="551" spans="2:20">
      <c r="B551" s="582">
        <v>477</v>
      </c>
      <c r="C551" s="712">
        <f t="shared" si="139"/>
        <v>7.0812817777068187</v>
      </c>
      <c r="D551" s="712">
        <f t="shared" si="140"/>
        <v>1464.7246706202543</v>
      </c>
      <c r="E551" s="712">
        <f t="shared" si="141"/>
        <v>998.1812684712861</v>
      </c>
      <c r="F551" s="712">
        <f t="shared" si="142"/>
        <v>652.51117848174545</v>
      </c>
      <c r="G551" s="712">
        <f t="shared" si="143"/>
        <v>439.75767482725604</v>
      </c>
      <c r="H551" s="719">
        <f t="shared" si="144"/>
        <v>311.57679467771283</v>
      </c>
      <c r="I551" s="712">
        <f t="shared" si="145"/>
        <v>310.6180286421847</v>
      </c>
      <c r="J551" s="712">
        <f t="shared" si="146"/>
        <v>309.93985819132212</v>
      </c>
      <c r="K551" s="712">
        <f t="shared" si="147"/>
        <v>309.53506519551127</v>
      </c>
      <c r="L551" s="712">
        <f t="shared" si="148"/>
        <v>309.3992788345916</v>
      </c>
      <c r="N551" s="582">
        <v>477</v>
      </c>
      <c r="O551" s="712">
        <f t="shared" si="149"/>
        <v>7.0812817777068187</v>
      </c>
      <c r="P551" s="712">
        <f t="shared" si="150"/>
        <v>848.85979967937169</v>
      </c>
      <c r="Q551" s="712">
        <f t="shared" si="151"/>
        <v>836.57999656406776</v>
      </c>
      <c r="R551" s="712">
        <f t="shared" si="152"/>
        <v>827.74449509356839</v>
      </c>
      <c r="S551" s="712">
        <f t="shared" si="153"/>
        <v>822.39107971135331</v>
      </c>
      <c r="T551" s="712">
        <f t="shared" si="154"/>
        <v>820.54223655705027</v>
      </c>
    </row>
    <row r="552" spans="2:20">
      <c r="B552" s="582">
        <v>478</v>
      </c>
      <c r="C552" s="712">
        <f t="shared" si="139"/>
        <v>7.0961272321674205</v>
      </c>
      <c r="D552" s="712">
        <f t="shared" si="140"/>
        <v>1464.8820005944669</v>
      </c>
      <c r="E552" s="712">
        <f t="shared" si="141"/>
        <v>998.73730807988068</v>
      </c>
      <c r="F552" s="712">
        <f t="shared" si="142"/>
        <v>653.12261938065944</v>
      </c>
      <c r="G552" s="712">
        <f t="shared" si="143"/>
        <v>440.14672454907952</v>
      </c>
      <c r="H552" s="719">
        <f t="shared" si="144"/>
        <v>311.64817608555006</v>
      </c>
      <c r="I552" s="712">
        <f t="shared" si="145"/>
        <v>310.68695072527214</v>
      </c>
      <c r="J552" s="712">
        <f t="shared" si="146"/>
        <v>310.00700730093399</v>
      </c>
      <c r="K552" s="712">
        <f t="shared" si="147"/>
        <v>309.60114071007484</v>
      </c>
      <c r="L552" s="712">
        <f t="shared" si="148"/>
        <v>309.46498785860769</v>
      </c>
      <c r="N552" s="582">
        <v>478</v>
      </c>
      <c r="O552" s="712">
        <f t="shared" si="149"/>
        <v>7.0961272321674205</v>
      </c>
      <c r="P552" s="712">
        <f t="shared" si="150"/>
        <v>849.692818175345</v>
      </c>
      <c r="Q552" s="712">
        <f t="shared" si="151"/>
        <v>837.42601288476067</v>
      </c>
      <c r="R552" s="712">
        <f t="shared" si="152"/>
        <v>828.5997923249214</v>
      </c>
      <c r="S552" s="712">
        <f t="shared" si="153"/>
        <v>823.2519001642695</v>
      </c>
      <c r="T552" s="712">
        <f t="shared" si="154"/>
        <v>821.40479827654144</v>
      </c>
    </row>
    <row r="553" spans="2:20">
      <c r="B553" s="582">
        <v>479</v>
      </c>
      <c r="C553" s="712">
        <f t="shared" si="139"/>
        <v>7.1109726866280214</v>
      </c>
      <c r="D553" s="712">
        <f t="shared" si="140"/>
        <v>1465.0388631477581</v>
      </c>
      <c r="E553" s="712">
        <f t="shared" si="141"/>
        <v>999.29176840654907</v>
      </c>
      <c r="F553" s="712">
        <f t="shared" si="142"/>
        <v>653.73278238280625</v>
      </c>
      <c r="G553" s="712">
        <f t="shared" si="143"/>
        <v>440.53533597843835</v>
      </c>
      <c r="H553" s="719">
        <f t="shared" si="144"/>
        <v>311.71972155573712</v>
      </c>
      <c r="I553" s="712">
        <f t="shared" si="145"/>
        <v>310.75604139533004</v>
      </c>
      <c r="J553" s="712">
        <f t="shared" si="146"/>
        <v>310.0743281973476</v>
      </c>
      <c r="K553" s="712">
        <f t="shared" si="147"/>
        <v>309.66738990917884</v>
      </c>
      <c r="L553" s="712">
        <f t="shared" si="148"/>
        <v>309.53087117734827</v>
      </c>
      <c r="N553" s="582">
        <v>479</v>
      </c>
      <c r="O553" s="712">
        <f t="shared" si="149"/>
        <v>7.1109726866280214</v>
      </c>
      <c r="P553" s="712">
        <f t="shared" si="150"/>
        <v>850.52493772039054</v>
      </c>
      <c r="Q553" s="712">
        <f t="shared" si="151"/>
        <v>838.27111622793836</v>
      </c>
      <c r="R553" s="712">
        <f t="shared" si="152"/>
        <v>829.45416656327552</v>
      </c>
      <c r="S553" s="712">
        <f t="shared" si="153"/>
        <v>824.11179166380884</v>
      </c>
      <c r="T553" s="712">
        <f t="shared" si="154"/>
        <v>822.26642916356991</v>
      </c>
    </row>
    <row r="554" spans="2:20">
      <c r="B554" s="582">
        <v>480</v>
      </c>
      <c r="C554" s="712">
        <f t="shared" si="139"/>
        <v>7.1258181410886232</v>
      </c>
      <c r="D554" s="712">
        <f t="shared" si="140"/>
        <v>1465.1952603375821</v>
      </c>
      <c r="E554" s="712">
        <f t="shared" si="141"/>
        <v>999.84465595248514</v>
      </c>
      <c r="F554" s="712">
        <f t="shared" si="142"/>
        <v>654.34166996409351</v>
      </c>
      <c r="G554" s="712">
        <f t="shared" si="143"/>
        <v>440.92350802394083</v>
      </c>
      <c r="H554" s="719">
        <f t="shared" si="144"/>
        <v>311.79143075578628</v>
      </c>
      <c r="I554" s="712">
        <f t="shared" si="145"/>
        <v>310.82530032695331</v>
      </c>
      <c r="J554" s="712">
        <f t="shared" si="146"/>
        <v>310.14182056073275</v>
      </c>
      <c r="K554" s="712">
        <f t="shared" si="147"/>
        <v>309.73381247656397</v>
      </c>
      <c r="L554" s="712">
        <f t="shared" si="148"/>
        <v>309.59692847581607</v>
      </c>
      <c r="N554" s="582">
        <v>480</v>
      </c>
      <c r="O554" s="712">
        <f t="shared" si="149"/>
        <v>7.1258181410886232</v>
      </c>
      <c r="P554" s="712">
        <f t="shared" si="150"/>
        <v>851.35615928460993</v>
      </c>
      <c r="Q554" s="712">
        <f t="shared" si="151"/>
        <v>839.11530757883975</v>
      </c>
      <c r="R554" s="712">
        <f t="shared" si="152"/>
        <v>830.30761880467765</v>
      </c>
      <c r="S554" s="712">
        <f t="shared" si="153"/>
        <v>824.97075521245006</v>
      </c>
      <c r="T554" s="712">
        <f t="shared" si="154"/>
        <v>823.12713022264245</v>
      </c>
    </row>
    <row r="555" spans="2:20">
      <c r="B555" s="582">
        <v>481</v>
      </c>
      <c r="C555" s="712">
        <f t="shared" si="139"/>
        <v>7.1406635955492241</v>
      </c>
      <c r="D555" s="712">
        <f t="shared" si="140"/>
        <v>1465.3511942081934</v>
      </c>
      <c r="E555" s="712">
        <f t="shared" si="141"/>
        <v>1000.3959771799238</v>
      </c>
      <c r="F555" s="712">
        <f t="shared" si="142"/>
        <v>654.94928460253584</v>
      </c>
      <c r="G555" s="712">
        <f t="shared" si="143"/>
        <v>441.31123961409679</v>
      </c>
      <c r="H555" s="719">
        <f t="shared" si="144"/>
        <v>311.86330335300414</v>
      </c>
      <c r="I555" s="712">
        <f t="shared" si="145"/>
        <v>310.89472719436645</v>
      </c>
      <c r="J555" s="712">
        <f t="shared" si="146"/>
        <v>310.20948407076708</v>
      </c>
      <c r="K555" s="712">
        <f t="shared" si="147"/>
        <v>309.8004080954039</v>
      </c>
      <c r="L555" s="712">
        <f t="shared" si="148"/>
        <v>309.6631594384213</v>
      </c>
      <c r="N555" s="582">
        <v>481</v>
      </c>
      <c r="O555" s="712">
        <f t="shared" si="149"/>
        <v>7.1406635955492241</v>
      </c>
      <c r="P555" s="712">
        <f t="shared" si="150"/>
        <v>852.18648383705829</v>
      </c>
      <c r="Q555" s="712">
        <f t="shared" si="151"/>
        <v>839.95858792163995</v>
      </c>
      <c r="R555" s="712">
        <f t="shared" si="152"/>
        <v>831.16015004409951</v>
      </c>
      <c r="S555" s="712">
        <f t="shared" si="153"/>
        <v>825.82879181159035</v>
      </c>
      <c r="T555" s="712">
        <f t="shared" si="154"/>
        <v>823.98690245718171</v>
      </c>
    </row>
    <row r="556" spans="2:20">
      <c r="B556" s="582">
        <v>482</v>
      </c>
      <c r="C556" s="712">
        <f t="shared" si="139"/>
        <v>7.1555090500098251</v>
      </c>
      <c r="D556" s="712">
        <f t="shared" si="140"/>
        <v>1465.506666790757</v>
      </c>
      <c r="E556" s="712">
        <f t="shared" si="141"/>
        <v>1000.9457385124481</v>
      </c>
      <c r="F556" s="712">
        <f t="shared" si="142"/>
        <v>655.55562877814737</v>
      </c>
      <c r="G556" s="712">
        <f t="shared" si="143"/>
        <v>441.69852969714299</v>
      </c>
      <c r="H556" s="719">
        <f t="shared" si="144"/>
        <v>311.93533901450064</v>
      </c>
      <c r="I556" s="712">
        <f t="shared" si="145"/>
        <v>310.96432167143428</v>
      </c>
      <c r="J556" s="712">
        <f t="shared" si="146"/>
        <v>310.27731840664751</v>
      </c>
      <c r="K556" s="712">
        <f t="shared" si="147"/>
        <v>309.8671764483172</v>
      </c>
      <c r="L556" s="712">
        <f t="shared" si="148"/>
        <v>309.72956374899439</v>
      </c>
      <c r="N556" s="582">
        <v>482</v>
      </c>
      <c r="O556" s="712">
        <f t="shared" si="149"/>
        <v>7.1555090500098251</v>
      </c>
      <c r="P556" s="712">
        <f t="shared" si="150"/>
        <v>853.01591234574471</v>
      </c>
      <c r="Q556" s="712">
        <f t="shared" si="151"/>
        <v>840.80095823945248</v>
      </c>
      <c r="R556" s="712">
        <f t="shared" si="152"/>
        <v>832.01176127543954</v>
      </c>
      <c r="S556" s="712">
        <f t="shared" si="153"/>
        <v>826.68590246154622</v>
      </c>
      <c r="T556" s="712">
        <f t="shared" si="154"/>
        <v>824.8457468695276</v>
      </c>
    </row>
    <row r="557" spans="2:20">
      <c r="B557" s="582">
        <v>483</v>
      </c>
      <c r="C557" s="712">
        <f t="shared" si="139"/>
        <v>7.1703545044704269</v>
      </c>
      <c r="D557" s="712">
        <f t="shared" si="140"/>
        <v>1465.6616801034568</v>
      </c>
      <c r="E557" s="712">
        <f t="shared" si="141"/>
        <v>1001.493946335294</v>
      </c>
      <c r="F557" s="712">
        <f t="shared" si="142"/>
        <v>656.16070497283681</v>
      </c>
      <c r="G557" s="712">
        <f t="shared" si="143"/>
        <v>442.08537724086995</v>
      </c>
      <c r="H557" s="719">
        <f t="shared" si="144"/>
        <v>312.0075374071979</v>
      </c>
      <c r="I557" s="712">
        <f t="shared" si="145"/>
        <v>311.03408343167195</v>
      </c>
      <c r="J557" s="712">
        <f t="shared" si="146"/>
        <v>310.34532324710153</v>
      </c>
      <c r="K557" s="712">
        <f t="shared" si="147"/>
        <v>309.93411721737982</v>
      </c>
      <c r="L557" s="712">
        <f t="shared" si="148"/>
        <v>309.79614109079802</v>
      </c>
      <c r="N557" s="582">
        <v>483</v>
      </c>
      <c r="O557" s="712">
        <f t="shared" si="149"/>
        <v>7.1703545044704269</v>
      </c>
      <c r="P557" s="712">
        <f t="shared" si="150"/>
        <v>853.84444577763395</v>
      </c>
      <c r="Q557" s="712">
        <f t="shared" si="151"/>
        <v>841.6424195143295</v>
      </c>
      <c r="R557" s="712">
        <f t="shared" si="152"/>
        <v>832.86245349152318</v>
      </c>
      <c r="S557" s="712">
        <f t="shared" si="153"/>
        <v>827.54208816155483</v>
      </c>
      <c r="T557" s="712">
        <f t="shared" si="154"/>
        <v>825.70366446093851</v>
      </c>
    </row>
    <row r="558" spans="2:20">
      <c r="B558" s="582">
        <v>484</v>
      </c>
      <c r="C558" s="712">
        <f t="shared" si="139"/>
        <v>7.1851999589310278</v>
      </c>
      <c r="D558" s="712">
        <f t="shared" si="140"/>
        <v>1465.8162361516033</v>
      </c>
      <c r="E558" s="712">
        <f t="shared" si="141"/>
        <v>1002.0406069956526</v>
      </c>
      <c r="F558" s="712">
        <f t="shared" si="142"/>
        <v>656.76451567030313</v>
      </c>
      <c r="G558" s="712">
        <f t="shared" si="143"/>
        <v>442.47178123244998</v>
      </c>
      <c r="H558" s="719">
        <f t="shared" si="144"/>
        <v>312.07989819783916</v>
      </c>
      <c r="I558" s="712">
        <f t="shared" si="145"/>
        <v>311.10401214825561</v>
      </c>
      <c r="J558" s="712">
        <f t="shared" si="146"/>
        <v>310.41349827039903</v>
      </c>
      <c r="K558" s="712">
        <f t="shared" si="147"/>
        <v>310.00123008413652</v>
      </c>
      <c r="L558" s="712">
        <f t="shared" si="148"/>
        <v>309.86289114653965</v>
      </c>
      <c r="N558" s="582">
        <v>484</v>
      </c>
      <c r="O558" s="712">
        <f t="shared" si="149"/>
        <v>7.1851999589310278</v>
      </c>
      <c r="P558" s="712">
        <f t="shared" si="150"/>
        <v>854.67208509864679</v>
      </c>
      <c r="Q558" s="712">
        <f t="shared" si="151"/>
        <v>842.48297272726381</v>
      </c>
      <c r="R558" s="712">
        <f t="shared" si="152"/>
        <v>833.71222768410485</v>
      </c>
      <c r="S558" s="712">
        <f t="shared" si="153"/>
        <v>828.39734990977445</v>
      </c>
      <c r="T558" s="712">
        <f t="shared" si="154"/>
        <v>826.56065623159213</v>
      </c>
    </row>
    <row r="559" spans="2:20">
      <c r="B559" s="582">
        <v>485</v>
      </c>
      <c r="C559" s="712">
        <f t="shared" si="139"/>
        <v>7.2000454133916296</v>
      </c>
      <c r="D559" s="712">
        <f t="shared" si="140"/>
        <v>1465.9703369277413</v>
      </c>
      <c r="E559" s="712">
        <f t="shared" si="141"/>
        <v>1002.5857268029685</v>
      </c>
      <c r="F559" s="712">
        <f t="shared" si="142"/>
        <v>657.3670633559334</v>
      </c>
      <c r="G559" s="712">
        <f t="shared" si="143"/>
        <v>442.85774067826617</v>
      </c>
      <c r="H559" s="719">
        <f t="shared" si="144"/>
        <v>312.15242105299751</v>
      </c>
      <c r="I559" s="712">
        <f t="shared" si="145"/>
        <v>311.17410749403251</v>
      </c>
      <c r="J559" s="712">
        <f t="shared" si="146"/>
        <v>310.48184315436299</v>
      </c>
      <c r="K559" s="712">
        <f t="shared" si="147"/>
        <v>310.06851472961347</v>
      </c>
      <c r="L559" s="712">
        <f t="shared" si="148"/>
        <v>309.92981359838325</v>
      </c>
      <c r="N559" s="582">
        <v>485</v>
      </c>
      <c r="O559" s="712">
        <f t="shared" si="149"/>
        <v>7.2000454133916296</v>
      </c>
      <c r="P559" s="712">
        <f t="shared" si="150"/>
        <v>855.49883127366218</v>
      </c>
      <c r="Q559" s="712">
        <f t="shared" si="151"/>
        <v>843.32261885818934</v>
      </c>
      <c r="R559" s="712">
        <f t="shared" si="152"/>
        <v>834.56108484386823</v>
      </c>
      <c r="S559" s="712">
        <f t="shared" si="153"/>
        <v>829.25168870328696</v>
      </c>
      <c r="T559" s="712">
        <f t="shared" si="154"/>
        <v>827.41672318058659</v>
      </c>
    </row>
    <row r="560" spans="2:20">
      <c r="B560" s="582">
        <v>486</v>
      </c>
      <c r="C560" s="712">
        <f t="shared" si="139"/>
        <v>7.2148908678522305</v>
      </c>
      <c r="D560" s="712">
        <f t="shared" si="140"/>
        <v>1466.1239844117547</v>
      </c>
      <c r="E560" s="712">
        <f t="shared" si="141"/>
        <v>1003.1293120292362</v>
      </c>
      <c r="F560" s="712">
        <f t="shared" si="142"/>
        <v>657.96835051670223</v>
      </c>
      <c r="G560" s="712">
        <f t="shared" si="143"/>
        <v>443.24325460374263</v>
      </c>
      <c r="H560" s="719">
        <f t="shared" si="144"/>
        <v>312.2251056390844</v>
      </c>
      <c r="I560" s="712">
        <f t="shared" si="145"/>
        <v>311.24436914153091</v>
      </c>
      <c r="J560" s="712">
        <f t="shared" si="146"/>
        <v>310.55035757638109</v>
      </c>
      <c r="K560" s="712">
        <f t="shared" si="147"/>
        <v>310.13597083432933</v>
      </c>
      <c r="L560" s="712">
        <f t="shared" si="148"/>
        <v>309.9969081279616</v>
      </c>
      <c r="N560" s="582">
        <v>486</v>
      </c>
      <c r="O560" s="712">
        <f t="shared" si="149"/>
        <v>7.2148908678522305</v>
      </c>
      <c r="P560" s="712">
        <f t="shared" si="150"/>
        <v>856.32468526651735</v>
      </c>
      <c r="Q560" s="712">
        <f t="shared" si="151"/>
        <v>844.16135888598262</v>
      </c>
      <c r="R560" s="712">
        <f t="shared" si="152"/>
        <v>835.40902596042849</v>
      </c>
      <c r="S560" s="712">
        <f t="shared" si="153"/>
        <v>830.10510553809763</v>
      </c>
      <c r="T560" s="712">
        <f t="shared" si="154"/>
        <v>828.27186630594247</v>
      </c>
    </row>
    <row r="561" spans="2:20">
      <c r="B561" s="582">
        <v>487</v>
      </c>
      <c r="C561" s="712">
        <f t="shared" si="139"/>
        <v>7.2297363223128324</v>
      </c>
      <c r="D561" s="712">
        <f t="shared" si="140"/>
        <v>1466.277180570972</v>
      </c>
      <c r="E561" s="712">
        <f t="shared" si="141"/>
        <v>1003.6713689092941</v>
      </c>
      <c r="F561" s="712">
        <f t="shared" si="142"/>
        <v>658.56837964107194</v>
      </c>
      <c r="G561" s="712">
        <f t="shared" si="143"/>
        <v>443.62832205317596</v>
      </c>
      <c r="H561" s="719">
        <f t="shared" si="144"/>
        <v>312.29795162235848</v>
      </c>
      <c r="I561" s="712">
        <f t="shared" si="145"/>
        <v>311.31479676297022</v>
      </c>
      <c r="J561" s="712">
        <f t="shared" si="146"/>
        <v>310.61904121341638</v>
      </c>
      <c r="K561" s="712">
        <f t="shared" si="147"/>
        <v>310.20359807830755</v>
      </c>
      <c r="L561" s="712">
        <f t="shared" si="148"/>
        <v>310.06417441638808</v>
      </c>
      <c r="N561" s="582">
        <v>487</v>
      </c>
      <c r="O561" s="712">
        <f t="shared" si="149"/>
        <v>7.2297363223128324</v>
      </c>
      <c r="P561" s="712">
        <f t="shared" si="150"/>
        <v>857.14964804000988</v>
      </c>
      <c r="Q561" s="712">
        <f t="shared" si="151"/>
        <v>844.99919378846369</v>
      </c>
      <c r="R561" s="712">
        <f t="shared" si="152"/>
        <v>836.25605202233248</v>
      </c>
      <c r="S561" s="712">
        <f t="shared" si="153"/>
        <v>830.95760140913706</v>
      </c>
      <c r="T561" s="712">
        <f t="shared" si="154"/>
        <v>829.12608660460273</v>
      </c>
    </row>
    <row r="562" spans="2:20">
      <c r="B562" s="582">
        <v>488</v>
      </c>
      <c r="C562" s="712">
        <f t="shared" si="139"/>
        <v>7.2445817767734333</v>
      </c>
      <c r="D562" s="712">
        <f t="shared" si="140"/>
        <v>1466.4299273602694</v>
      </c>
      <c r="E562" s="712">
        <f t="shared" si="141"/>
        <v>1004.2119036411151</v>
      </c>
      <c r="F562" s="712">
        <f t="shared" si="142"/>
        <v>659.16715321889524</v>
      </c>
      <c r="G562" s="712">
        <f t="shared" si="143"/>
        <v>444.01294208956767</v>
      </c>
      <c r="H562" s="719">
        <f t="shared" si="144"/>
        <v>312.37095866893384</v>
      </c>
      <c r="I562" s="712">
        <f t="shared" si="145"/>
        <v>311.38539003027091</v>
      </c>
      <c r="J562" s="712">
        <f t="shared" si="146"/>
        <v>310.68789374201856</v>
      </c>
      <c r="K562" s="712">
        <f t="shared" si="147"/>
        <v>310.27139614108745</v>
      </c>
      <c r="L562" s="712">
        <f t="shared" si="148"/>
        <v>310.1316121442685</v>
      </c>
      <c r="N562" s="582">
        <v>488</v>
      </c>
      <c r="O562" s="712">
        <f t="shared" si="149"/>
        <v>7.2445817767734333</v>
      </c>
      <c r="P562" s="712">
        <f t="shared" si="150"/>
        <v>857.9737205558979</v>
      </c>
      <c r="Q562" s="712">
        <f t="shared" si="151"/>
        <v>845.83612454239744</v>
      </c>
      <c r="R562" s="712">
        <f t="shared" si="152"/>
        <v>837.10216401706032</v>
      </c>
      <c r="S562" s="712">
        <f t="shared" si="153"/>
        <v>831.80917731026238</v>
      </c>
      <c r="T562" s="712">
        <f t="shared" si="154"/>
        <v>829.97938507243475</v>
      </c>
    </row>
    <row r="563" spans="2:20">
      <c r="B563" s="582">
        <v>489</v>
      </c>
      <c r="C563" s="712">
        <f t="shared" si="139"/>
        <v>7.2594272312340342</v>
      </c>
      <c r="D563" s="712">
        <f t="shared" si="140"/>
        <v>1466.582226722174</v>
      </c>
      <c r="E563" s="712">
        <f t="shared" si="141"/>
        <v>1004.7509223860955</v>
      </c>
      <c r="F563" s="712">
        <f t="shared" si="142"/>
        <v>659.7646737413188</v>
      </c>
      <c r="G563" s="712">
        <f t="shared" si="143"/>
        <v>444.39711379445788</v>
      </c>
      <c r="H563" s="719">
        <f t="shared" si="144"/>
        <v>312.44412644478848</v>
      </c>
      <c r="I563" s="712">
        <f t="shared" si="145"/>
        <v>311.45614861506425</v>
      </c>
      <c r="J563" s="712">
        <f t="shared" si="146"/>
        <v>310.75691483833441</v>
      </c>
      <c r="K563" s="712">
        <f t="shared" si="147"/>
        <v>310.33936470173597</v>
      </c>
      <c r="L563" s="712">
        <f t="shared" si="148"/>
        <v>310.19922099171265</v>
      </c>
      <c r="N563" s="582">
        <v>489</v>
      </c>
      <c r="O563" s="712">
        <f t="shared" si="149"/>
        <v>7.2594272312340342</v>
      </c>
      <c r="P563" s="712">
        <f t="shared" si="150"/>
        <v>858.79690377490192</v>
      </c>
      <c r="Q563" s="712">
        <f t="shared" si="151"/>
        <v>846.67215212349481</v>
      </c>
      <c r="R563" s="712">
        <f t="shared" si="152"/>
        <v>837.94736293102653</v>
      </c>
      <c r="S563" s="712">
        <f t="shared" si="153"/>
        <v>832.65983423425791</v>
      </c>
      <c r="T563" s="712">
        <f t="shared" si="154"/>
        <v>830.83176270423132</v>
      </c>
    </row>
    <row r="564" spans="2:20">
      <c r="B564" s="582">
        <v>490</v>
      </c>
      <c r="C564" s="712">
        <f t="shared" si="139"/>
        <v>7.274272685694636</v>
      </c>
      <c r="D564" s="712">
        <f t="shared" si="140"/>
        <v>1466.7340805869651</v>
      </c>
      <c r="E564" s="712">
        <f t="shared" si="141"/>
        <v>1005.2884312693394</v>
      </c>
      <c r="F564" s="712">
        <f t="shared" si="142"/>
        <v>660.36094370068815</v>
      </c>
      <c r="G564" s="712">
        <f t="shared" si="143"/>
        <v>444.78083626775998</v>
      </c>
      <c r="H564" s="719">
        <f t="shared" si="144"/>
        <v>312.51745461577281</v>
      </c>
      <c r="I564" s="712">
        <f t="shared" si="145"/>
        <v>311.52707218870211</v>
      </c>
      <c r="J564" s="712">
        <f t="shared" si="146"/>
        <v>310.82610417811912</v>
      </c>
      <c r="K564" s="712">
        <f t="shared" si="147"/>
        <v>310.40750343885901</v>
      </c>
      <c r="L564" s="712">
        <f t="shared" si="148"/>
        <v>310.26700063834602</v>
      </c>
      <c r="N564" s="582">
        <v>490</v>
      </c>
      <c r="O564" s="712">
        <f t="shared" si="149"/>
        <v>7.274272685694636</v>
      </c>
      <c r="P564" s="712">
        <f t="shared" si="150"/>
        <v>859.61919865670563</v>
      </c>
      <c r="Q564" s="712">
        <f t="shared" si="151"/>
        <v>847.50727750641363</v>
      </c>
      <c r="R564" s="712">
        <f t="shared" si="152"/>
        <v>838.79164974958121</v>
      </c>
      <c r="S564" s="712">
        <f t="shared" si="153"/>
        <v>833.50957317283678</v>
      </c>
      <c r="T564" s="712">
        <f t="shared" si="154"/>
        <v>831.68322049371136</v>
      </c>
    </row>
    <row r="565" spans="2:20">
      <c r="B565" s="582">
        <v>491</v>
      </c>
      <c r="C565" s="712">
        <f t="shared" si="139"/>
        <v>7.289118140155237</v>
      </c>
      <c r="D565" s="712">
        <f t="shared" si="140"/>
        <v>1466.8854908727751</v>
      </c>
      <c r="E565" s="712">
        <f t="shared" si="141"/>
        <v>1005.8244363799432</v>
      </c>
      <c r="F565" s="712">
        <f t="shared" si="142"/>
        <v>660.95596559045441</v>
      </c>
      <c r="G565" s="712">
        <f t="shared" si="143"/>
        <v>445.1641086275967</v>
      </c>
      <c r="H565" s="719">
        <f t="shared" si="144"/>
        <v>312.59094284761767</v>
      </c>
      <c r="I565" s="712">
        <f t="shared" si="145"/>
        <v>311.59816042226657</v>
      </c>
      <c r="J565" s="712">
        <f t="shared" si="146"/>
        <v>310.8954614367463</v>
      </c>
      <c r="K565" s="712">
        <f t="shared" si="147"/>
        <v>310.47581203061259</v>
      </c>
      <c r="L565" s="712">
        <f t="shared" si="148"/>
        <v>310.33495076332116</v>
      </c>
      <c r="N565" s="582">
        <v>491</v>
      </c>
      <c r="O565" s="712">
        <f t="shared" si="149"/>
        <v>7.289118140155237</v>
      </c>
      <c r="P565" s="712">
        <f t="shared" si="150"/>
        <v>860.44060615995716</v>
      </c>
      <c r="Q565" s="712">
        <f t="shared" si="151"/>
        <v>848.34150166476002</v>
      </c>
      <c r="R565" s="712">
        <f t="shared" si="152"/>
        <v>839.6350254570109</v>
      </c>
      <c r="S565" s="712">
        <f t="shared" si="153"/>
        <v>834.35839511664199</v>
      </c>
      <c r="T565" s="712">
        <f t="shared" si="154"/>
        <v>832.5337594335216</v>
      </c>
    </row>
    <row r="566" spans="2:20">
      <c r="B566" s="582">
        <v>492</v>
      </c>
      <c r="C566" s="712">
        <f t="shared" si="139"/>
        <v>7.3039635946158388</v>
      </c>
      <c r="D566" s="712">
        <f t="shared" si="140"/>
        <v>1467.0364594856896</v>
      </c>
      <c r="E566" s="712">
        <f t="shared" si="141"/>
        <v>1006.3589437712753</v>
      </c>
      <c r="F566" s="712">
        <f t="shared" si="142"/>
        <v>661.54974190508221</v>
      </c>
      <c r="G566" s="712">
        <f t="shared" si="143"/>
        <v>445.54693001013686</v>
      </c>
      <c r="H566" s="719">
        <f t="shared" si="144"/>
        <v>312.66459080594268</v>
      </c>
      <c r="I566" s="712">
        <f t="shared" si="145"/>
        <v>311.66941298657952</v>
      </c>
      <c r="J566" s="712">
        <f t="shared" si="146"/>
        <v>310.96498628921893</v>
      </c>
      <c r="K566" s="712">
        <f t="shared" si="147"/>
        <v>310.54429015471419</v>
      </c>
      <c r="L566" s="712">
        <f t="shared" si="148"/>
        <v>310.40307104532923</v>
      </c>
      <c r="N566" s="582">
        <v>492</v>
      </c>
      <c r="O566" s="712">
        <f t="shared" si="149"/>
        <v>7.3039635946158388</v>
      </c>
      <c r="P566" s="712">
        <f t="shared" si="150"/>
        <v>861.26112724226982</v>
      </c>
      <c r="Q566" s="712">
        <f t="shared" si="151"/>
        <v>849.17482557108951</v>
      </c>
      <c r="R566" s="712">
        <f t="shared" si="152"/>
        <v>840.47749103654041</v>
      </c>
      <c r="S566" s="712">
        <f t="shared" si="153"/>
        <v>835.20630105524697</v>
      </c>
      <c r="T566" s="712">
        <f t="shared" si="154"/>
        <v>833.38338051523772</v>
      </c>
    </row>
    <row r="567" spans="2:20">
      <c r="B567" s="582">
        <v>493</v>
      </c>
      <c r="C567" s="712">
        <f t="shared" si="139"/>
        <v>7.3188090490764397</v>
      </c>
      <c r="D567" s="712">
        <f t="shared" si="140"/>
        <v>1467.1869883198456</v>
      </c>
      <c r="E567" s="712">
        <f t="shared" si="141"/>
        <v>1006.8919594612543</v>
      </c>
      <c r="F567" s="712">
        <f t="shared" si="142"/>
        <v>662.14227513995911</v>
      </c>
      <c r="G567" s="712">
        <f t="shared" si="143"/>
        <v>445.92929956943385</v>
      </c>
      <c r="H567" s="719">
        <f t="shared" si="144"/>
        <v>312.73839815626417</v>
      </c>
      <c r="I567" s="712">
        <f t="shared" si="145"/>
        <v>311.74082955221195</v>
      </c>
      <c r="J567" s="712">
        <f t="shared" si="146"/>
        <v>311.03467841017982</v>
      </c>
      <c r="K567" s="712">
        <f t="shared" si="147"/>
        <v>310.61293748845355</v>
      </c>
      <c r="L567" s="712">
        <f t="shared" si="148"/>
        <v>310.47136116261106</v>
      </c>
      <c r="N567" s="582">
        <v>493</v>
      </c>
      <c r="O567" s="712">
        <f t="shared" si="149"/>
        <v>7.3188090490764397</v>
      </c>
      <c r="P567" s="712">
        <f t="shared" si="150"/>
        <v>862.0807628602239</v>
      </c>
      <c r="Q567" s="712">
        <f t="shared" si="151"/>
        <v>850.00725019690776</v>
      </c>
      <c r="R567" s="712">
        <f t="shared" si="152"/>
        <v>841.31904747033286</v>
      </c>
      <c r="S567" s="712">
        <f t="shared" si="153"/>
        <v>836.05329197715798</v>
      </c>
      <c r="T567" s="712">
        <f t="shared" si="154"/>
        <v>834.23208472936517</v>
      </c>
    </row>
    <row r="568" spans="2:20">
      <c r="B568" s="582">
        <v>494</v>
      </c>
      <c r="C568" s="712">
        <f t="shared" si="139"/>
        <v>7.3336545035370406</v>
      </c>
      <c r="D568" s="712">
        <f t="shared" si="140"/>
        <v>1467.3370792575295</v>
      </c>
      <c r="E568" s="712">
        <f t="shared" si="141"/>
        <v>1007.4234894326239</v>
      </c>
      <c r="F568" s="712">
        <f t="shared" si="142"/>
        <v>662.73356779130597</v>
      </c>
      <c r="G568" s="712">
        <f t="shared" si="143"/>
        <v>446.31121647726445</v>
      </c>
      <c r="H568" s="719">
        <f t="shared" si="144"/>
        <v>312.8123645640033</v>
      </c>
      <c r="I568" s="712">
        <f t="shared" si="145"/>
        <v>311.81240978949336</v>
      </c>
      <c r="J568" s="712">
        <f t="shared" si="146"/>
        <v>311.10453747392171</v>
      </c>
      <c r="K568" s="712">
        <f t="shared" si="147"/>
        <v>310.68175370870404</v>
      </c>
      <c r="L568" s="712">
        <f t="shared" si="148"/>
        <v>310.53982079296844</v>
      </c>
      <c r="N568" s="582">
        <v>494</v>
      </c>
      <c r="O568" s="712">
        <f t="shared" si="149"/>
        <v>7.3336545035370406</v>
      </c>
      <c r="P568" s="712">
        <f t="shared" si="150"/>
        <v>862.89951396936715</v>
      </c>
      <c r="Q568" s="712">
        <f t="shared" si="151"/>
        <v>850.83877651267255</v>
      </c>
      <c r="R568" s="712">
        <f t="shared" si="152"/>
        <v>842.15969573949189</v>
      </c>
      <c r="S568" s="712">
        <f t="shared" si="153"/>
        <v>836.89936886981423</v>
      </c>
      <c r="T568" s="712">
        <f t="shared" si="154"/>
        <v>835.07987306534039</v>
      </c>
    </row>
    <row r="569" spans="2:20">
      <c r="B569" s="582">
        <v>495</v>
      </c>
      <c r="C569" s="712">
        <f t="shared" si="139"/>
        <v>7.3484999579976424</v>
      </c>
      <c r="D569" s="712">
        <f t="shared" si="140"/>
        <v>1467.4867341692745</v>
      </c>
      <c r="E569" s="712">
        <f t="shared" si="141"/>
        <v>1007.9535396332268</v>
      </c>
      <c r="F569" s="712">
        <f t="shared" si="142"/>
        <v>663.32362235608934</v>
      </c>
      <c r="G569" s="712">
        <f t="shared" si="143"/>
        <v>446.69267992296943</v>
      </c>
      <c r="H569" s="719">
        <f t="shared" si="144"/>
        <v>312.88648969449395</v>
      </c>
      <c r="I569" s="712">
        <f t="shared" si="145"/>
        <v>311.88415336852125</v>
      </c>
      <c r="J569" s="712">
        <f t="shared" si="146"/>
        <v>311.17456315439773</v>
      </c>
      <c r="K569" s="712">
        <f t="shared" si="147"/>
        <v>310.75073849193308</v>
      </c>
      <c r="L569" s="712">
        <f t="shared" si="148"/>
        <v>310.60844961377529</v>
      </c>
      <c r="N569" s="582">
        <v>495</v>
      </c>
      <c r="O569" s="712">
        <f t="shared" si="149"/>
        <v>7.3484999579976424</v>
      </c>
      <c r="P569" s="712">
        <f t="shared" si="150"/>
        <v>863.71738152421619</v>
      </c>
      <c r="Q569" s="712">
        <f t="shared" si="151"/>
        <v>851.66940548779394</v>
      </c>
      <c r="R569" s="712">
        <f t="shared" si="152"/>
        <v>842.99943682406229</v>
      </c>
      <c r="S569" s="712">
        <f t="shared" si="153"/>
        <v>837.7445327195893</v>
      </c>
      <c r="T569" s="712">
        <f t="shared" si="154"/>
        <v>835.92674651153243</v>
      </c>
    </row>
    <row r="570" spans="2:20">
      <c r="B570" s="582">
        <v>496</v>
      </c>
      <c r="C570" s="712">
        <f t="shared" si="139"/>
        <v>7.3633454124582434</v>
      </c>
      <c r="D570" s="712">
        <f t="shared" si="140"/>
        <v>1467.6359549139565</v>
      </c>
      <c r="E570" s="712">
        <f t="shared" si="141"/>
        <v>1008.4821159762745</v>
      </c>
      <c r="F570" s="712">
        <f t="shared" si="142"/>
        <v>663.91244133193493</v>
      </c>
      <c r="G570" s="712">
        <f t="shared" si="143"/>
        <v>447.07368911329485</v>
      </c>
      <c r="H570" s="719">
        <f t="shared" si="144"/>
        <v>312.96077321299049</v>
      </c>
      <c r="I570" s="712">
        <f t="shared" si="145"/>
        <v>311.95605995917003</v>
      </c>
      <c r="J570" s="712">
        <f t="shared" si="146"/>
        <v>311.24475512523162</v>
      </c>
      <c r="K570" s="712">
        <f t="shared" si="147"/>
        <v>310.81989151421323</v>
      </c>
      <c r="L570" s="712">
        <f t="shared" si="148"/>
        <v>310.67724730198842</v>
      </c>
      <c r="N570" s="582">
        <v>496</v>
      </c>
      <c r="O570" s="712">
        <f t="shared" si="149"/>
        <v>7.3633454124582434</v>
      </c>
      <c r="P570" s="712">
        <f t="shared" si="150"/>
        <v>864.53436647825765</v>
      </c>
      <c r="Q570" s="712">
        <f t="shared" si="151"/>
        <v>852.49913809063605</v>
      </c>
      <c r="R570" s="712">
        <f t="shared" si="152"/>
        <v>843.83827170303141</v>
      </c>
      <c r="S570" s="712">
        <f t="shared" si="153"/>
        <v>838.58878451179226</v>
      </c>
      <c r="T570" s="712">
        <f t="shared" si="154"/>
        <v>836.77270605524336</v>
      </c>
    </row>
    <row r="571" spans="2:20">
      <c r="B571" s="582">
        <v>497</v>
      </c>
      <c r="C571" s="712">
        <f t="shared" si="139"/>
        <v>7.3781908669188452</v>
      </c>
      <c r="D571" s="712">
        <f t="shared" si="140"/>
        <v>1467.7847433388886</v>
      </c>
      <c r="E571" s="712">
        <f t="shared" si="141"/>
        <v>1009.0092243406153</v>
      </c>
      <c r="F571" s="712">
        <f t="shared" si="142"/>
        <v>664.50002721704197</v>
      </c>
      <c r="G571" s="712">
        <f t="shared" si="143"/>
        <v>447.45424327223475</v>
      </c>
      <c r="H571" s="719">
        <f t="shared" si="144"/>
        <v>313.03521478467565</v>
      </c>
      <c r="I571" s="712">
        <f t="shared" si="145"/>
        <v>312.02812923110019</v>
      </c>
      <c r="J571" s="712">
        <f t="shared" si="146"/>
        <v>311.31511305972759</v>
      </c>
      <c r="K571" s="712">
        <f t="shared" si="147"/>
        <v>310.88921245123271</v>
      </c>
      <c r="L571" s="712">
        <f t="shared" si="148"/>
        <v>310.74621353415836</v>
      </c>
      <c r="N571" s="582">
        <v>497</v>
      </c>
      <c r="O571" s="712">
        <f t="shared" si="149"/>
        <v>7.3781908669188452</v>
      </c>
      <c r="P571" s="712">
        <f t="shared" si="150"/>
        <v>865.35046978394905</v>
      </c>
      <c r="Q571" s="712">
        <f t="shared" si="151"/>
        <v>853.32797528851802</v>
      </c>
      <c r="R571" s="712">
        <f t="shared" si="152"/>
        <v>844.67620135432969</v>
      </c>
      <c r="S571" s="712">
        <f t="shared" si="153"/>
        <v>839.43212523066893</v>
      </c>
      <c r="T571" s="712">
        <f t="shared" si="154"/>
        <v>837.61775268271003</v>
      </c>
    </row>
    <row r="572" spans="2:20">
      <c r="B572" s="582">
        <v>498</v>
      </c>
      <c r="C572" s="712">
        <f t="shared" si="139"/>
        <v>7.3930363213794461</v>
      </c>
      <c r="D572" s="712">
        <f t="shared" si="140"/>
        <v>1467.9331012799157</v>
      </c>
      <c r="E572" s="712">
        <f t="shared" si="141"/>
        <v>1009.5348705710004</v>
      </c>
      <c r="F572" s="712">
        <f t="shared" si="142"/>
        <v>665.08638251009938</v>
      </c>
      <c r="G572" s="712">
        <f t="shared" si="143"/>
        <v>447.83434164087458</v>
      </c>
      <c r="H572" s="719">
        <f t="shared" si="144"/>
        <v>313.10981407466829</v>
      </c>
      <c r="I572" s="712">
        <f t="shared" si="145"/>
        <v>312.10036085376743</v>
      </c>
      <c r="J572" s="712">
        <f t="shared" si="146"/>
        <v>311.38563663088053</v>
      </c>
      <c r="K572" s="712">
        <f t="shared" si="147"/>
        <v>310.95870097830596</v>
      </c>
      <c r="L572" s="712">
        <f t="shared" si="148"/>
        <v>310.81534798644037</v>
      </c>
      <c r="N572" s="582">
        <v>498</v>
      </c>
      <c r="O572" s="712">
        <f t="shared" si="149"/>
        <v>7.3930363213794461</v>
      </c>
      <c r="P572" s="712">
        <f t="shared" si="150"/>
        <v>866.1656923927203</v>
      </c>
      <c r="Q572" s="712">
        <f t="shared" si="151"/>
        <v>854.15591804771509</v>
      </c>
      <c r="R572" s="712">
        <f t="shared" si="152"/>
        <v>845.51322675483266</v>
      </c>
      <c r="S572" s="712">
        <f t="shared" si="153"/>
        <v>840.27455585940288</v>
      </c>
      <c r="T572" s="712">
        <f t="shared" si="154"/>
        <v>838.46188737910506</v>
      </c>
    </row>
    <row r="573" spans="2:20">
      <c r="B573" s="582">
        <v>499</v>
      </c>
      <c r="C573" s="712">
        <f t="shared" si="139"/>
        <v>7.4078817758400479</v>
      </c>
      <c r="D573" s="712">
        <f t="shared" si="140"/>
        <v>1468.0810305615075</v>
      </c>
      <c r="E573" s="712">
        <f t="shared" si="141"/>
        <v>1010.0590604783465</v>
      </c>
      <c r="F573" s="712">
        <f t="shared" si="142"/>
        <v>665.67150971020305</v>
      </c>
      <c r="G573" s="712">
        <f t="shared" si="143"/>
        <v>448.21398347723607</v>
      </c>
      <c r="H573" s="719">
        <f t="shared" si="144"/>
        <v>313.18457074803075</v>
      </c>
      <c r="I573" s="712">
        <f t="shared" si="145"/>
        <v>312.17275449643154</v>
      </c>
      <c r="J573" s="712">
        <f t="shared" si="146"/>
        <v>311.45632551138567</v>
      </c>
      <c r="K573" s="712">
        <f t="shared" si="147"/>
        <v>311.02835677038422</v>
      </c>
      <c r="L573" s="712">
        <f t="shared" si="148"/>
        <v>310.88465033460506</v>
      </c>
      <c r="N573" s="582">
        <v>499</v>
      </c>
      <c r="O573" s="712">
        <f t="shared" si="149"/>
        <v>7.4078817758400479</v>
      </c>
      <c r="P573" s="712">
        <f t="shared" si="150"/>
        <v>866.98003525497438</v>
      </c>
      <c r="Q573" s="712">
        <f t="shared" si="151"/>
        <v>854.98296733345967</v>
      </c>
      <c r="R573" s="712">
        <f t="shared" si="152"/>
        <v>846.34934888036139</v>
      </c>
      <c r="S573" s="712">
        <f t="shared" si="153"/>
        <v>841.1160773801173</v>
      </c>
      <c r="T573" s="712">
        <f t="shared" si="154"/>
        <v>839.30511112853742</v>
      </c>
    </row>
    <row r="574" spans="2:20">
      <c r="B574" s="582">
        <v>500</v>
      </c>
      <c r="C574" s="712">
        <f t="shared" si="139"/>
        <v>7.4227272303006488</v>
      </c>
      <c r="D574" s="712">
        <f t="shared" si="140"/>
        <v>1468.2285329968515</v>
      </c>
      <c r="E574" s="712">
        <f t="shared" si="141"/>
        <v>1010.5817998399971</v>
      </c>
      <c r="F574" s="712">
        <f t="shared" si="142"/>
        <v>666.25541131677403</v>
      </c>
      <c r="G574" s="712">
        <f t="shared" si="143"/>
        <v>448.59316805612292</v>
      </c>
      <c r="H574" s="719">
        <f t="shared" si="144"/>
        <v>313.25948446977657</v>
      </c>
      <c r="I574" s="712">
        <f t="shared" si="145"/>
        <v>312.24530982816503</v>
      </c>
      <c r="J574" s="712">
        <f t="shared" si="146"/>
        <v>311.52717937364849</v>
      </c>
      <c r="K574" s="712">
        <f t="shared" si="147"/>
        <v>311.09817950206588</v>
      </c>
      <c r="L574" s="712">
        <f t="shared" si="148"/>
        <v>310.95412025404875</v>
      </c>
      <c r="N574" s="582">
        <v>500</v>
      </c>
      <c r="O574" s="712">
        <f t="shared" si="149"/>
        <v>7.4227272303006488</v>
      </c>
      <c r="P574" s="712">
        <f t="shared" si="150"/>
        <v>867.7934993200887</v>
      </c>
      <c r="Q574" s="712">
        <f t="shared" si="151"/>
        <v>855.80912410994245</v>
      </c>
      <c r="R574" s="712">
        <f t="shared" si="152"/>
        <v>847.18456870568423</v>
      </c>
      <c r="S574" s="712">
        <f t="shared" si="153"/>
        <v>841.95669077387458</v>
      </c>
      <c r="T574" s="712">
        <f t="shared" si="154"/>
        <v>840.1474249140548</v>
      </c>
    </row>
    <row r="575" spans="2:20">
      <c r="B575" s="582">
        <v>501</v>
      </c>
      <c r="C575" s="712">
        <f t="shared" si="139"/>
        <v>7.4375726847612498</v>
      </c>
      <c r="D575" s="712">
        <f t="shared" si="140"/>
        <v>1468.3756103879434</v>
      </c>
      <c r="E575" s="712">
        <f t="shared" si="141"/>
        <v>1011.1030943999806</v>
      </c>
      <c r="F575" s="712">
        <f t="shared" si="142"/>
        <v>666.83808982947892</v>
      </c>
      <c r="G575" s="712">
        <f t="shared" si="143"/>
        <v>448.97189466896765</v>
      </c>
      <c r="H575" s="719">
        <f t="shared" si="144"/>
        <v>313.3345549048779</v>
      </c>
      <c r="I575" s="712">
        <f t="shared" si="145"/>
        <v>312.31802651786217</v>
      </c>
      <c r="J575" s="712">
        <f t="shared" si="146"/>
        <v>311.59819788979456</v>
      </c>
      <c r="K575" s="712">
        <f t="shared" si="147"/>
        <v>311.16816884760664</v>
      </c>
      <c r="L575" s="712">
        <f t="shared" si="148"/>
        <v>311.02375741980421</v>
      </c>
      <c r="N575" s="582">
        <v>501</v>
      </c>
      <c r="O575" s="712">
        <f t="shared" si="149"/>
        <v>7.4375726847612498</v>
      </c>
      <c r="P575" s="712">
        <f t="shared" si="150"/>
        <v>868.60608553641612</v>
      </c>
      <c r="Q575" s="712">
        <f t="shared" si="151"/>
        <v>856.63438934031387</v>
      </c>
      <c r="R575" s="712">
        <f t="shared" si="152"/>
        <v>848.01888720451723</v>
      </c>
      <c r="S575" s="712">
        <f t="shared" si="153"/>
        <v>842.79639702067891</v>
      </c>
      <c r="T575" s="712">
        <f t="shared" si="154"/>
        <v>840.98882971764351</v>
      </c>
    </row>
    <row r="576" spans="2:20">
      <c r="B576" s="582">
        <v>502</v>
      </c>
      <c r="C576" s="712">
        <f t="shared" si="139"/>
        <v>7.4524181392218516</v>
      </c>
      <c r="D576" s="712">
        <f t="shared" si="140"/>
        <v>1468.5222645256795</v>
      </c>
      <c r="E576" s="712">
        <f t="shared" si="141"/>
        <v>1011.6229498692668</v>
      </c>
      <c r="F576" s="712">
        <f t="shared" si="142"/>
        <v>667.41954774815053</v>
      </c>
      <c r="G576" s="712">
        <f t="shared" si="143"/>
        <v>449.35016262367969</v>
      </c>
      <c r="H576" s="719">
        <f t="shared" si="144"/>
        <v>313.40978171827305</v>
      </c>
      <c r="I576" s="712">
        <f t="shared" si="145"/>
        <v>312.39090423424756</v>
      </c>
      <c r="J576" s="712">
        <f t="shared" si="146"/>
        <v>311.66938073167898</v>
      </c>
      <c r="K576" s="712">
        <f t="shared" si="147"/>
        <v>311.23832448092992</v>
      </c>
      <c r="L576" s="712">
        <f t="shared" si="148"/>
        <v>311.093561506551</v>
      </c>
      <c r="N576" s="582">
        <v>502</v>
      </c>
      <c r="O576" s="712">
        <f t="shared" si="149"/>
        <v>7.4524181392218516</v>
      </c>
      <c r="P576" s="712">
        <f t="shared" si="150"/>
        <v>869.4177948512862</v>
      </c>
      <c r="Q576" s="712">
        <f t="shared" si="151"/>
        <v>857.45876398668486</v>
      </c>
      <c r="R576" s="712">
        <f t="shared" si="152"/>
        <v>848.85230534952564</v>
      </c>
      <c r="S576" s="712">
        <f t="shared" si="153"/>
        <v>843.63519709947707</v>
      </c>
      <c r="T576" s="712">
        <f t="shared" si="154"/>
        <v>841.82932652023032</v>
      </c>
    </row>
    <row r="577" spans="2:20">
      <c r="B577" s="582">
        <v>503</v>
      </c>
      <c r="C577" s="712">
        <f t="shared" si="139"/>
        <v>7.4672635936824525</v>
      </c>
      <c r="D577" s="712">
        <f t="shared" si="140"/>
        <v>1468.668497189944</v>
      </c>
      <c r="E577" s="712">
        <f t="shared" si="141"/>
        <v>1012.1413719260207</v>
      </c>
      <c r="F577" s="712">
        <f t="shared" si="142"/>
        <v>667.99978757270992</v>
      </c>
      <c r="G577" s="712">
        <f t="shared" si="143"/>
        <v>449.7279712444942</v>
      </c>
      <c r="H577" s="719">
        <f t="shared" si="144"/>
        <v>313.48516457487347</v>
      </c>
      <c r="I577" s="712">
        <f t="shared" si="145"/>
        <v>312.46394264588469</v>
      </c>
      <c r="J577" s="712">
        <f t="shared" si="146"/>
        <v>311.74072757089584</v>
      </c>
      <c r="K577" s="712">
        <f t="shared" si="147"/>
        <v>311.30864607563672</v>
      </c>
      <c r="L577" s="712">
        <f t="shared" si="148"/>
        <v>311.16353218862542</v>
      </c>
      <c r="N577" s="582">
        <v>503</v>
      </c>
      <c r="O577" s="712">
        <f t="shared" si="149"/>
        <v>7.4672635936824525</v>
      </c>
      <c r="P577" s="712">
        <f t="shared" si="150"/>
        <v>870.22862821100614</v>
      </c>
      <c r="Q577" s="712">
        <f t="shared" si="151"/>
        <v>858.28224901012811</v>
      </c>
      <c r="R577" s="712">
        <f t="shared" si="152"/>
        <v>849.68482411232549</v>
      </c>
      <c r="S577" s="712">
        <f t="shared" si="153"/>
        <v>844.47309198815901</v>
      </c>
      <c r="T577" s="712">
        <f t="shared" si="154"/>
        <v>842.66891630168357</v>
      </c>
    </row>
    <row r="578" spans="2:20">
      <c r="B578" s="582">
        <v>504</v>
      </c>
      <c r="C578" s="712">
        <f t="shared" si="139"/>
        <v>7.4821090481430543</v>
      </c>
      <c r="D578" s="712">
        <f t="shared" si="140"/>
        <v>1468.8143101497001</v>
      </c>
      <c r="E578" s="712">
        <f t="shared" si="141"/>
        <v>1012.6583662158538</v>
      </c>
      <c r="F578" s="712">
        <f t="shared" si="142"/>
        <v>668.57881180308971</v>
      </c>
      <c r="G578" s="712">
        <f t="shared" si="143"/>
        <v>450.10531987182242</v>
      </c>
      <c r="H578" s="719">
        <f t="shared" si="144"/>
        <v>313.56070313957139</v>
      </c>
      <c r="I578" s="712">
        <f t="shared" si="145"/>
        <v>312.53714142118434</v>
      </c>
      <c r="J578" s="712">
        <f t="shared" si="146"/>
        <v>311.8122380787878</v>
      </c>
      <c r="K578" s="712">
        <f t="shared" si="147"/>
        <v>311.37913330501573</v>
      </c>
      <c r="L578" s="712">
        <f t="shared" si="148"/>
        <v>311.23366914003128</v>
      </c>
      <c r="N578" s="582">
        <v>504</v>
      </c>
      <c r="O578" s="712">
        <f t="shared" si="149"/>
        <v>7.4821090481430543</v>
      </c>
      <c r="P578" s="712">
        <f t="shared" si="150"/>
        <v>871.03858656086175</v>
      </c>
      <c r="Q578" s="712">
        <f t="shared" si="151"/>
        <v>859.10484537067919</v>
      </c>
      <c r="R578" s="712">
        <f t="shared" si="152"/>
        <v>850.51644446348405</v>
      </c>
      <c r="S578" s="712">
        <f t="shared" si="153"/>
        <v>845.31008266355968</v>
      </c>
      <c r="T578" s="712">
        <f t="shared" si="154"/>
        <v>843.50760004081405</v>
      </c>
    </row>
    <row r="579" spans="2:20">
      <c r="B579" s="582">
        <v>505</v>
      </c>
      <c r="C579" s="712">
        <f t="shared" si="139"/>
        <v>7.4969545026036553</v>
      </c>
      <c r="D579" s="712">
        <f t="shared" si="140"/>
        <v>1468.9597051630772</v>
      </c>
      <c r="E579" s="712">
        <f t="shared" si="141"/>
        <v>1013.1739383520737</v>
      </c>
      <c r="F579" s="712">
        <f t="shared" si="142"/>
        <v>669.15662293915921</v>
      </c>
      <c r="G579" s="712">
        <f t="shared" si="143"/>
        <v>450.48220786210243</v>
      </c>
      <c r="H579" s="719">
        <f t="shared" si="144"/>
        <v>313.63639707724656</v>
      </c>
      <c r="I579" s="712">
        <f t="shared" si="145"/>
        <v>312.61050022841329</v>
      </c>
      <c r="J579" s="712">
        <f t="shared" si="146"/>
        <v>311.88391192645548</v>
      </c>
      <c r="K579" s="712">
        <f t="shared" si="147"/>
        <v>311.44978584205336</v>
      </c>
      <c r="L579" s="712">
        <f t="shared" si="148"/>
        <v>311.30397203444937</v>
      </c>
      <c r="N579" s="582">
        <v>505</v>
      </c>
      <c r="O579" s="712">
        <f t="shared" si="149"/>
        <v>7.4969545026036553</v>
      </c>
      <c r="P579" s="712">
        <f t="shared" si="150"/>
        <v>871.84767084511907</v>
      </c>
      <c r="Q579" s="712">
        <f t="shared" si="151"/>
        <v>859.9265540273376</v>
      </c>
      <c r="R579" s="712">
        <f t="shared" si="152"/>
        <v>851.34716737252097</v>
      </c>
      <c r="S579" s="712">
        <f t="shared" si="153"/>
        <v>846.1461701014598</v>
      </c>
      <c r="T579" s="712">
        <f t="shared" si="154"/>
        <v>844.34537871537611</v>
      </c>
    </row>
    <row r="580" spans="2:20">
      <c r="B580" s="582">
        <v>506</v>
      </c>
      <c r="C580" s="712">
        <f t="shared" si="139"/>
        <v>7.5117999570642562</v>
      </c>
      <c r="D580" s="712">
        <f t="shared" si="140"/>
        <v>1469.1046839774583</v>
      </c>
      <c r="E580" s="712">
        <f t="shared" si="141"/>
        <v>1013.6880939159309</v>
      </c>
      <c r="F580" s="712">
        <f t="shared" si="142"/>
        <v>669.73322348064971</v>
      </c>
      <c r="G580" s="712">
        <f t="shared" si="143"/>
        <v>450.85863458765181</v>
      </c>
      <c r="H580" s="719">
        <f t="shared" si="144"/>
        <v>313.71224605277365</v>
      </c>
      <c r="I580" s="712">
        <f t="shared" si="145"/>
        <v>312.68401873570247</v>
      </c>
      <c r="J580" s="712">
        <f t="shared" si="146"/>
        <v>311.95574878476651</v>
      </c>
      <c r="K580" s="712">
        <f t="shared" si="147"/>
        <v>311.52060335944338</v>
      </c>
      <c r="L580" s="712">
        <f t="shared" si="148"/>
        <v>311.37444054524809</v>
      </c>
      <c r="N580" s="582">
        <v>506</v>
      </c>
      <c r="O580" s="712">
        <f t="shared" si="149"/>
        <v>7.5117999570642562</v>
      </c>
      <c r="P580" s="712">
        <f t="shared" si="150"/>
        <v>872.65588200702484</v>
      </c>
      <c r="Q580" s="712">
        <f t="shared" si="151"/>
        <v>860.74737593806799</v>
      </c>
      <c r="R580" s="712">
        <f t="shared" si="152"/>
        <v>852.17699380790998</v>
      </c>
      <c r="S580" s="712">
        <f t="shared" si="153"/>
        <v>846.9813552765869</v>
      </c>
      <c r="T580" s="712">
        <f t="shared" si="154"/>
        <v>845.18225330206928</v>
      </c>
    </row>
    <row r="581" spans="2:20">
      <c r="B581" s="582">
        <v>507</v>
      </c>
      <c r="C581" s="712">
        <f t="shared" si="139"/>
        <v>7.526645411524858</v>
      </c>
      <c r="D581" s="712">
        <f t="shared" si="140"/>
        <v>1469.2492483295662</v>
      </c>
      <c r="E581" s="712">
        <f t="shared" si="141"/>
        <v>1014.2008384568642</v>
      </c>
      <c r="F581" s="712">
        <f t="shared" si="142"/>
        <v>670.30861592708118</v>
      </c>
      <c r="G581" s="712">
        <f t="shared" si="143"/>
        <v>451.23459943652045</v>
      </c>
      <c r="H581" s="719">
        <f t="shared" si="144"/>
        <v>313.78824973102923</v>
      </c>
      <c r="I581" s="712">
        <f t="shared" si="145"/>
        <v>312.757696611055</v>
      </c>
      <c r="J581" s="712">
        <f t="shared" si="146"/>
        <v>312.02774832436489</v>
      </c>
      <c r="K581" s="712">
        <f t="shared" si="147"/>
        <v>311.59158552959661</v>
      </c>
      <c r="L581" s="712">
        <f t="shared" si="148"/>
        <v>311.44507434549286</v>
      </c>
      <c r="N581" s="582">
        <v>507</v>
      </c>
      <c r="O581" s="712">
        <f t="shared" si="149"/>
        <v>7.526645411524858</v>
      </c>
      <c r="P581" s="712">
        <f t="shared" si="150"/>
        <v>873.46322098880819</v>
      </c>
      <c r="Q581" s="712">
        <f t="shared" si="151"/>
        <v>861.567312059801</v>
      </c>
      <c r="R581" s="712">
        <f t="shared" si="152"/>
        <v>853.00592473707957</v>
      </c>
      <c r="S581" s="712">
        <f t="shared" si="153"/>
        <v>847.815639162617</v>
      </c>
      <c r="T581" s="712">
        <f t="shared" si="154"/>
        <v>846.01822477653877</v>
      </c>
    </row>
    <row r="582" spans="2:20">
      <c r="B582" s="582">
        <v>508</v>
      </c>
      <c r="C582" s="712">
        <f t="shared" si="139"/>
        <v>7.5414908659854589</v>
      </c>
      <c r="D582" s="712">
        <f t="shared" si="140"/>
        <v>1469.3933999455489</v>
      </c>
      <c r="E582" s="712">
        <f t="shared" si="141"/>
        <v>1014.7121774927425</v>
      </c>
      <c r="F582" s="712">
        <f t="shared" si="142"/>
        <v>670.88280277769047</v>
      </c>
      <c r="G582" s="712">
        <f t="shared" si="143"/>
        <v>451.61010181234519</v>
      </c>
      <c r="H582" s="719">
        <f t="shared" si="144"/>
        <v>313.86440777689842</v>
      </c>
      <c r="I582" s="712">
        <f t="shared" si="145"/>
        <v>312.8315335223549</v>
      </c>
      <c r="J582" s="712">
        <f t="shared" si="146"/>
        <v>312.09991021567993</v>
      </c>
      <c r="K582" s="712">
        <f t="shared" si="147"/>
        <v>311.66273202465078</v>
      </c>
      <c r="L582" s="712">
        <f t="shared" si="148"/>
        <v>311.51587310795611</v>
      </c>
      <c r="N582" s="582">
        <v>508</v>
      </c>
      <c r="O582" s="712">
        <f t="shared" si="149"/>
        <v>7.5414908659854589</v>
      </c>
      <c r="P582" s="712">
        <f t="shared" si="150"/>
        <v>874.26968873168107</v>
      </c>
      <c r="Q582" s="712">
        <f t="shared" si="151"/>
        <v>862.38636334843477</v>
      </c>
      <c r="R582" s="712">
        <f t="shared" si="152"/>
        <v>853.83396112641412</v>
      </c>
      <c r="S582" s="712">
        <f t="shared" si="153"/>
        <v>848.64902273217501</v>
      </c>
      <c r="T582" s="712">
        <f t="shared" si="154"/>
        <v>846.85329411337716</v>
      </c>
    </row>
    <row r="583" spans="2:20">
      <c r="B583" s="582">
        <v>509</v>
      </c>
      <c r="C583" s="712">
        <f t="shared" si="139"/>
        <v>7.5563363204460607</v>
      </c>
      <c r="D583" s="712">
        <f t="shared" si="140"/>
        <v>1469.5371405410656</v>
      </c>
      <c r="E583" s="712">
        <f t="shared" si="141"/>
        <v>1015.2221165101063</v>
      </c>
      <c r="F583" s="712">
        <f t="shared" si="142"/>
        <v>671.45578653136056</v>
      </c>
      <c r="G583" s="712">
        <f t="shared" si="143"/>
        <v>451.98514113420475</v>
      </c>
      <c r="H583" s="719">
        <f t="shared" si="144"/>
        <v>313.94071985528234</v>
      </c>
      <c r="I583" s="712">
        <f t="shared" si="145"/>
        <v>312.90552913737469</v>
      </c>
      <c r="J583" s="712">
        <f t="shared" si="146"/>
        <v>312.17223412893543</v>
      </c>
      <c r="K583" s="712">
        <f t="shared" si="147"/>
        <v>311.73404251647986</v>
      </c>
      <c r="L583" s="712">
        <f t="shared" si="148"/>
        <v>311.58683650512722</v>
      </c>
      <c r="N583" s="582">
        <v>509</v>
      </c>
      <c r="O583" s="712">
        <f t="shared" si="149"/>
        <v>7.5563363204460607</v>
      </c>
      <c r="P583" s="712">
        <f t="shared" si="150"/>
        <v>875.07528617584001</v>
      </c>
      <c r="Q583" s="712">
        <f t="shared" si="151"/>
        <v>863.20453075883609</v>
      </c>
      <c r="R583" s="712">
        <f t="shared" si="152"/>
        <v>854.66110394125531</v>
      </c>
      <c r="S583" s="712">
        <f t="shared" si="153"/>
        <v>849.48150695683648</v>
      </c>
      <c r="T583" s="712">
        <f t="shared" si="154"/>
        <v>847.6874622861252</v>
      </c>
    </row>
    <row r="584" spans="2:20">
      <c r="B584" s="582">
        <v>510</v>
      </c>
      <c r="C584" s="712">
        <f t="shared" si="139"/>
        <v>7.5711817749066617</v>
      </c>
      <c r="D584" s="712">
        <f t="shared" si="140"/>
        <v>1469.6804718213691</v>
      </c>
      <c r="E584" s="712">
        <f t="shared" si="141"/>
        <v>1015.7306609644054</v>
      </c>
      <c r="F584" s="712">
        <f t="shared" si="142"/>
        <v>672.02756968655035</v>
      </c>
      <c r="G584" s="712">
        <f t="shared" si="143"/>
        <v>452.35971683647665</v>
      </c>
      <c r="H584" s="719">
        <f t="shared" si="144"/>
        <v>314.01718563110433</v>
      </c>
      <c r="I584" s="712">
        <f t="shared" si="145"/>
        <v>312.97968312378373</v>
      </c>
      <c r="J584" s="712">
        <f t="shared" si="146"/>
        <v>312.24471973415842</v>
      </c>
      <c r="K584" s="712">
        <f t="shared" si="147"/>
        <v>311.80551667670363</v>
      </c>
      <c r="L584" s="712">
        <f t="shared" si="148"/>
        <v>311.65796420922169</v>
      </c>
      <c r="N584" s="582">
        <v>510</v>
      </c>
      <c r="O584" s="712">
        <f t="shared" si="149"/>
        <v>7.5711817749066617</v>
      </c>
      <c r="P584" s="712">
        <f t="shared" si="150"/>
        <v>875.88001426046674</v>
      </c>
      <c r="Q584" s="712">
        <f t="shared" si="151"/>
        <v>864.02181524484104</v>
      </c>
      <c r="R584" s="712">
        <f t="shared" si="152"/>
        <v>855.48735414590317</v>
      </c>
      <c r="S584" s="712">
        <f t="shared" si="153"/>
        <v>850.31309280712821</v>
      </c>
      <c r="T584" s="712">
        <f t="shared" si="154"/>
        <v>848.52073026727305</v>
      </c>
    </row>
    <row r="585" spans="2:20">
      <c r="B585" s="582">
        <v>511</v>
      </c>
      <c r="C585" s="712">
        <f t="shared" si="139"/>
        <v>7.5860272293672635</v>
      </c>
      <c r="D585" s="712">
        <f t="shared" si="140"/>
        <v>1469.8233954813902</v>
      </c>
      <c r="E585" s="712">
        <f t="shared" si="141"/>
        <v>1016.2378162802353</v>
      </c>
      <c r="F585" s="712">
        <f t="shared" si="142"/>
        <v>672.59815474122615</v>
      </c>
      <c r="G585" s="712">
        <f t="shared" si="143"/>
        <v>452.73382836869399</v>
      </c>
      <c r="H585" s="719">
        <f t="shared" si="144"/>
        <v>314.09380476931693</v>
      </c>
      <c r="I585" s="712">
        <f t="shared" si="145"/>
        <v>313.05399514915598</v>
      </c>
      <c r="J585" s="712">
        <f t="shared" si="146"/>
        <v>312.31736670118795</v>
      </c>
      <c r="K585" s="712">
        <f t="shared" si="147"/>
        <v>311.87715417669699</v>
      </c>
      <c r="L585" s="712">
        <f t="shared" si="148"/>
        <v>311.72925589219119</v>
      </c>
      <c r="N585" s="582">
        <v>511</v>
      </c>
      <c r="O585" s="712">
        <f t="shared" si="149"/>
        <v>7.5860272293672635</v>
      </c>
      <c r="P585" s="712">
        <f t="shared" si="150"/>
        <v>876.68387392372972</v>
      </c>
      <c r="Q585" s="712">
        <f t="shared" si="151"/>
        <v>864.83821775925639</v>
      </c>
      <c r="R585" s="712">
        <f t="shared" si="152"/>
        <v>856.31271270361674</v>
      </c>
      <c r="S585" s="712">
        <f t="shared" si="153"/>
        <v>851.14378125253006</v>
      </c>
      <c r="T585" s="712">
        <f t="shared" si="154"/>
        <v>849.35309902826134</v>
      </c>
    </row>
    <row r="586" spans="2:20">
      <c r="B586" s="582">
        <v>512</v>
      </c>
      <c r="C586" s="712">
        <f t="shared" si="139"/>
        <v>7.6008726838278644</v>
      </c>
      <c r="D586" s="712">
        <f t="shared" si="140"/>
        <v>1469.9659132058196</v>
      </c>
      <c r="E586" s="712">
        <f t="shared" si="141"/>
        <v>1016.7435878515711</v>
      </c>
      <c r="F586" s="712">
        <f t="shared" si="142"/>
        <v>673.16754419279391</v>
      </c>
      <c r="G586" s="712">
        <f t="shared" si="143"/>
        <v>453.10747519540456</v>
      </c>
      <c r="H586" s="719">
        <f t="shared" si="144"/>
        <v>314.17057693490869</v>
      </c>
      <c r="I586" s="712">
        <f t="shared" si="145"/>
        <v>313.12846488097779</v>
      </c>
      <c r="J586" s="712">
        <f t="shared" si="146"/>
        <v>312.390174699684</v>
      </c>
      <c r="K586" s="712">
        <f t="shared" si="147"/>
        <v>311.94895468759927</v>
      </c>
      <c r="L586" s="712">
        <f t="shared" si="148"/>
        <v>311.80071122573264</v>
      </c>
      <c r="N586" s="582">
        <v>512</v>
      </c>
      <c r="O586" s="712">
        <f t="shared" si="149"/>
        <v>7.6008726838278644</v>
      </c>
      <c r="P586" s="712">
        <f t="shared" si="150"/>
        <v>877.4868661027848</v>
      </c>
      <c r="Q586" s="712">
        <f t="shared" si="151"/>
        <v>865.65373925386086</v>
      </c>
      <c r="R586" s="712">
        <f t="shared" si="152"/>
        <v>857.13718057661572</v>
      </c>
      <c r="S586" s="712">
        <f t="shared" si="153"/>
        <v>851.97357326147539</v>
      </c>
      <c r="T586" s="712">
        <f t="shared" si="154"/>
        <v>850.18456953948248</v>
      </c>
    </row>
    <row r="587" spans="2:20">
      <c r="B587" s="582">
        <v>513</v>
      </c>
      <c r="C587" s="712">
        <f t="shared" ref="C587:C650" si="155">$C$73*B587</f>
        <v>7.6157181382884653</v>
      </c>
      <c r="D587" s="712">
        <f t="shared" ref="D587:D650" si="156">(1-2*FoAb-2*FoAb*BiCombAb)*D586+2*FoAb*E586+2*FoAb*BiCombAb*Tcomb</f>
        <v>1470.1080266691897</v>
      </c>
      <c r="E587" s="712">
        <f t="shared" ref="E587:E650" si="157">FoAb*D586+(1-2*FoAb)*E586+FoAb*F586</f>
        <v>1017.247981042</v>
      </c>
      <c r="F587" s="712">
        <f t="shared" ref="F587:F650" si="158">FoAb*E586+(1-2*FoAb)*F586+FoAb*G586</f>
        <v>673.73574053803281</v>
      </c>
      <c r="G587" s="712">
        <f t="shared" ref="G587:G650" si="159">FoAb*F586+(1-2*FoAb)*G586+FoAb*H586</f>
        <v>453.48065679602951</v>
      </c>
      <c r="H587" s="719">
        <f t="shared" ref="H587:H650" si="160">_FoN1*G586+(1-_FoN1-_FoN2)*H586+_FoN2*I586</f>
        <v>314.24750179291055</v>
      </c>
      <c r="I587" s="712">
        <f t="shared" ref="I587:I650" si="161">FoCase*H586+(1-2*FoCase)*I586+FoCase*J586</f>
        <v>313.20309198665603</v>
      </c>
      <c r="J587" s="712">
        <f t="shared" ref="J587:J650" si="162">FoCase*I586+(1-2*FoCase)*J586+FoCase*K586</f>
        <v>312.46314339913602</v>
      </c>
      <c r="K587" s="712">
        <f t="shared" ref="K587:K650" si="163">FoCase*J586+(1-2*FoCase)*K586+FoCase*L586</f>
        <v>312.02091788032334</v>
      </c>
      <c r="L587" s="712">
        <f t="shared" ref="L587:L650" si="164">(1-2*FoCase-2*FoCase*BiAtmCase)*L586+2*FoCase*K586+2*FoCase*BiAtmCase*Tatm</f>
        <v>311.87232988129784</v>
      </c>
      <c r="N587" s="582">
        <v>513</v>
      </c>
      <c r="O587" s="712">
        <f t="shared" ref="O587:O650" si="165">$O$73*N587</f>
        <v>7.6157181382884653</v>
      </c>
      <c r="P587" s="712">
        <f t="shared" ref="P587:P650" si="166">(1-2*FoCase-2*FoCase*BiCombCase)*P586+2*FoCase*Q586+2*FoCase*BiCombCase*Tcomb</f>
        <v>878.28899173377647</v>
      </c>
      <c r="Q587" s="712">
        <f t="shared" ref="Q587:Q650" si="167">FoCase*P586+(1-2*FoCase)*Q586+FoCase*R586</f>
        <v>866.46838067940598</v>
      </c>
      <c r="R587" s="712">
        <f t="shared" ref="R587:R650" si="168">FoCase*Q586+(1-2*FoCase)*R586+FoCase*S586</f>
        <v>857.96075872608151</v>
      </c>
      <c r="S587" s="712">
        <f t="shared" ref="S587:S650" si="169">FoCase*R586+(1-2*FoCase)*S586+FoCase*T586</f>
        <v>852.80246980135257</v>
      </c>
      <c r="T587" s="712">
        <f t="shared" ref="T587:T650" si="170">(1-2*FoCase-2*FoCase*BiAtmCase)*T586+2*FoCase*S586+2*FoCase*BiAtmCase*Tatm</f>
        <v>851.01514277028173</v>
      </c>
    </row>
    <row r="588" spans="2:20">
      <c r="B588" s="582">
        <v>514</v>
      </c>
      <c r="C588" s="712">
        <f t="shared" si="155"/>
        <v>7.6305635927490671</v>
      </c>
      <c r="D588" s="712">
        <f t="shared" si="156"/>
        <v>1470.2497375359558</v>
      </c>
      <c r="E588" s="712">
        <f t="shared" si="157"/>
        <v>1017.7510011849511</v>
      </c>
      <c r="F588" s="712">
        <f t="shared" si="158"/>
        <v>674.30274627302924</v>
      </c>
      <c r="G588" s="712">
        <f t="shared" si="159"/>
        <v>453.85337266472459</v>
      </c>
      <c r="H588" s="719">
        <f t="shared" si="160"/>
        <v>314.32457900840245</v>
      </c>
      <c r="I588" s="712">
        <f t="shared" si="161"/>
        <v>313.27787613352541</v>
      </c>
      <c r="J588" s="712">
        <f t="shared" si="162"/>
        <v>312.53627246887157</v>
      </c>
      <c r="K588" s="712">
        <f t="shared" si="163"/>
        <v>312.09304342556487</v>
      </c>
      <c r="L588" s="712">
        <f t="shared" si="164"/>
        <v>311.94411153010248</v>
      </c>
      <c r="N588" s="582">
        <v>514</v>
      </c>
      <c r="O588" s="712">
        <f t="shared" si="165"/>
        <v>7.6305635927490671</v>
      </c>
      <c r="P588" s="712">
        <f t="shared" si="166"/>
        <v>879.09025175183922</v>
      </c>
      <c r="Q588" s="712">
        <f t="shared" si="167"/>
        <v>867.28214298561693</v>
      </c>
      <c r="R588" s="712">
        <f t="shared" si="168"/>
        <v>858.78344811215834</v>
      </c>
      <c r="S588" s="712">
        <f t="shared" si="169"/>
        <v>853.63047183850574</v>
      </c>
      <c r="T588" s="712">
        <f t="shared" si="170"/>
        <v>851.8448196889583</v>
      </c>
    </row>
    <row r="589" spans="2:20">
      <c r="B589" s="582">
        <v>515</v>
      </c>
      <c r="C589" s="712">
        <f t="shared" si="155"/>
        <v>7.6454090472096681</v>
      </c>
      <c r="D589" s="712">
        <f t="shared" si="156"/>
        <v>1470.3910474605755</v>
      </c>
      <c r="E589" s="712">
        <f t="shared" si="157"/>
        <v>1018.2526535839229</v>
      </c>
      <c r="F589" s="712">
        <f t="shared" si="158"/>
        <v>674.86856389311265</v>
      </c>
      <c r="G589" s="712">
        <f t="shared" si="159"/>
        <v>454.22562231024108</v>
      </c>
      <c r="H589" s="719">
        <f t="shared" si="160"/>
        <v>314.40180824651969</v>
      </c>
      <c r="I589" s="712">
        <f t="shared" si="161"/>
        <v>313.35281698885638</v>
      </c>
      <c r="J589" s="712">
        <f t="shared" si="162"/>
        <v>312.60956157806476</v>
      </c>
      <c r="K589" s="712">
        <f t="shared" si="163"/>
        <v>312.16533099381115</v>
      </c>
      <c r="L589" s="712">
        <f t="shared" si="164"/>
        <v>312.01605584313552</v>
      </c>
      <c r="N589" s="582">
        <v>515</v>
      </c>
      <c r="O589" s="712">
        <f t="shared" si="165"/>
        <v>7.6454090472096681</v>
      </c>
      <c r="P589" s="712">
        <f t="shared" si="166"/>
        <v>879.890647091098</v>
      </c>
      <c r="Q589" s="712">
        <f t="shared" si="167"/>
        <v>868.09502712119456</v>
      </c>
      <c r="R589" s="712">
        <f t="shared" si="168"/>
        <v>859.60524969395397</v>
      </c>
      <c r="S589" s="712">
        <f t="shared" si="169"/>
        <v>854.45758033823677</v>
      </c>
      <c r="T589" s="712">
        <f t="shared" si="170"/>
        <v>852.67360126276594</v>
      </c>
    </row>
    <row r="590" spans="2:20">
      <c r="B590" s="582">
        <v>516</v>
      </c>
      <c r="C590" s="712">
        <f t="shared" si="155"/>
        <v>7.6602545016702699</v>
      </c>
      <c r="D590" s="712">
        <f t="shared" si="156"/>
        <v>1470.5319580875889</v>
      </c>
      <c r="E590" s="712">
        <f t="shared" si="157"/>
        <v>1018.7529435127099</v>
      </c>
      <c r="F590" s="712">
        <f t="shared" si="158"/>
        <v>675.43319589279156</v>
      </c>
      <c r="G590" s="712">
        <f t="shared" si="159"/>
        <v>454.59740525578854</v>
      </c>
      <c r="H590" s="719">
        <f t="shared" si="160"/>
        <v>314.4791891724596</v>
      </c>
      <c r="I590" s="712">
        <f t="shared" si="161"/>
        <v>313.42791421986237</v>
      </c>
      <c r="J590" s="712">
        <f t="shared" si="162"/>
        <v>312.68301039574453</v>
      </c>
      <c r="K590" s="712">
        <f t="shared" si="163"/>
        <v>312.23778025535023</v>
      </c>
      <c r="L590" s="712">
        <f t="shared" si="164"/>
        <v>312.0881624911683</v>
      </c>
      <c r="N590" s="582">
        <v>516</v>
      </c>
      <c r="O590" s="712">
        <f t="shared" si="165"/>
        <v>7.6602545016702699</v>
      </c>
      <c r="P590" s="712">
        <f t="shared" si="166"/>
        <v>880.69017868466995</v>
      </c>
      <c r="Q590" s="712">
        <f t="shared" si="167"/>
        <v>868.90703403381576</v>
      </c>
      <c r="R590" s="712">
        <f t="shared" si="168"/>
        <v>860.42616442954136</v>
      </c>
      <c r="S590" s="712">
        <f t="shared" si="169"/>
        <v>855.28379626480557</v>
      </c>
      <c r="T590" s="712">
        <f t="shared" si="170"/>
        <v>853.50148845791546</v>
      </c>
    </row>
    <row r="591" spans="2:20">
      <c r="B591" s="582">
        <v>517</v>
      </c>
      <c r="C591" s="712">
        <f t="shared" si="155"/>
        <v>7.6750999561308708</v>
      </c>
      <c r="D591" s="712">
        <f t="shared" si="156"/>
        <v>1470.6724710516971</v>
      </c>
      <c r="E591" s="712">
        <f t="shared" si="157"/>
        <v>1019.2518762156257</v>
      </c>
      <c r="F591" s="712">
        <f t="shared" si="158"/>
        <v>675.99664476569149</v>
      </c>
      <c r="G591" s="712">
        <f t="shared" si="159"/>
        <v>454.96872103889825</v>
      </c>
      <c r="H591" s="719">
        <f t="shared" si="160"/>
        <v>314.55672145148742</v>
      </c>
      <c r="I591" s="712">
        <f t="shared" si="161"/>
        <v>313.50316749370779</v>
      </c>
      <c r="J591" s="712">
        <f t="shared" si="162"/>
        <v>312.75661859080338</v>
      </c>
      <c r="K591" s="712">
        <f t="shared" si="163"/>
        <v>312.31039088027956</v>
      </c>
      <c r="L591" s="712">
        <f t="shared" si="164"/>
        <v>312.16043114476355</v>
      </c>
      <c r="N591" s="582">
        <v>517</v>
      </c>
      <c r="O591" s="712">
        <f t="shared" si="165"/>
        <v>7.6750999561308708</v>
      </c>
      <c r="P591" s="712">
        <f t="shared" si="166"/>
        <v>881.48884746466535</v>
      </c>
      <c r="Q591" s="712">
        <f t="shared" si="167"/>
        <v>869.71816467013423</v>
      </c>
      <c r="R591" s="712">
        <f t="shared" si="168"/>
        <v>861.24619327595974</v>
      </c>
      <c r="S591" s="712">
        <f t="shared" si="169"/>
        <v>856.10912058143106</v>
      </c>
      <c r="T591" s="712">
        <f t="shared" si="170"/>
        <v>854.32848223957433</v>
      </c>
    </row>
    <row r="592" spans="2:20">
      <c r="B592" s="582">
        <v>518</v>
      </c>
      <c r="C592" s="712">
        <f t="shared" si="155"/>
        <v>7.6899454105914726</v>
      </c>
      <c r="D592" s="712">
        <f t="shared" si="156"/>
        <v>1470.8125879778393</v>
      </c>
      <c r="E592" s="712">
        <f t="shared" si="157"/>
        <v>1019.7494569077257</v>
      </c>
      <c r="F592" s="712">
        <f t="shared" si="158"/>
        <v>676.55891300449275</v>
      </c>
      <c r="G592" s="712">
        <f t="shared" si="159"/>
        <v>455.33956921128754</v>
      </c>
      <c r="H592" s="719">
        <f t="shared" si="160"/>
        <v>314.63440474894298</v>
      </c>
      <c r="I592" s="712">
        <f t="shared" si="161"/>
        <v>313.57857647751484</v>
      </c>
      <c r="J592" s="712">
        <f t="shared" si="162"/>
        <v>312.83038583200516</v>
      </c>
      <c r="K592" s="712">
        <f t="shared" si="163"/>
        <v>312.38316253851497</v>
      </c>
      <c r="L592" s="712">
        <f t="shared" si="164"/>
        <v>312.23286147428422</v>
      </c>
      <c r="N592" s="582">
        <v>518</v>
      </c>
      <c r="O592" s="712">
        <f t="shared" si="165"/>
        <v>7.6899454105914726</v>
      </c>
      <c r="P592" s="712">
        <f t="shared" si="166"/>
        <v>882.28665436218841</v>
      </c>
      <c r="Q592" s="712">
        <f t="shared" si="167"/>
        <v>870.52841997578298</v>
      </c>
      <c r="R592" s="712">
        <f t="shared" si="168"/>
        <v>862.06533718921526</v>
      </c>
      <c r="S592" s="712">
        <f t="shared" si="169"/>
        <v>856.93355425029335</v>
      </c>
      <c r="T592" s="712">
        <f t="shared" si="170"/>
        <v>855.15458357186867</v>
      </c>
    </row>
    <row r="593" spans="2:20">
      <c r="B593" s="582">
        <v>519</v>
      </c>
      <c r="C593" s="712">
        <f t="shared" si="155"/>
        <v>7.7047908650520736</v>
      </c>
      <c r="D593" s="712">
        <f t="shared" si="156"/>
        <v>1470.9523104812713</v>
      </c>
      <c r="E593" s="712">
        <f t="shared" si="157"/>
        <v>1020.2456907750269</v>
      </c>
      <c r="F593" s="712">
        <f t="shared" si="158"/>
        <v>677.12000310087024</v>
      </c>
      <c r="G593" s="712">
        <f t="shared" si="159"/>
        <v>455.70994933872549</v>
      </c>
      <c r="H593" s="719">
        <f t="shared" si="160"/>
        <v>314.71223873024667</v>
      </c>
      <c r="I593" s="712">
        <f t="shared" si="161"/>
        <v>313.65414083837123</v>
      </c>
      <c r="J593" s="712">
        <f t="shared" si="162"/>
        <v>312.90431178799349</v>
      </c>
      <c r="K593" s="712">
        <f t="shared" si="163"/>
        <v>312.45609489979898</v>
      </c>
      <c r="L593" s="712">
        <f t="shared" si="164"/>
        <v>312.30545314990235</v>
      </c>
      <c r="N593" s="582">
        <v>519</v>
      </c>
      <c r="O593" s="712">
        <f t="shared" si="165"/>
        <v>7.7047908650520736</v>
      </c>
      <c r="P593" s="712">
        <f t="shared" si="166"/>
        <v>883.08360030733854</v>
      </c>
      <c r="Q593" s="712">
        <f t="shared" si="167"/>
        <v>871.33780089537368</v>
      </c>
      <c r="R593" s="712">
        <f t="shared" si="168"/>
        <v>862.88359712428269</v>
      </c>
      <c r="S593" s="712">
        <f t="shared" si="169"/>
        <v>857.75709823253374</v>
      </c>
      <c r="T593" s="712">
        <f t="shared" si="170"/>
        <v>855.97979341788414</v>
      </c>
    </row>
    <row r="594" spans="2:20">
      <c r="B594" s="582">
        <v>520</v>
      </c>
      <c r="C594" s="712">
        <f t="shared" si="155"/>
        <v>7.7196363195126745</v>
      </c>
      <c r="D594" s="712">
        <f t="shared" si="156"/>
        <v>1471.0916401676411</v>
      </c>
      <c r="E594" s="712">
        <f t="shared" si="157"/>
        <v>1020.7405829747248</v>
      </c>
      <c r="F594" s="712">
        <f t="shared" si="158"/>
        <v>677.67991754543368</v>
      </c>
      <c r="G594" s="712">
        <f t="shared" si="159"/>
        <v>456.07986100089926</v>
      </c>
      <c r="H594" s="719">
        <f t="shared" si="160"/>
        <v>314.79022306090559</v>
      </c>
      <c r="I594" s="712">
        <f t="shared" si="161"/>
        <v>313.72986024333727</v>
      </c>
      <c r="J594" s="712">
        <f t="shared" si="162"/>
        <v>312.97839612729967</v>
      </c>
      <c r="K594" s="712">
        <f t="shared" si="163"/>
        <v>312.52918763370985</v>
      </c>
      <c r="L594" s="712">
        <f t="shared" si="164"/>
        <v>312.37820584160801</v>
      </c>
      <c r="N594" s="582">
        <v>520</v>
      </c>
      <c r="O594" s="712">
        <f t="shared" si="165"/>
        <v>7.7196363195126745</v>
      </c>
      <c r="P594" s="712">
        <f t="shared" si="166"/>
        <v>883.87968622921142</v>
      </c>
      <c r="Q594" s="712">
        <f t="shared" si="167"/>
        <v>872.14630837249933</v>
      </c>
      <c r="R594" s="712">
        <f t="shared" si="168"/>
        <v>863.70097403510567</v>
      </c>
      <c r="S594" s="712">
        <f t="shared" si="169"/>
        <v>858.57975348825676</v>
      </c>
      <c r="T594" s="712">
        <f t="shared" si="170"/>
        <v>856.80411273966706</v>
      </c>
    </row>
    <row r="595" spans="2:20">
      <c r="B595" s="582">
        <v>521</v>
      </c>
      <c r="C595" s="712">
        <f t="shared" si="155"/>
        <v>7.7344817739732763</v>
      </c>
      <c r="D595" s="712">
        <f t="shared" si="156"/>
        <v>1471.2305786330651</v>
      </c>
      <c r="E595" s="712">
        <f t="shared" si="157"/>
        <v>1021.2341386354112</v>
      </c>
      <c r="F595" s="712">
        <f t="shared" si="158"/>
        <v>678.2386588276687</v>
      </c>
      <c r="G595" s="712">
        <f t="shared" si="159"/>
        <v>456.44930379128164</v>
      </c>
      <c r="H595" s="719">
        <f t="shared" si="160"/>
        <v>314.86835740651981</v>
      </c>
      <c r="I595" s="712">
        <f t="shared" si="161"/>
        <v>313.80573435945314</v>
      </c>
      <c r="J595" s="712">
        <f t="shared" si="162"/>
        <v>313.05263851835093</v>
      </c>
      <c r="K595" s="712">
        <f t="shared" si="163"/>
        <v>312.60244040966978</v>
      </c>
      <c r="L595" s="712">
        <f t="shared" si="164"/>
        <v>312.45111921921756</v>
      </c>
      <c r="N595" s="582">
        <v>521</v>
      </c>
      <c r="O595" s="712">
        <f t="shared" si="165"/>
        <v>7.7344817739732763</v>
      </c>
      <c r="P595" s="712">
        <f t="shared" si="166"/>
        <v>884.67491305590045</v>
      </c>
      <c r="Q595" s="712">
        <f t="shared" si="167"/>
        <v>872.95394334973412</v>
      </c>
      <c r="R595" s="712">
        <f t="shared" si="168"/>
        <v>864.51746887459899</v>
      </c>
      <c r="S595" s="712">
        <f t="shared" si="169"/>
        <v>859.40152097653038</v>
      </c>
      <c r="T595" s="712">
        <f t="shared" si="170"/>
        <v>857.62754249822592</v>
      </c>
    </row>
    <row r="596" spans="2:20">
      <c r="B596" s="582">
        <v>522</v>
      </c>
      <c r="C596" s="712">
        <f t="shared" si="155"/>
        <v>7.7493272284338772</v>
      </c>
      <c r="D596" s="712">
        <f t="shared" si="156"/>
        <v>1471.3691274642026</v>
      </c>
      <c r="E596" s="712">
        <f t="shared" si="157"/>
        <v>1021.7263628572873</v>
      </c>
      <c r="F596" s="712">
        <f t="shared" si="158"/>
        <v>678.79622943587913</v>
      </c>
      <c r="G596" s="712">
        <f t="shared" si="159"/>
        <v>456.8182773169994</v>
      </c>
      <c r="H596" s="719">
        <f t="shared" si="160"/>
        <v>314.94664143278794</v>
      </c>
      <c r="I596" s="712">
        <f t="shared" si="161"/>
        <v>313.88176285374584</v>
      </c>
      <c r="J596" s="712">
        <f t="shared" si="162"/>
        <v>313.12703862947814</v>
      </c>
      <c r="K596" s="712">
        <f t="shared" si="163"/>
        <v>312.67585289695342</v>
      </c>
      <c r="L596" s="712">
        <f t="shared" si="164"/>
        <v>312.52419295238286</v>
      </c>
      <c r="N596" s="582">
        <v>522</v>
      </c>
      <c r="O596" s="712">
        <f t="shared" si="165"/>
        <v>7.7493272284338772</v>
      </c>
      <c r="P596" s="712">
        <f t="shared" si="166"/>
        <v>885.46928171449679</v>
      </c>
      <c r="Q596" s="712">
        <f t="shared" si="167"/>
        <v>873.7607067686356</v>
      </c>
      <c r="R596" s="712">
        <f t="shared" si="168"/>
        <v>865.33308259464877</v>
      </c>
      <c r="S596" s="712">
        <f t="shared" si="169"/>
        <v>860.22240165538778</v>
      </c>
      <c r="T596" s="712">
        <f t="shared" si="170"/>
        <v>858.45008365353146</v>
      </c>
    </row>
    <row r="597" spans="2:20">
      <c r="B597" s="582">
        <v>523</v>
      </c>
      <c r="C597" s="712">
        <f t="shared" si="155"/>
        <v>7.764172682894479</v>
      </c>
      <c r="D597" s="712">
        <f t="shared" si="156"/>
        <v>1471.5072882383315</v>
      </c>
      <c r="E597" s="712">
        <f t="shared" si="157"/>
        <v>1022.2172607123757</v>
      </c>
      <c r="F597" s="712">
        <f t="shared" si="158"/>
        <v>679.35263185713018</v>
      </c>
      <c r="G597" s="712">
        <f t="shared" si="159"/>
        <v>457.1867811987027</v>
      </c>
      <c r="H597" s="719">
        <f t="shared" si="160"/>
        <v>315.0250748055135</v>
      </c>
      <c r="I597" s="712">
        <f t="shared" si="161"/>
        <v>313.95794539323651</v>
      </c>
      <c r="J597" s="712">
        <f t="shared" si="162"/>
        <v>313.20159612892382</v>
      </c>
      <c r="K597" s="712">
        <f t="shared" si="163"/>
        <v>312.74942476469619</v>
      </c>
      <c r="L597" s="712">
        <f t="shared" si="164"/>
        <v>312.59742671059911</v>
      </c>
      <c r="N597" s="582">
        <v>523</v>
      </c>
      <c r="O597" s="712">
        <f t="shared" si="165"/>
        <v>7.764172682894479</v>
      </c>
      <c r="P597" s="712">
        <f t="shared" si="166"/>
        <v>886.26279313109183</v>
      </c>
      <c r="Q597" s="712">
        <f t="shared" si="167"/>
        <v>874.56659956974454</v>
      </c>
      <c r="R597" s="712">
        <f t="shared" si="168"/>
        <v>866.14781614611411</v>
      </c>
      <c r="S597" s="712">
        <f t="shared" si="169"/>
        <v>861.0423964818284</v>
      </c>
      <c r="T597" s="712">
        <f t="shared" si="170"/>
        <v>859.27173716451898</v>
      </c>
    </row>
    <row r="598" spans="2:20">
      <c r="B598" s="582">
        <v>524</v>
      </c>
      <c r="C598" s="712">
        <f t="shared" si="155"/>
        <v>7.77901813735508</v>
      </c>
      <c r="D598" s="712">
        <f t="shared" si="156"/>
        <v>1471.6450625234202</v>
      </c>
      <c r="E598" s="712">
        <f t="shared" si="157"/>
        <v>1022.7068372447316</v>
      </c>
      <c r="F598" s="712">
        <f t="shared" si="158"/>
        <v>679.90786857719206</v>
      </c>
      <c r="G598" s="712">
        <f t="shared" si="159"/>
        <v>457.55481507043544</v>
      </c>
      <c r="H598" s="719">
        <f t="shared" si="160"/>
        <v>315.10365719061042</v>
      </c>
      <c r="I598" s="712">
        <f t="shared" si="161"/>
        <v>314.03428164494716</v>
      </c>
      <c r="J598" s="712">
        <f t="shared" si="162"/>
        <v>313.27631068484959</v>
      </c>
      <c r="K598" s="712">
        <f t="shared" si="163"/>
        <v>312.82315568190256</v>
      </c>
      <c r="L598" s="712">
        <f t="shared" si="164"/>
        <v>312.67082016321388</v>
      </c>
      <c r="N598" s="582">
        <v>524</v>
      </c>
      <c r="O598" s="712">
        <f t="shared" si="165"/>
        <v>7.77901813735508</v>
      </c>
      <c r="P598" s="712">
        <f t="shared" si="166"/>
        <v>887.05544823077719</v>
      </c>
      <c r="Q598" s="712">
        <f t="shared" si="167"/>
        <v>875.37162269258715</v>
      </c>
      <c r="R598" s="712">
        <f t="shared" si="168"/>
        <v>866.96167047882818</v>
      </c>
      <c r="S598" s="712">
        <f t="shared" si="169"/>
        <v>861.8615064118186</v>
      </c>
      <c r="T598" s="712">
        <f t="shared" si="170"/>
        <v>860.09250398908875</v>
      </c>
    </row>
    <row r="599" spans="2:20">
      <c r="B599" s="582">
        <v>525</v>
      </c>
      <c r="C599" s="712">
        <f t="shared" si="155"/>
        <v>7.7938635918156809</v>
      </c>
      <c r="D599" s="712">
        <f t="shared" si="156"/>
        <v>1471.782451878202</v>
      </c>
      <c r="E599" s="712">
        <f t="shared" si="157"/>
        <v>1023.1950974706509</v>
      </c>
      <c r="F599" s="712">
        <f t="shared" si="158"/>
        <v>680.46194208048519</v>
      </c>
      <c r="G599" s="712">
        <f t="shared" si="159"/>
        <v>457.92237857950659</v>
      </c>
      <c r="H599" s="719">
        <f t="shared" si="160"/>
        <v>315.18238825410918</v>
      </c>
      <c r="I599" s="712">
        <f t="shared" si="161"/>
        <v>314.1107712759075</v>
      </c>
      <c r="J599" s="712">
        <f t="shared" si="162"/>
        <v>313.35118196534444</v>
      </c>
      <c r="K599" s="712">
        <f t="shared" si="163"/>
        <v>312.89704531745434</v>
      </c>
      <c r="L599" s="712">
        <f t="shared" si="164"/>
        <v>312.74437297943496</v>
      </c>
      <c r="N599" s="582">
        <v>525</v>
      </c>
      <c r="O599" s="712">
        <f t="shared" si="165"/>
        <v>7.7938635918156809</v>
      </c>
      <c r="P599" s="712">
        <f t="shared" si="166"/>
        <v>887.8472479376461</v>
      </c>
      <c r="Q599" s="712">
        <f t="shared" si="167"/>
        <v>876.17577707567602</v>
      </c>
      <c r="R599" s="712">
        <f t="shared" si="168"/>
        <v>867.77464654159826</v>
      </c>
      <c r="S599" s="712">
        <f t="shared" si="169"/>
        <v>862.67973240029369</v>
      </c>
      <c r="T599" s="712">
        <f t="shared" si="170"/>
        <v>860.91238508410743</v>
      </c>
    </row>
    <row r="600" spans="2:20">
      <c r="B600" s="582">
        <v>526</v>
      </c>
      <c r="C600" s="712">
        <f t="shared" si="155"/>
        <v>7.8087090462762827</v>
      </c>
      <c r="D600" s="712">
        <f t="shared" si="156"/>
        <v>1471.919457852247</v>
      </c>
      <c r="E600" s="712">
        <f t="shared" si="157"/>
        <v>1023.6820463788771</v>
      </c>
      <c r="F600" s="712">
        <f t="shared" si="158"/>
        <v>681.01485485002604</v>
      </c>
      <c r="G600" s="712">
        <f t="shared" si="159"/>
        <v>458.28947138636244</v>
      </c>
      <c r="H600" s="719">
        <f t="shared" si="160"/>
        <v>315.26126766216248</v>
      </c>
      <c r="I600" s="712">
        <f t="shared" si="161"/>
        <v>314.18741395316204</v>
      </c>
      <c r="J600" s="712">
        <f t="shared" si="162"/>
        <v>313.42620963843171</v>
      </c>
      <c r="K600" s="712">
        <f t="shared" si="163"/>
        <v>312.97109334011861</v>
      </c>
      <c r="L600" s="712">
        <f t="shared" si="164"/>
        <v>312.81808482833901</v>
      </c>
      <c r="N600" s="582">
        <v>526</v>
      </c>
      <c r="O600" s="712">
        <f t="shared" si="165"/>
        <v>7.8087090462762827</v>
      </c>
      <c r="P600" s="712">
        <f t="shared" si="166"/>
        <v>888.63819317479476</v>
      </c>
      <c r="Q600" s="712">
        <f t="shared" si="167"/>
        <v>876.97906365651033</v>
      </c>
      <c r="R600" s="712">
        <f t="shared" si="168"/>
        <v>868.58674528220865</v>
      </c>
      <c r="S600" s="712">
        <f t="shared" si="169"/>
        <v>863.49707540115799</v>
      </c>
      <c r="T600" s="712">
        <f t="shared" si="170"/>
        <v>861.73138140540902</v>
      </c>
    </row>
    <row r="601" spans="2:20">
      <c r="B601" s="582">
        <v>527</v>
      </c>
      <c r="C601" s="712">
        <f t="shared" si="155"/>
        <v>7.8235545007368836</v>
      </c>
      <c r="D601" s="712">
        <f t="shared" si="156"/>
        <v>1472.0560819860336</v>
      </c>
      <c r="E601" s="712">
        <f t="shared" si="157"/>
        <v>1024.167688930806</v>
      </c>
      <c r="F601" s="712">
        <f t="shared" si="158"/>
        <v>681.56660936737342</v>
      </c>
      <c r="G601" s="712">
        <f t="shared" si="159"/>
        <v>458.65609316445995</v>
      </c>
      <c r="H601" s="719">
        <f t="shared" si="160"/>
        <v>315.34029508105067</v>
      </c>
      <c r="I601" s="712">
        <f t="shared" si="161"/>
        <v>314.26420934377666</v>
      </c>
      <c r="J601" s="712">
        <f t="shared" si="162"/>
        <v>313.50139337207713</v>
      </c>
      <c r="K601" s="712">
        <f t="shared" si="163"/>
        <v>313.04529941855583</v>
      </c>
      <c r="L601" s="712">
        <f t="shared" si="164"/>
        <v>312.89195537887946</v>
      </c>
      <c r="N601" s="582">
        <v>527</v>
      </c>
      <c r="O601" s="712">
        <f t="shared" si="165"/>
        <v>7.8235545007368836</v>
      </c>
      <c r="P601" s="712">
        <f t="shared" si="166"/>
        <v>889.42828486432325</v>
      </c>
      <c r="Q601" s="712">
        <f t="shared" si="167"/>
        <v>877.78148337157791</v>
      </c>
      <c r="R601" s="712">
        <f t="shared" si="168"/>
        <v>869.39796764742073</v>
      </c>
      <c r="S601" s="712">
        <f t="shared" si="169"/>
        <v>864.31353636728636</v>
      </c>
      <c r="T601" s="712">
        <f t="shared" si="170"/>
        <v>862.54949390779598</v>
      </c>
    </row>
    <row r="602" spans="2:20">
      <c r="B602" s="582">
        <v>528</v>
      </c>
      <c r="C602" s="712">
        <f t="shared" si="155"/>
        <v>7.8383999551974854</v>
      </c>
      <c r="D602" s="712">
        <f t="shared" si="156"/>
        <v>1472.1923258110201</v>
      </c>
      <c r="E602" s="712">
        <f t="shared" si="157"/>
        <v>1024.6520300606885</v>
      </c>
      <c r="F602" s="712">
        <f t="shared" si="158"/>
        <v>682.11720811257601</v>
      </c>
      <c r="G602" s="712">
        <f t="shared" si="159"/>
        <v>459.02224360014088</v>
      </c>
      <c r="H602" s="719">
        <f t="shared" si="160"/>
        <v>315.41947017718775</v>
      </c>
      <c r="I602" s="712">
        <f t="shared" si="161"/>
        <v>314.34115711484526</v>
      </c>
      <c r="J602" s="712">
        <f t="shared" si="162"/>
        <v>313.57673283419598</v>
      </c>
      <c r="K602" s="712">
        <f t="shared" si="163"/>
        <v>313.11966322132776</v>
      </c>
      <c r="L602" s="712">
        <f t="shared" si="164"/>
        <v>312.96598429989484</v>
      </c>
      <c r="N602" s="582">
        <v>528</v>
      </c>
      <c r="O602" s="712">
        <f t="shared" si="165"/>
        <v>7.8383999551974854</v>
      </c>
      <c r="P602" s="712">
        <f t="shared" si="166"/>
        <v>890.21752392733652</v>
      </c>
      <c r="Q602" s="712">
        <f t="shared" si="167"/>
        <v>878.583037156356</v>
      </c>
      <c r="R602" s="712">
        <f t="shared" si="168"/>
        <v>870.20831458297357</v>
      </c>
      <c r="S602" s="712">
        <f t="shared" si="169"/>
        <v>865.12911625052573</v>
      </c>
      <c r="T602" s="712">
        <f t="shared" si="170"/>
        <v>863.36672354504049</v>
      </c>
    </row>
    <row r="603" spans="2:20">
      <c r="B603" s="582">
        <v>529</v>
      </c>
      <c r="C603" s="712">
        <f t="shared" si="155"/>
        <v>7.8532454096580864</v>
      </c>
      <c r="D603" s="712">
        <f t="shared" si="156"/>
        <v>1472.328190849714</v>
      </c>
      <c r="E603" s="712">
        <f t="shared" si="157"/>
        <v>1025.1350746758328</v>
      </c>
      <c r="F603" s="712">
        <f t="shared" si="158"/>
        <v>682.66665356412068</v>
      </c>
      <c r="G603" s="712">
        <f t="shared" si="159"/>
        <v>459.38792239250682</v>
      </c>
      <c r="H603" s="719">
        <f t="shared" si="160"/>
        <v>315.49879261712658</v>
      </c>
      <c r="I603" s="712">
        <f t="shared" si="161"/>
        <v>314.41825693349659</v>
      </c>
      <c r="J603" s="712">
        <f t="shared" si="162"/>
        <v>313.65222769266063</v>
      </c>
      <c r="K603" s="712">
        <f t="shared" si="163"/>
        <v>313.19418441690533</v>
      </c>
      <c r="L603" s="712">
        <f t="shared" si="164"/>
        <v>313.04017126011667</v>
      </c>
      <c r="N603" s="582">
        <v>529</v>
      </c>
      <c r="O603" s="712">
        <f t="shared" si="165"/>
        <v>7.8532454096580864</v>
      </c>
      <c r="P603" s="712">
        <f t="shared" si="166"/>
        <v>891.00591128394535</v>
      </c>
      <c r="Q603" s="712">
        <f t="shared" si="167"/>
        <v>879.38372594531222</v>
      </c>
      <c r="R603" s="712">
        <f t="shared" si="168"/>
        <v>871.01778703358627</v>
      </c>
      <c r="S603" s="712">
        <f t="shared" si="169"/>
        <v>865.94381600169561</v>
      </c>
      <c r="T603" s="712">
        <f t="shared" si="170"/>
        <v>864.18307126988543</v>
      </c>
    </row>
    <row r="604" spans="2:20">
      <c r="B604" s="582">
        <v>530</v>
      </c>
      <c r="C604" s="712">
        <f t="shared" si="155"/>
        <v>7.8680908641186882</v>
      </c>
      <c r="D604" s="712">
        <f t="shared" si="156"/>
        <v>1472.4636786157428</v>
      </c>
      <c r="E604" s="712">
        <f t="shared" si="157"/>
        <v>1025.616827656803</v>
      </c>
      <c r="F604" s="712">
        <f t="shared" si="158"/>
        <v>683.21494819888164</v>
      </c>
      <c r="G604" s="712">
        <f t="shared" si="159"/>
        <v>459.75312925329524</v>
      </c>
      <c r="H604" s="719">
        <f t="shared" si="160"/>
        <v>315.57826206756442</v>
      </c>
      <c r="I604" s="712">
        <f t="shared" si="161"/>
        <v>314.4955084669005</v>
      </c>
      <c r="J604" s="712">
        <f t="shared" si="162"/>
        <v>313.7278776153077</v>
      </c>
      <c r="K604" s="712">
        <f t="shared" si="163"/>
        <v>313.26886267367644</v>
      </c>
      <c r="L604" s="712">
        <f t="shared" si="164"/>
        <v>313.11451592817735</v>
      </c>
      <c r="N604" s="582">
        <v>530</v>
      </c>
      <c r="O604" s="712">
        <f t="shared" si="165"/>
        <v>7.8680908641186882</v>
      </c>
      <c r="P604" s="712">
        <f t="shared" si="166"/>
        <v>891.79344785326782</v>
      </c>
      <c r="Q604" s="712">
        <f t="shared" si="167"/>
        <v>880.18355067190566</v>
      </c>
      <c r="R604" s="712">
        <f t="shared" si="168"/>
        <v>871.82638594295827</v>
      </c>
      <c r="S604" s="712">
        <f t="shared" si="169"/>
        <v>866.75763657058951</v>
      </c>
      <c r="T604" s="712">
        <f t="shared" si="170"/>
        <v>864.99853803404562</v>
      </c>
    </row>
    <row r="605" spans="2:20">
      <c r="B605" s="582">
        <v>531</v>
      </c>
      <c r="C605" s="712">
        <f t="shared" si="155"/>
        <v>7.8829363185792891</v>
      </c>
      <c r="D605" s="712">
        <f t="shared" si="156"/>
        <v>1472.5987906139228</v>
      </c>
      <c r="E605" s="712">
        <f t="shared" si="157"/>
        <v>1026.0972938576176</v>
      </c>
      <c r="F605" s="712">
        <f t="shared" si="158"/>
        <v>683.76209449207056</v>
      </c>
      <c r="G605" s="712">
        <f t="shared" si="159"/>
        <v>460.11786390675672</v>
      </c>
      <c r="H605" s="719">
        <f t="shared" si="160"/>
        <v>315.65787819534881</v>
      </c>
      <c r="I605" s="712">
        <f t="shared" si="161"/>
        <v>314.57291138227464</v>
      </c>
      <c r="J605" s="712">
        <f t="shared" si="162"/>
        <v>313.80368226994557</v>
      </c>
      <c r="K605" s="712">
        <f t="shared" si="163"/>
        <v>313.3436976599537</v>
      </c>
      <c r="L605" s="712">
        <f t="shared" si="164"/>
        <v>313.18901797261827</v>
      </c>
      <c r="N605" s="582">
        <v>531</v>
      </c>
      <c r="O605" s="712">
        <f t="shared" si="165"/>
        <v>7.8829363185792891</v>
      </c>
      <c r="P605" s="712">
        <f t="shared" si="166"/>
        <v>892.58013455342973</v>
      </c>
      <c r="Q605" s="712">
        <f t="shared" si="167"/>
        <v>880.98251226858849</v>
      </c>
      <c r="R605" s="712">
        <f t="shared" si="168"/>
        <v>872.63411225377047</v>
      </c>
      <c r="S605" s="712">
        <f t="shared" si="169"/>
        <v>867.57057890597594</v>
      </c>
      <c r="T605" s="712">
        <f t="shared" si="170"/>
        <v>865.8131247882086</v>
      </c>
    </row>
    <row r="606" spans="2:20">
      <c r="B606" s="582">
        <v>532</v>
      </c>
      <c r="C606" s="712">
        <f t="shared" si="155"/>
        <v>7.89778177303989</v>
      </c>
      <c r="D606" s="712">
        <f t="shared" si="156"/>
        <v>1472.7335283403272</v>
      </c>
      <c r="E606" s="712">
        <f t="shared" si="157"/>
        <v>1026.5764781059445</v>
      </c>
      <c r="F606" s="712">
        <f t="shared" si="158"/>
        <v>684.30809491718696</v>
      </c>
      <c r="G606" s="712">
        <f t="shared" si="159"/>
        <v>460.48212608953264</v>
      </c>
      <c r="H606" s="719">
        <f t="shared" si="160"/>
        <v>315.73764066748242</v>
      </c>
      <c r="I606" s="712">
        <f t="shared" si="161"/>
        <v>314.65046534689077</v>
      </c>
      <c r="J606" s="712">
        <f t="shared" si="162"/>
        <v>313.87964132436133</v>
      </c>
      <c r="K606" s="712">
        <f t="shared" si="163"/>
        <v>313.41868904398211</v>
      </c>
      <c r="L606" s="712">
        <f t="shared" si="164"/>
        <v>313.26367706189728</v>
      </c>
      <c r="N606" s="582">
        <v>532</v>
      </c>
      <c r="O606" s="712">
        <f t="shared" si="165"/>
        <v>7.89778177303989</v>
      </c>
      <c r="P606" s="712">
        <f t="shared" si="166"/>
        <v>893.36597230156679</v>
      </c>
      <c r="Q606" s="712">
        <f t="shared" si="167"/>
        <v>881.78061166680595</v>
      </c>
      <c r="R606" s="712">
        <f t="shared" si="168"/>
        <v>873.44096690768674</v>
      </c>
      <c r="S606" s="712">
        <f t="shared" si="169"/>
        <v>868.38264395559941</v>
      </c>
      <c r="T606" s="712">
        <f t="shared" si="170"/>
        <v>866.62683248203598</v>
      </c>
    </row>
    <row r="607" spans="2:20">
      <c r="B607" s="582">
        <v>533</v>
      </c>
      <c r="C607" s="712">
        <f t="shared" si="155"/>
        <v>7.9126272275004919</v>
      </c>
      <c r="D607" s="712">
        <f t="shared" si="156"/>
        <v>1472.8678932823543</v>
      </c>
      <c r="E607" s="712">
        <f t="shared" si="157"/>
        <v>1027.0543852032968</v>
      </c>
      <c r="F607" s="712">
        <f t="shared" si="158"/>
        <v>684.85295194597006</v>
      </c>
      <c r="G607" s="712">
        <f t="shared" si="159"/>
        <v>460.84591555053413</v>
      </c>
      <c r="H607" s="719">
        <f t="shared" si="160"/>
        <v>315.81754915112856</v>
      </c>
      <c r="I607" s="712">
        <f t="shared" si="161"/>
        <v>314.72817002808114</v>
      </c>
      <c r="J607" s="712">
        <f t="shared" si="162"/>
        <v>313.95575444632789</v>
      </c>
      <c r="K607" s="712">
        <f t="shared" si="163"/>
        <v>313.49383649394633</v>
      </c>
      <c r="L607" s="712">
        <f t="shared" si="164"/>
        <v>313.33849286439676</v>
      </c>
      <c r="N607" s="582">
        <v>533</v>
      </c>
      <c r="O607" s="712">
        <f t="shared" si="165"/>
        <v>7.9126272275004919</v>
      </c>
      <c r="P607" s="712">
        <f t="shared" si="166"/>
        <v>894.15096201382426</v>
      </c>
      <c r="Q607" s="712">
        <f t="shared" si="167"/>
        <v>882.57784979699898</v>
      </c>
      <c r="R607" s="712">
        <f t="shared" si="168"/>
        <v>874.24695084535426</v>
      </c>
      <c r="S607" s="712">
        <f t="shared" si="169"/>
        <v>869.19383266618206</v>
      </c>
      <c r="T607" s="712">
        <f t="shared" si="170"/>
        <v>867.43966206416508</v>
      </c>
    </row>
    <row r="608" spans="2:20">
      <c r="B608" s="582">
        <v>534</v>
      </c>
      <c r="C608" s="712">
        <f t="shared" si="155"/>
        <v>7.9274726819610928</v>
      </c>
      <c r="D608" s="712">
        <f t="shared" si="156"/>
        <v>1473.0018869187945</v>
      </c>
      <c r="E608" s="712">
        <f t="shared" si="157"/>
        <v>1027.5310199252242</v>
      </c>
      <c r="F608" s="712">
        <f t="shared" si="158"/>
        <v>685.39666804835076</v>
      </c>
      <c r="G608" s="712">
        <f t="shared" si="159"/>
        <v>461.20923205082164</v>
      </c>
      <c r="H608" s="719">
        <f t="shared" si="160"/>
        <v>315.89760331361646</v>
      </c>
      <c r="I608" s="712">
        <f t="shared" si="161"/>
        <v>314.80602509324478</v>
      </c>
      <c r="J608" s="712">
        <f t="shared" si="162"/>
        <v>314.03202130361115</v>
      </c>
      <c r="K608" s="712">
        <f t="shared" si="163"/>
        <v>313.56913967797857</v>
      </c>
      <c r="L608" s="712">
        <f t="shared" si="164"/>
        <v>313.41346504843085</v>
      </c>
      <c r="N608" s="582">
        <v>534</v>
      </c>
      <c r="O608" s="712">
        <f t="shared" si="165"/>
        <v>7.9274726819610928</v>
      </c>
      <c r="P608" s="712">
        <f t="shared" si="166"/>
        <v>894.93510460535924</v>
      </c>
      <c r="Q608" s="712">
        <f t="shared" si="167"/>
        <v>883.37422758860362</v>
      </c>
      <c r="R608" s="712">
        <f t="shared" si="168"/>
        <v>875.05206500640566</v>
      </c>
      <c r="S608" s="712">
        <f t="shared" si="169"/>
        <v>870.004145983424</v>
      </c>
      <c r="T608" s="712">
        <f t="shared" si="170"/>
        <v>868.25161448220877</v>
      </c>
    </row>
    <row r="609" spans="2:20">
      <c r="B609" s="582">
        <v>535</v>
      </c>
      <c r="C609" s="712">
        <f t="shared" si="155"/>
        <v>7.9423181364216946</v>
      </c>
      <c r="D609" s="712">
        <f t="shared" si="156"/>
        <v>1473.135510719897</v>
      </c>
      <c r="E609" s="712">
        <f t="shared" si="157"/>
        <v>1028.0063870215047</v>
      </c>
      <c r="F609" s="712">
        <f t="shared" si="158"/>
        <v>685.93924569240505</v>
      </c>
      <c r="G609" s="712">
        <f t="shared" si="159"/>
        <v>461.57207536348579</v>
      </c>
      <c r="H609" s="719">
        <f t="shared" si="160"/>
        <v>315.97780282244651</v>
      </c>
      <c r="I609" s="712">
        <f t="shared" si="161"/>
        <v>314.88403020985368</v>
      </c>
      <c r="J609" s="712">
        <f t="shared" si="162"/>
        <v>314.10844156397695</v>
      </c>
      <c r="K609" s="712">
        <f t="shared" si="163"/>
        <v>313.64459826416567</v>
      </c>
      <c r="L609" s="712">
        <f t="shared" si="164"/>
        <v>313.48859328225336</v>
      </c>
      <c r="N609" s="582">
        <v>535</v>
      </c>
      <c r="O609" s="712">
        <f t="shared" si="165"/>
        <v>7.9423181364216946</v>
      </c>
      <c r="P609" s="712">
        <f t="shared" si="166"/>
        <v>895.71840099034114</v>
      </c>
      <c r="Q609" s="712">
        <f t="shared" si="167"/>
        <v>884.16974597005333</v>
      </c>
      <c r="R609" s="712">
        <f t="shared" si="168"/>
        <v>875.85631032945946</v>
      </c>
      <c r="S609" s="712">
        <f t="shared" si="169"/>
        <v>870.81358485200485</v>
      </c>
      <c r="T609" s="712">
        <f t="shared" si="170"/>
        <v>869.06269068275788</v>
      </c>
    </row>
    <row r="610" spans="2:20">
      <c r="B610" s="582">
        <v>536</v>
      </c>
      <c r="C610" s="712">
        <f t="shared" si="155"/>
        <v>7.9571635908822955</v>
      </c>
      <c r="D610" s="712">
        <f t="shared" si="156"/>
        <v>1473.2687661474358</v>
      </c>
      <c r="E610" s="712">
        <f t="shared" si="157"/>
        <v>1028.4804912163331</v>
      </c>
      <c r="F610" s="712">
        <f t="shared" si="158"/>
        <v>686.48068734430774</v>
      </c>
      <c r="G610" s="712">
        <f t="shared" si="159"/>
        <v>461.93444527352904</v>
      </c>
      <c r="H610" s="719">
        <f t="shared" si="160"/>
        <v>316.05814734529542</v>
      </c>
      <c r="I610" s="712">
        <f t="shared" si="161"/>
        <v>314.96218504545891</v>
      </c>
      <c r="J610" s="712">
        <f t="shared" si="162"/>
        <v>314.18501489519758</v>
      </c>
      <c r="K610" s="712">
        <f t="shared" si="163"/>
        <v>313.72021192055666</v>
      </c>
      <c r="L610" s="712">
        <f t="shared" si="164"/>
        <v>313.56387723406516</v>
      </c>
      <c r="N610" s="582">
        <v>536</v>
      </c>
      <c r="O610" s="712">
        <f t="shared" si="165"/>
        <v>7.9571635908822955</v>
      </c>
      <c r="P610" s="712">
        <f t="shared" si="166"/>
        <v>896.50085208195253</v>
      </c>
      <c r="Q610" s="712">
        <f t="shared" si="167"/>
        <v>884.96440586877952</v>
      </c>
      <c r="R610" s="712">
        <f t="shared" si="168"/>
        <v>876.65968775212093</v>
      </c>
      <c r="S610" s="712">
        <f t="shared" si="169"/>
        <v>871.62215021558507</v>
      </c>
      <c r="T610" s="712">
        <f t="shared" si="170"/>
        <v>869.87289161138119</v>
      </c>
    </row>
    <row r="611" spans="2:20">
      <c r="B611" s="582">
        <v>537</v>
      </c>
      <c r="C611" s="712">
        <f t="shared" si="155"/>
        <v>7.9720090453428964</v>
      </c>
      <c r="D611" s="712">
        <f t="shared" si="156"/>
        <v>1473.401654654775</v>
      </c>
      <c r="E611" s="712">
        <f t="shared" si="157"/>
        <v>1028.95333720851</v>
      </c>
      <c r="F611" s="712">
        <f t="shared" si="158"/>
        <v>687.02099546828697</v>
      </c>
      <c r="G611" s="712">
        <f t="shared" si="159"/>
        <v>462.29634157774785</v>
      </c>
      <c r="H611" s="719">
        <f t="shared" si="160"/>
        <v>316.13863655002115</v>
      </c>
      <c r="I611" s="712">
        <f t="shared" si="161"/>
        <v>315.0404892676969</v>
      </c>
      <c r="J611" s="712">
        <f t="shared" si="162"/>
        <v>314.26174096505918</v>
      </c>
      <c r="K611" s="712">
        <f t="shared" si="163"/>
        <v>313.79598031516991</v>
      </c>
      <c r="L611" s="712">
        <f t="shared" si="164"/>
        <v>313.63931657202147</v>
      </c>
      <c r="N611" s="582">
        <v>537</v>
      </c>
      <c r="O611" s="712">
        <f t="shared" si="165"/>
        <v>7.9720090453428964</v>
      </c>
      <c r="P611" s="712">
        <f t="shared" si="166"/>
        <v>897.28245879239091</v>
      </c>
      <c r="Q611" s="712">
        <f t="shared" si="167"/>
        <v>885.75820821121283</v>
      </c>
      <c r="R611" s="712">
        <f t="shared" si="168"/>
        <v>877.46219821098384</v>
      </c>
      <c r="S611" s="712">
        <f t="shared" si="169"/>
        <v>872.42984301680633</v>
      </c>
      <c r="T611" s="712">
        <f t="shared" si="170"/>
        <v>870.68221821262762</v>
      </c>
    </row>
    <row r="612" spans="2:20">
      <c r="B612" s="582">
        <v>538</v>
      </c>
      <c r="C612" s="712">
        <f t="shared" si="155"/>
        <v>7.9868544998034983</v>
      </c>
      <c r="D612" s="712">
        <f t="shared" si="156"/>
        <v>1473.5341776869338</v>
      </c>
      <c r="E612" s="712">
        <f t="shared" si="157"/>
        <v>1029.4249296716262</v>
      </c>
      <c r="F612" s="712">
        <f t="shared" si="158"/>
        <v>687.56017252657966</v>
      </c>
      <c r="G612" s="712">
        <f t="shared" si="159"/>
        <v>462.6577640846163</v>
      </c>
      <c r="H612" s="719">
        <f t="shared" si="160"/>
        <v>316.21927010466806</v>
      </c>
      <c r="I612" s="712">
        <f t="shared" si="161"/>
        <v>315.11894254429507</v>
      </c>
      <c r="J612" s="712">
        <f t="shared" si="162"/>
        <v>314.338619441368</v>
      </c>
      <c r="K612" s="712">
        <f t="shared" si="163"/>
        <v>313.87190311600034</v>
      </c>
      <c r="L612" s="712">
        <f t="shared" si="164"/>
        <v>313.71491096423932</v>
      </c>
      <c r="N612" s="582">
        <v>538</v>
      </c>
      <c r="O612" s="712">
        <f t="shared" si="165"/>
        <v>7.9868544998034983</v>
      </c>
      <c r="P612" s="712">
        <f t="shared" si="166"/>
        <v>898.06322203286913</v>
      </c>
      <c r="Q612" s="712">
        <f t="shared" si="167"/>
        <v>886.55115392278412</v>
      </c>
      <c r="R612" s="712">
        <f t="shared" si="168"/>
        <v>878.26384264163119</v>
      </c>
      <c r="S612" s="712">
        <f t="shared" si="169"/>
        <v>873.23666419729341</v>
      </c>
      <c r="T612" s="712">
        <f t="shared" si="170"/>
        <v>871.4906714300264</v>
      </c>
    </row>
    <row r="613" spans="2:20">
      <c r="B613" s="582">
        <v>539</v>
      </c>
      <c r="C613" s="712">
        <f t="shared" si="155"/>
        <v>8.0016999542640992</v>
      </c>
      <c r="D613" s="712">
        <f t="shared" si="156"/>
        <v>1473.6663366806504</v>
      </c>
      <c r="E613" s="712">
        <f t="shared" si="157"/>
        <v>1029.8952732542482</v>
      </c>
      <c r="F613" s="712">
        <f t="shared" si="158"/>
        <v>688.09822097938775</v>
      </c>
      <c r="G613" s="712">
        <f t="shared" si="159"/>
        <v>463.01871261417028</v>
      </c>
      <c r="H613" s="719">
        <f t="shared" si="160"/>
        <v>316.30004767747204</v>
      </c>
      <c r="I613" s="712">
        <f t="shared" si="161"/>
        <v>315.19754454307821</v>
      </c>
      <c r="J613" s="712">
        <f t="shared" si="162"/>
        <v>314.41564999195742</v>
      </c>
      <c r="K613" s="712">
        <f t="shared" si="163"/>
        <v>313.94797999102656</v>
      </c>
      <c r="L613" s="712">
        <f t="shared" si="164"/>
        <v>313.79066007880476</v>
      </c>
      <c r="N613" s="582">
        <v>539</v>
      </c>
      <c r="O613" s="712">
        <f t="shared" si="165"/>
        <v>8.0016999542640992</v>
      </c>
      <c r="P613" s="712">
        <f t="shared" si="166"/>
        <v>898.84314271361688</v>
      </c>
      <c r="Q613" s="712">
        <f t="shared" si="167"/>
        <v>887.34324392792564</v>
      </c>
      <c r="R613" s="712">
        <f t="shared" si="168"/>
        <v>879.06462197863641</v>
      </c>
      <c r="S613" s="712">
        <f t="shared" si="169"/>
        <v>874.0426146976547</v>
      </c>
      <c r="T613" s="712">
        <f t="shared" si="170"/>
        <v>872.29825220608882</v>
      </c>
    </row>
    <row r="614" spans="2:20">
      <c r="B614" s="582">
        <v>540</v>
      </c>
      <c r="C614" s="712">
        <f t="shared" si="155"/>
        <v>8.016545408724701</v>
      </c>
      <c r="D614" s="712">
        <f t="shared" si="156"/>
        <v>1473.7981330644459</v>
      </c>
      <c r="E614" s="712">
        <f t="shared" si="157"/>
        <v>1030.3643725801005</v>
      </c>
      <c r="F614" s="712">
        <f t="shared" si="158"/>
        <v>688.63514328483461</v>
      </c>
      <c r="G614" s="712">
        <f t="shared" si="159"/>
        <v>463.37918699789259</v>
      </c>
      <c r="H614" s="719">
        <f t="shared" si="160"/>
        <v>316.38096893686509</v>
      </c>
      <c r="I614" s="712">
        <f t="shared" si="161"/>
        <v>315.27629493197412</v>
      </c>
      <c r="J614" s="712">
        <f t="shared" si="162"/>
        <v>314.4928322846942</v>
      </c>
      <c r="K614" s="712">
        <f t="shared" si="163"/>
        <v>314.0242106082178</v>
      </c>
      <c r="L614" s="712">
        <f t="shared" si="164"/>
        <v>313.86656358378008</v>
      </c>
      <c r="N614" s="582">
        <v>540</v>
      </c>
      <c r="O614" s="712">
        <f t="shared" si="165"/>
        <v>8.016545408724701</v>
      </c>
      <c r="P614" s="712">
        <f t="shared" si="166"/>
        <v>899.62222174388137</v>
      </c>
      <c r="Q614" s="712">
        <f t="shared" si="167"/>
        <v>888.13447915007202</v>
      </c>
      <c r="R614" s="712">
        <f t="shared" si="168"/>
        <v>879.86453715556399</v>
      </c>
      <c r="S614" s="712">
        <f t="shared" si="169"/>
        <v>874.84769545748372</v>
      </c>
      <c r="T614" s="712">
        <f t="shared" si="170"/>
        <v>873.10496148230879</v>
      </c>
    </row>
    <row r="615" spans="2:20">
      <c r="B615" s="582">
        <v>541</v>
      </c>
      <c r="C615" s="712">
        <f t="shared" si="155"/>
        <v>8.0313908631853028</v>
      </c>
      <c r="D615" s="712">
        <f t="shared" si="156"/>
        <v>1473.9295682586874</v>
      </c>
      <c r="E615" s="712">
        <f t="shared" si="157"/>
        <v>1030.832232248247</v>
      </c>
      <c r="F615" s="712">
        <f t="shared" si="158"/>
        <v>689.17094189892282</v>
      </c>
      <c r="G615" s="712">
        <f t="shared" si="159"/>
        <v>463.73918707859895</v>
      </c>
      <c r="H615" s="719">
        <f t="shared" si="160"/>
        <v>316.46203355148049</v>
      </c>
      <c r="I615" s="712">
        <f t="shared" si="161"/>
        <v>315.35519337901951</v>
      </c>
      <c r="J615" s="712">
        <f t="shared" si="162"/>
        <v>314.57016598748544</v>
      </c>
      <c r="K615" s="712">
        <f t="shared" si="163"/>
        <v>314.10059463554114</v>
      </c>
      <c r="L615" s="712">
        <f t="shared" si="164"/>
        <v>313.9426211472109</v>
      </c>
      <c r="N615" s="582">
        <v>541</v>
      </c>
      <c r="O615" s="712">
        <f t="shared" si="165"/>
        <v>8.0313908631853028</v>
      </c>
      <c r="P615" s="712">
        <f t="shared" si="166"/>
        <v>900.4004600319289</v>
      </c>
      <c r="Q615" s="712">
        <f t="shared" si="167"/>
        <v>888.92486051166111</v>
      </c>
      <c r="R615" s="712">
        <f t="shared" si="168"/>
        <v>880.66358910497149</v>
      </c>
      <c r="S615" s="712">
        <f t="shared" si="169"/>
        <v>875.6519074153598</v>
      </c>
      <c r="T615" s="712">
        <f t="shared" si="170"/>
        <v>873.91080019916444</v>
      </c>
    </row>
    <row r="616" spans="2:20">
      <c r="B616" s="582">
        <v>542</v>
      </c>
      <c r="C616" s="712">
        <f t="shared" si="155"/>
        <v>8.0462363176459029</v>
      </c>
      <c r="D616" s="712">
        <f t="shared" si="156"/>
        <v>1474.0606436756498</v>
      </c>
      <c r="E616" s="712">
        <f t="shared" si="157"/>
        <v>1031.2988568332705</v>
      </c>
      <c r="F616" s="712">
        <f t="shared" si="158"/>
        <v>689.70561927549238</v>
      </c>
      <c r="G616" s="712">
        <f t="shared" si="159"/>
        <v>464.09871271032506</v>
      </c>
      <c r="H616" s="719">
        <f t="shared" si="160"/>
        <v>316.54324119015729</v>
      </c>
      <c r="I616" s="712">
        <f t="shared" si="161"/>
        <v>315.43423955236568</v>
      </c>
      <c r="J616" s="712">
        <f t="shared" si="162"/>
        <v>314.64765076828468</v>
      </c>
      <c r="K616" s="712">
        <f t="shared" si="163"/>
        <v>314.17713174096809</v>
      </c>
      <c r="L616" s="712">
        <f t="shared" si="164"/>
        <v>314.01883243713331</v>
      </c>
      <c r="N616" s="582">
        <v>542</v>
      </c>
      <c r="O616" s="712">
        <f t="shared" si="165"/>
        <v>8.0462363176459029</v>
      </c>
      <c r="P616" s="712">
        <f t="shared" si="166"/>
        <v>901.17785848504548</v>
      </c>
      <c r="Q616" s="712">
        <f t="shared" si="167"/>
        <v>889.71438893413563</v>
      </c>
      <c r="R616" s="712">
        <f t="shared" si="168"/>
        <v>881.46177875840976</v>
      </c>
      <c r="S616" s="712">
        <f t="shared" si="169"/>
        <v>876.45525150884987</v>
      </c>
      <c r="T616" s="712">
        <f t="shared" si="170"/>
        <v>874.71576929611865</v>
      </c>
    </row>
    <row r="617" spans="2:20">
      <c r="B617" s="582">
        <v>543</v>
      </c>
      <c r="C617" s="712">
        <f t="shared" si="155"/>
        <v>8.0610817721065047</v>
      </c>
      <c r="D617" s="712">
        <f t="shared" si="156"/>
        <v>1474.1913607195791</v>
      </c>
      <c r="E617" s="712">
        <f t="shared" si="157"/>
        <v>1031.7642508854506</v>
      </c>
      <c r="F617" s="712">
        <f t="shared" si="158"/>
        <v>690.23917786617949</v>
      </c>
      <c r="G617" s="712">
        <f t="shared" si="159"/>
        <v>464.45776375821418</v>
      </c>
      <c r="H617" s="719">
        <f t="shared" si="160"/>
        <v>316.62459152194549</v>
      </c>
      <c r="I617" s="712">
        <f t="shared" si="161"/>
        <v>315.51343312028439</v>
      </c>
      <c r="J617" s="712">
        <f t="shared" si="162"/>
        <v>314.7252862950985</v>
      </c>
      <c r="K617" s="712">
        <f t="shared" si="163"/>
        <v>314.25382159248164</v>
      </c>
      <c r="L617" s="712">
        <f t="shared" si="164"/>
        <v>314.09519712158061</v>
      </c>
      <c r="N617" s="582">
        <v>543</v>
      </c>
      <c r="O617" s="712">
        <f t="shared" si="165"/>
        <v>8.0610817721065047</v>
      </c>
      <c r="P617" s="712">
        <f t="shared" si="166"/>
        <v>901.95441800953779</v>
      </c>
      <c r="Q617" s="712">
        <f t="shared" si="167"/>
        <v>890.50306533794389</v>
      </c>
      <c r="R617" s="712">
        <f t="shared" si="168"/>
        <v>882.25910704642479</v>
      </c>
      <c r="S617" s="712">
        <f t="shared" si="169"/>
        <v>877.25772867450837</v>
      </c>
      <c r="T617" s="712">
        <f t="shared" si="170"/>
        <v>875.51986971162114</v>
      </c>
    </row>
    <row r="618" spans="2:20">
      <c r="B618" s="582">
        <v>544</v>
      </c>
      <c r="C618" s="712">
        <f t="shared" si="155"/>
        <v>8.0759272265671065</v>
      </c>
      <c r="D618" s="712">
        <f t="shared" si="156"/>
        <v>1474.3217207867519</v>
      </c>
      <c r="E618" s="712">
        <f t="shared" si="157"/>
        <v>1032.2284189309405</v>
      </c>
      <c r="F618" s="712">
        <f t="shared" si="158"/>
        <v>690.77162012037604</v>
      </c>
      <c r="G618" s="712">
        <f t="shared" si="159"/>
        <v>464.81634009840587</v>
      </c>
      <c r="H618" s="719">
        <f t="shared" si="160"/>
        <v>316.70608421611047</v>
      </c>
      <c r="I618" s="712">
        <f t="shared" si="161"/>
        <v>315.59277375117335</v>
      </c>
      <c r="J618" s="712">
        <f t="shared" si="162"/>
        <v>314.80307223599283</v>
      </c>
      <c r="K618" s="712">
        <f t="shared" si="163"/>
        <v>314.33066385808291</v>
      </c>
      <c r="L618" s="712">
        <f t="shared" si="164"/>
        <v>314.17171486859053</v>
      </c>
      <c r="N618" s="582">
        <v>544</v>
      </c>
      <c r="O618" s="712">
        <f t="shared" si="165"/>
        <v>8.0759272265671065</v>
      </c>
      <c r="P618" s="712">
        <f t="shared" si="166"/>
        <v>902.7301395107346</v>
      </c>
      <c r="Q618" s="712">
        <f t="shared" si="167"/>
        <v>891.29089064254083</v>
      </c>
      <c r="R618" s="712">
        <f t="shared" si="168"/>
        <v>883.05557489855744</v>
      </c>
      <c r="S618" s="712">
        <f t="shared" si="169"/>
        <v>878.05933984787976</v>
      </c>
      <c r="T618" s="712">
        <f t="shared" si="170"/>
        <v>876.32310238310811</v>
      </c>
    </row>
    <row r="619" spans="2:20">
      <c r="B619" s="582">
        <v>545</v>
      </c>
      <c r="C619" s="712">
        <f t="shared" si="155"/>
        <v>8.0907726810277065</v>
      </c>
      <c r="D619" s="712">
        <f t="shared" si="156"/>
        <v>1474.451725265538</v>
      </c>
      <c r="E619" s="712">
        <f t="shared" si="157"/>
        <v>1032.6913654719422</v>
      </c>
      <c r="F619" s="712">
        <f t="shared" si="158"/>
        <v>691.30294848518986</v>
      </c>
      <c r="G619" s="712">
        <f t="shared" si="159"/>
        <v>465.17444161792559</v>
      </c>
      <c r="H619" s="719">
        <f t="shared" si="160"/>
        <v>316.78771894213759</v>
      </c>
      <c r="I619" s="712">
        <f t="shared" si="161"/>
        <v>315.672261113562</v>
      </c>
      <c r="J619" s="712">
        <f t="shared" si="162"/>
        <v>314.88100825909925</v>
      </c>
      <c r="K619" s="712">
        <f t="shared" si="163"/>
        <v>314.40765820579799</v>
      </c>
      <c r="L619" s="712">
        <f t="shared" si="164"/>
        <v>314.24838534621182</v>
      </c>
      <c r="N619" s="582">
        <v>545</v>
      </c>
      <c r="O619" s="712">
        <f t="shared" si="165"/>
        <v>8.0907726810277065</v>
      </c>
      <c r="P619" s="712">
        <f t="shared" si="166"/>
        <v>903.50502389298811</v>
      </c>
      <c r="Q619" s="712">
        <f t="shared" si="167"/>
        <v>892.07786576638898</v>
      </c>
      <c r="R619" s="712">
        <f t="shared" si="168"/>
        <v>883.85118324334667</v>
      </c>
      <c r="S619" s="712">
        <f t="shared" si="169"/>
        <v>878.86008596349825</v>
      </c>
      <c r="T619" s="712">
        <f t="shared" si="170"/>
        <v>877.12546824700462</v>
      </c>
    </row>
    <row r="620" spans="2:20">
      <c r="B620" s="582">
        <v>546</v>
      </c>
      <c r="C620" s="712">
        <f t="shared" si="155"/>
        <v>8.1056181354883083</v>
      </c>
      <c r="D620" s="712">
        <f t="shared" si="156"/>
        <v>1474.5813755364593</v>
      </c>
      <c r="E620" s="712">
        <f t="shared" si="157"/>
        <v>1033.1530949868791</v>
      </c>
      <c r="F620" s="712">
        <f t="shared" si="158"/>
        <v>691.83316540540591</v>
      </c>
      <c r="G620" s="712">
        <f t="shared" si="159"/>
        <v>465.53206821457468</v>
      </c>
      <c r="H620" s="719">
        <f t="shared" si="160"/>
        <v>316.86949536973697</v>
      </c>
      <c r="I620" s="712">
        <f t="shared" si="161"/>
        <v>315.75189487611675</v>
      </c>
      <c r="J620" s="712">
        <f t="shared" si="162"/>
        <v>314.95909403262095</v>
      </c>
      <c r="K620" s="712">
        <f t="shared" si="163"/>
        <v>314.48480430368443</v>
      </c>
      <c r="L620" s="712">
        <f t="shared" si="164"/>
        <v>314.32520822251098</v>
      </c>
      <c r="N620" s="582">
        <v>546</v>
      </c>
      <c r="O620" s="712">
        <f t="shared" si="165"/>
        <v>8.1056181354883083</v>
      </c>
      <c r="P620" s="712">
        <f t="shared" si="166"/>
        <v>904.27907205967392</v>
      </c>
      <c r="Q620" s="712">
        <f t="shared" si="167"/>
        <v>892.86399162696011</v>
      </c>
      <c r="R620" s="712">
        <f t="shared" si="168"/>
        <v>884.6459330083286</v>
      </c>
      <c r="S620" s="712">
        <f t="shared" si="169"/>
        <v>879.65996795489013</v>
      </c>
      <c r="T620" s="712">
        <f t="shared" si="170"/>
        <v>877.92696823872495</v>
      </c>
    </row>
    <row r="621" spans="2:20">
      <c r="B621" s="582">
        <v>547</v>
      </c>
      <c r="C621" s="712">
        <f t="shared" si="155"/>
        <v>8.1204635899489102</v>
      </c>
      <c r="D621" s="712">
        <f t="shared" si="156"/>
        <v>1474.7106729722504</v>
      </c>
      <c r="E621" s="712">
        <f t="shared" si="157"/>
        <v>1033.6136119305693</v>
      </c>
      <c r="F621" s="712">
        <f t="shared" si="158"/>
        <v>692.36227332344777</v>
      </c>
      <c r="G621" s="712">
        <f t="shared" si="159"/>
        <v>465.88921979682198</v>
      </c>
      <c r="H621" s="719">
        <f t="shared" si="160"/>
        <v>316.95141316884786</v>
      </c>
      <c r="I621" s="712">
        <f t="shared" si="161"/>
        <v>315.83167470764664</v>
      </c>
      <c r="J621" s="712">
        <f t="shared" si="162"/>
        <v>315.03732922483931</v>
      </c>
      <c r="K621" s="712">
        <f t="shared" si="163"/>
        <v>314.56210181983772</v>
      </c>
      <c r="L621" s="712">
        <f t="shared" si="164"/>
        <v>314.40218316557929</v>
      </c>
      <c r="N621" s="582">
        <v>547</v>
      </c>
      <c r="O621" s="712">
        <f t="shared" si="165"/>
        <v>8.1204635899489102</v>
      </c>
      <c r="P621" s="712">
        <f t="shared" si="166"/>
        <v>905.05228491319338</v>
      </c>
      <c r="Q621" s="712">
        <f t="shared" si="167"/>
        <v>893.64926914073567</v>
      </c>
      <c r="R621" s="712">
        <f t="shared" si="168"/>
        <v>885.43982512003845</v>
      </c>
      <c r="S621" s="712">
        <f t="shared" si="169"/>
        <v>880.4589867545742</v>
      </c>
      <c r="T621" s="712">
        <f t="shared" si="170"/>
        <v>878.72760329267408</v>
      </c>
    </row>
    <row r="622" spans="2:20">
      <c r="B622" s="582">
        <v>548</v>
      </c>
      <c r="C622" s="712">
        <f t="shared" si="155"/>
        <v>8.135309044409512</v>
      </c>
      <c r="D622" s="712">
        <f t="shared" si="156"/>
        <v>1474.8396189379175</v>
      </c>
      <c r="E622" s="712">
        <f t="shared" si="157"/>
        <v>1034.0729207343948</v>
      </c>
      <c r="F622" s="712">
        <f t="shared" si="158"/>
        <v>692.89027467933965</v>
      </c>
      <c r="G622" s="712">
        <f t="shared" si="159"/>
        <v>466.24589628369569</v>
      </c>
      <c r="H622" s="719">
        <f t="shared" si="160"/>
        <v>317.03347200964339</v>
      </c>
      <c r="I622" s="712">
        <f t="shared" si="161"/>
        <v>315.91160027710873</v>
      </c>
      <c r="J622" s="712">
        <f t="shared" si="162"/>
        <v>315.11571350411958</v>
      </c>
      <c r="K622" s="712">
        <f t="shared" si="163"/>
        <v>314.63955042239792</v>
      </c>
      <c r="L622" s="712">
        <f t="shared" si="164"/>
        <v>314.47930984353906</v>
      </c>
      <c r="N622" s="582">
        <v>548</v>
      </c>
      <c r="O622" s="712">
        <f t="shared" si="165"/>
        <v>8.135309044409512</v>
      </c>
      <c r="P622" s="712">
        <f t="shared" si="166"/>
        <v>905.8246633549735</v>
      </c>
      <c r="Q622" s="712">
        <f t="shared" si="167"/>
        <v>894.4336992232079</v>
      </c>
      <c r="R622" s="712">
        <f t="shared" si="168"/>
        <v>886.23286050401202</v>
      </c>
      <c r="S622" s="712">
        <f t="shared" si="169"/>
        <v>881.25714329406242</v>
      </c>
      <c r="T622" s="712">
        <f t="shared" si="170"/>
        <v>879.52737434224878</v>
      </c>
    </row>
    <row r="623" spans="2:20">
      <c r="B623" s="582">
        <v>549</v>
      </c>
      <c r="C623" s="712">
        <f t="shared" si="155"/>
        <v>8.150154498870112</v>
      </c>
      <c r="D623" s="712">
        <f t="shared" si="156"/>
        <v>1474.9682147907968</v>
      </c>
      <c r="E623" s="712">
        <f t="shared" si="157"/>
        <v>1034.5310258064712</v>
      </c>
      <c r="F623" s="712">
        <f t="shared" si="158"/>
        <v>693.41717191066937</v>
      </c>
      <c r="G623" s="712">
        <f t="shared" si="159"/>
        <v>466.60209760467626</v>
      </c>
      <c r="H623" s="719">
        <f t="shared" si="160"/>
        <v>317.11567156253471</v>
      </c>
      <c r="I623" s="712">
        <f t="shared" si="161"/>
        <v>315.99167125361339</v>
      </c>
      <c r="J623" s="712">
        <f t="shared" si="162"/>
        <v>315.19424653891707</v>
      </c>
      <c r="K623" s="712">
        <f t="shared" si="163"/>
        <v>314.71714977955622</v>
      </c>
      <c r="L623" s="712">
        <f t="shared" si="164"/>
        <v>314.5565879245504</v>
      </c>
      <c r="N623" s="582">
        <v>549</v>
      </c>
      <c r="O623" s="712">
        <f t="shared" si="165"/>
        <v>8.150154498870112</v>
      </c>
      <c r="P623" s="712">
        <f t="shared" si="166"/>
        <v>906.59620828546861</v>
      </c>
      <c r="Q623" s="712">
        <f t="shared" si="167"/>
        <v>895.21728278888145</v>
      </c>
      <c r="R623" s="712">
        <f t="shared" si="168"/>
        <v>887.02504008478581</v>
      </c>
      <c r="S623" s="712">
        <f t="shared" si="169"/>
        <v>882.054438503862</v>
      </c>
      <c r="T623" s="712">
        <f t="shared" si="170"/>
        <v>880.32628231983813</v>
      </c>
    </row>
    <row r="624" spans="2:20">
      <c r="B624" s="582">
        <v>550</v>
      </c>
      <c r="C624" s="712">
        <f t="shared" si="155"/>
        <v>8.1649999533307138</v>
      </c>
      <c r="D624" s="712">
        <f t="shared" si="156"/>
        <v>1475.0964618806129</v>
      </c>
      <c r="E624" s="712">
        <f t="shared" si="157"/>
        <v>1034.9879315318153</v>
      </c>
      <c r="F624" s="712">
        <f t="shared" si="158"/>
        <v>693.94296745255156</v>
      </c>
      <c r="G624" s="712">
        <f t="shared" si="159"/>
        <v>466.95782369959016</v>
      </c>
      <c r="H624" s="719">
        <f t="shared" si="160"/>
        <v>317.1980114981755</v>
      </c>
      <c r="I624" s="712">
        <f t="shared" si="161"/>
        <v>316.07188730642952</v>
      </c>
      <c r="J624" s="712">
        <f t="shared" si="162"/>
        <v>315.27292799778314</v>
      </c>
      <c r="K624" s="712">
        <f t="shared" si="163"/>
        <v>314.79489955956092</v>
      </c>
      <c r="L624" s="712">
        <f t="shared" si="164"/>
        <v>314.63401707681766</v>
      </c>
      <c r="N624" s="582">
        <v>550</v>
      </c>
      <c r="O624" s="712">
        <f t="shared" si="165"/>
        <v>8.1649999533307138</v>
      </c>
      <c r="P624" s="712">
        <f t="shared" si="166"/>
        <v>907.36692060416169</v>
      </c>
      <c r="Q624" s="712">
        <f t="shared" si="167"/>
        <v>896.00002075127372</v>
      </c>
      <c r="R624" s="712">
        <f t="shared" si="168"/>
        <v>887.81636478589905</v>
      </c>
      <c r="S624" s="712">
        <f t="shared" si="169"/>
        <v>882.85087331347586</v>
      </c>
      <c r="T624" s="712">
        <f t="shared" si="170"/>
        <v>881.12432815682541</v>
      </c>
    </row>
    <row r="625" spans="2:20">
      <c r="B625" s="582">
        <v>551</v>
      </c>
      <c r="C625" s="712">
        <f t="shared" si="155"/>
        <v>8.1798454077913156</v>
      </c>
      <c r="D625" s="712">
        <f t="shared" si="156"/>
        <v>1475.2243615495361</v>
      </c>
      <c r="E625" s="712">
        <f t="shared" si="157"/>
        <v>1035.4436422725109</v>
      </c>
      <c r="F625" s="712">
        <f t="shared" si="158"/>
        <v>694.46766373759215</v>
      </c>
      <c r="G625" s="712">
        <f t="shared" si="159"/>
        <v>467.31307451850444</v>
      </c>
      <c r="H625" s="719">
        <f t="shared" si="160"/>
        <v>317.28049148746641</v>
      </c>
      <c r="I625" s="712">
        <f t="shared" si="161"/>
        <v>316.15224810499006</v>
      </c>
      <c r="J625" s="712">
        <f t="shared" si="162"/>
        <v>315.35175754937097</v>
      </c>
      <c r="K625" s="712">
        <f t="shared" si="163"/>
        <v>314.87279943072394</v>
      </c>
      <c r="L625" s="712">
        <f t="shared" si="164"/>
        <v>314.71159696859576</v>
      </c>
      <c r="N625" s="582">
        <v>551</v>
      </c>
      <c r="O625" s="712">
        <f t="shared" si="165"/>
        <v>8.1798454077913156</v>
      </c>
      <c r="P625" s="712">
        <f t="shared" si="166"/>
        <v>908.13680120956451</v>
      </c>
      <c r="Q625" s="712">
        <f t="shared" si="167"/>
        <v>896.78191402291691</v>
      </c>
      <c r="R625" s="712">
        <f t="shared" si="168"/>
        <v>888.60683552989394</v>
      </c>
      <c r="S625" s="712">
        <f t="shared" si="169"/>
        <v>883.64644865140394</v>
      </c>
      <c r="T625" s="712">
        <f t="shared" si="170"/>
        <v>881.92151278358847</v>
      </c>
    </row>
    <row r="626" spans="2:20">
      <c r="B626" s="582">
        <v>552</v>
      </c>
      <c r="C626" s="712">
        <f t="shared" si="155"/>
        <v>8.1946908622519157</v>
      </c>
      <c r="D626" s="712">
        <f t="shared" si="156"/>
        <v>1475.35191513224</v>
      </c>
      <c r="E626" s="712">
        <f t="shared" si="157"/>
        <v>1035.898162367874</v>
      </c>
      <c r="F626" s="712">
        <f t="shared" si="158"/>
        <v>694.99126319585298</v>
      </c>
      <c r="G626" s="712">
        <f t="shared" si="159"/>
        <v>467.66785002162197</v>
      </c>
      <c r="H626" s="719">
        <f t="shared" si="160"/>
        <v>317.36311120155915</v>
      </c>
      <c r="I626" s="712">
        <f t="shared" si="161"/>
        <v>316.23275331889681</v>
      </c>
      <c r="J626" s="712">
        <f t="shared" si="162"/>
        <v>315.43073486244134</v>
      </c>
      <c r="K626" s="712">
        <f t="shared" si="163"/>
        <v>314.95084906142711</v>
      </c>
      <c r="L626" s="712">
        <f t="shared" si="164"/>
        <v>314.78932726819676</v>
      </c>
      <c r="N626" s="582">
        <v>552</v>
      </c>
      <c r="O626" s="712">
        <f t="shared" si="165"/>
        <v>8.1946908622519157</v>
      </c>
      <c r="P626" s="712">
        <f t="shared" si="166"/>
        <v>908.90585099921975</v>
      </c>
      <c r="Q626" s="712">
        <f t="shared" si="167"/>
        <v>897.56296351535775</v>
      </c>
      <c r="R626" s="712">
        <f t="shared" si="168"/>
        <v>889.39645323831724</v>
      </c>
      <c r="S626" s="712">
        <f t="shared" si="169"/>
        <v>884.44116544514407</v>
      </c>
      <c r="T626" s="712">
        <f t="shared" si="170"/>
        <v>882.71783712950128</v>
      </c>
    </row>
    <row r="627" spans="2:20">
      <c r="B627" s="582">
        <v>553</v>
      </c>
      <c r="C627" s="712">
        <f t="shared" si="155"/>
        <v>8.2095363167125175</v>
      </c>
      <c r="D627" s="712">
        <f t="shared" si="156"/>
        <v>1475.4791239559579</v>
      </c>
      <c r="E627" s="712">
        <f t="shared" si="157"/>
        <v>1036.3514961346152</v>
      </c>
      <c r="F627" s="712">
        <f t="shared" si="158"/>
        <v>695.51376825481691</v>
      </c>
      <c r="G627" s="712">
        <f t="shared" si="159"/>
        <v>468.02215017917774</v>
      </c>
      <c r="H627" s="719">
        <f t="shared" si="160"/>
        <v>317.44587031186092</v>
      </c>
      <c r="I627" s="712">
        <f t="shared" si="161"/>
        <v>316.31340261792582</v>
      </c>
      <c r="J627" s="712">
        <f t="shared" si="162"/>
        <v>315.50985960586866</v>
      </c>
      <c r="K627" s="712">
        <f t="shared" si="163"/>
        <v>315.02904812012821</v>
      </c>
      <c r="L627" s="712">
        <f t="shared" si="164"/>
        <v>314.86720764399587</v>
      </c>
      <c r="N627" s="582">
        <v>553</v>
      </c>
      <c r="O627" s="712">
        <f t="shared" si="165"/>
        <v>8.2095363167125175</v>
      </c>
      <c r="P627" s="712">
        <f t="shared" si="166"/>
        <v>909.67407086970115</v>
      </c>
      <c r="Q627" s="712">
        <f t="shared" si="167"/>
        <v>898.3431701391595</v>
      </c>
      <c r="R627" s="712">
        <f t="shared" si="168"/>
        <v>890.18521883172161</v>
      </c>
      <c r="S627" s="712">
        <f t="shared" si="169"/>
        <v>885.23502462119302</v>
      </c>
      <c r="T627" s="712">
        <f t="shared" si="170"/>
        <v>883.5133021229351</v>
      </c>
    </row>
    <row r="628" spans="2:20">
      <c r="B628" s="582">
        <v>554</v>
      </c>
      <c r="C628" s="712">
        <f t="shared" si="155"/>
        <v>8.2243817711731193</v>
      </c>
      <c r="D628" s="712">
        <f t="shared" si="156"/>
        <v>1475.6059893405381</v>
      </c>
      <c r="E628" s="712">
        <f t="shared" si="157"/>
        <v>1036.8036478670028</v>
      </c>
      <c r="F628" s="712">
        <f t="shared" si="158"/>
        <v>696.0351813393537</v>
      </c>
      <c r="G628" s="712">
        <f t="shared" si="159"/>
        <v>468.37597497133595</v>
      </c>
      <c r="H628" s="719">
        <f t="shared" si="160"/>
        <v>317.52876849003854</v>
      </c>
      <c r="I628" s="712">
        <f t="shared" si="161"/>
        <v>316.3941956720322</v>
      </c>
      <c r="J628" s="712">
        <f t="shared" si="162"/>
        <v>315.58913144864641</v>
      </c>
      <c r="K628" s="712">
        <f t="shared" si="163"/>
        <v>315.10739627536702</v>
      </c>
      <c r="L628" s="712">
        <f t="shared" si="164"/>
        <v>314.94523776443788</v>
      </c>
      <c r="N628" s="582">
        <v>554</v>
      </c>
      <c r="O628" s="712">
        <f t="shared" si="165"/>
        <v>8.2243817711731193</v>
      </c>
      <c r="P628" s="712">
        <f t="shared" si="166"/>
        <v>910.44146171661498</v>
      </c>
      <c r="Q628" s="712">
        <f t="shared" si="167"/>
        <v>899.12253480390302</v>
      </c>
      <c r="R628" s="712">
        <f t="shared" si="168"/>
        <v>890.97313322966556</v>
      </c>
      <c r="S628" s="712">
        <f t="shared" si="169"/>
        <v>886.02802710504807</v>
      </c>
      <c r="T628" s="712">
        <f t="shared" si="170"/>
        <v>884.30790869125906</v>
      </c>
    </row>
    <row r="629" spans="2:20">
      <c r="B629" s="582">
        <v>555</v>
      </c>
      <c r="C629" s="712">
        <f t="shared" si="155"/>
        <v>8.2392272256337193</v>
      </c>
      <c r="D629" s="712">
        <f t="shared" si="156"/>
        <v>1475.7325125985005</v>
      </c>
      <c r="E629" s="712">
        <f t="shared" si="157"/>
        <v>1037.2546218370223</v>
      </c>
      <c r="F629" s="712">
        <f t="shared" si="158"/>
        <v>696.55550487168682</v>
      </c>
      <c r="G629" s="712">
        <f t="shared" si="159"/>
        <v>468.72932438808766</v>
      </c>
      <c r="H629" s="719">
        <f t="shared" si="160"/>
        <v>317.61180540802241</v>
      </c>
      <c r="I629" s="712">
        <f t="shared" si="161"/>
        <v>316.47513215135541</v>
      </c>
      <c r="J629" s="712">
        <f t="shared" si="162"/>
        <v>315.66855005989288</v>
      </c>
      <c r="K629" s="712">
        <f t="shared" si="163"/>
        <v>315.18589319577143</v>
      </c>
      <c r="L629" s="712">
        <f t="shared" si="164"/>
        <v>315.02341729804328</v>
      </c>
      <c r="N629" s="582">
        <v>555</v>
      </c>
      <c r="O629" s="712">
        <f t="shared" si="165"/>
        <v>8.2392272256337193</v>
      </c>
      <c r="P629" s="712">
        <f t="shared" si="166"/>
        <v>911.20802443460104</v>
      </c>
      <c r="Q629" s="712">
        <f t="shared" si="167"/>
        <v>899.9010584181874</v>
      </c>
      <c r="R629" s="712">
        <f t="shared" si="168"/>
        <v>891.76019735071577</v>
      </c>
      <c r="S629" s="712">
        <f t="shared" si="169"/>
        <v>886.82017382120762</v>
      </c>
      <c r="T629" s="712">
        <f t="shared" si="170"/>
        <v>885.10165776084159</v>
      </c>
    </row>
    <row r="630" spans="2:20">
      <c r="B630" s="582">
        <v>556</v>
      </c>
      <c r="C630" s="712">
        <f t="shared" si="155"/>
        <v>8.2540726800943212</v>
      </c>
      <c r="D630" s="712">
        <f t="shared" si="156"/>
        <v>1475.8586950350914</v>
      </c>
      <c r="E630" s="712">
        <f t="shared" si="157"/>
        <v>1037.7044222945358</v>
      </c>
      <c r="F630" s="712">
        <f t="shared" si="158"/>
        <v>697.07474127136004</v>
      </c>
      <c r="G630" s="712">
        <f t="shared" si="159"/>
        <v>469.08219842914968</v>
      </c>
      <c r="H630" s="719">
        <f t="shared" si="160"/>
        <v>317.69498073801088</v>
      </c>
      <c r="I630" s="712">
        <f t="shared" si="161"/>
        <v>316.55621172622386</v>
      </c>
      <c r="J630" s="712">
        <f t="shared" si="162"/>
        <v>315.74811510885661</v>
      </c>
      <c r="K630" s="712">
        <f t="shared" si="163"/>
        <v>315.26453855006338</v>
      </c>
      <c r="L630" s="712">
        <f t="shared" si="164"/>
        <v>315.10174591341428</v>
      </c>
      <c r="N630" s="582">
        <v>556</v>
      </c>
      <c r="O630" s="712">
        <f t="shared" si="165"/>
        <v>8.2540726800943212</v>
      </c>
      <c r="P630" s="712">
        <f t="shared" si="166"/>
        <v>911.97375991733372</v>
      </c>
      <c r="Q630" s="712">
        <f t="shared" si="167"/>
        <v>900.67874188963128</v>
      </c>
      <c r="R630" s="712">
        <f t="shared" si="168"/>
        <v>892.5464121124478</v>
      </c>
      <c r="S630" s="712">
        <f t="shared" si="169"/>
        <v>887.61146569317214</v>
      </c>
      <c r="T630" s="712">
        <f t="shared" si="170"/>
        <v>885.89455025705138</v>
      </c>
    </row>
    <row r="631" spans="2:20">
      <c r="B631" s="582">
        <v>557</v>
      </c>
      <c r="C631" s="712">
        <f t="shared" si="155"/>
        <v>8.268918134554923</v>
      </c>
      <c r="D631" s="712">
        <f t="shared" si="156"/>
        <v>1475.9845379483379</v>
      </c>
      <c r="E631" s="712">
        <f t="shared" si="157"/>
        <v>1038.1530534674398</v>
      </c>
      <c r="F631" s="712">
        <f t="shared" si="158"/>
        <v>697.59289295520534</v>
      </c>
      <c r="G631" s="712">
        <f t="shared" si="159"/>
        <v>469.43459710386361</v>
      </c>
      <c r="H631" s="719">
        <f t="shared" si="160"/>
        <v>317.77829415247413</v>
      </c>
      <c r="I631" s="712">
        <f t="shared" si="161"/>
        <v>316.63743406716014</v>
      </c>
      <c r="J631" s="712">
        <f t="shared" si="162"/>
        <v>315.82782626492218</v>
      </c>
      <c r="K631" s="712">
        <f t="shared" si="163"/>
        <v>315.34333200706482</v>
      </c>
      <c r="L631" s="712">
        <f t="shared" si="164"/>
        <v>315.18022327924081</v>
      </c>
      <c r="N631" s="582">
        <v>557</v>
      </c>
      <c r="O631" s="712">
        <f t="shared" si="165"/>
        <v>8.268918134554923</v>
      </c>
      <c r="P631" s="712">
        <f t="shared" si="166"/>
        <v>912.73866905752288</v>
      </c>
      <c r="Q631" s="712">
        <f t="shared" si="167"/>
        <v>901.45558612487378</v>
      </c>
      <c r="R631" s="712">
        <f t="shared" si="168"/>
        <v>893.33177843144654</v>
      </c>
      <c r="S631" s="712">
        <f t="shared" si="169"/>
        <v>888.40190364344608</v>
      </c>
      <c r="T631" s="712">
        <f t="shared" si="170"/>
        <v>886.68658710425871</v>
      </c>
    </row>
    <row r="632" spans="2:20">
      <c r="B632" s="582">
        <v>558</v>
      </c>
      <c r="C632" s="712">
        <f t="shared" si="155"/>
        <v>8.2837635890155248</v>
      </c>
      <c r="D632" s="712">
        <f t="shared" si="156"/>
        <v>1476.1100426291016</v>
      </c>
      <c r="E632" s="712">
        <f t="shared" si="157"/>
        <v>1038.600519561822</v>
      </c>
      <c r="F632" s="712">
        <f t="shared" si="158"/>
        <v>698.10996233731112</v>
      </c>
      <c r="G632" s="712">
        <f t="shared" si="159"/>
        <v>469.78652043109645</v>
      </c>
      <c r="H632" s="719">
        <f t="shared" si="160"/>
        <v>317.86174532415828</v>
      </c>
      <c r="I632" s="712">
        <f t="shared" si="161"/>
        <v>316.71879884488567</v>
      </c>
      <c r="J632" s="712">
        <f t="shared" si="162"/>
        <v>315.90768319761537</v>
      </c>
      <c r="K632" s="712">
        <f t="shared" si="163"/>
        <v>315.42227323570341</v>
      </c>
      <c r="L632" s="712">
        <f t="shared" si="164"/>
        <v>315.25884906430679</v>
      </c>
      <c r="N632" s="582">
        <v>558</v>
      </c>
      <c r="O632" s="712">
        <f t="shared" si="165"/>
        <v>8.2837635890155248</v>
      </c>
      <c r="P632" s="712">
        <f t="shared" si="166"/>
        <v>913.50275274691523</v>
      </c>
      <c r="Q632" s="712">
        <f t="shared" si="167"/>
        <v>902.23159202957561</v>
      </c>
      <c r="R632" s="712">
        <f t="shared" si="168"/>
        <v>894.11629722330815</v>
      </c>
      <c r="S632" s="712">
        <f t="shared" si="169"/>
        <v>889.19148859353777</v>
      </c>
      <c r="T632" s="712">
        <f t="shared" si="170"/>
        <v>887.47776922583614</v>
      </c>
    </row>
    <row r="633" spans="2:20">
      <c r="B633" s="582">
        <v>559</v>
      </c>
      <c r="C633" s="712">
        <f t="shared" si="155"/>
        <v>8.2986090434761248</v>
      </c>
      <c r="D633" s="712">
        <f t="shared" si="156"/>
        <v>1476.2352103611331</v>
      </c>
      <c r="E633" s="712">
        <f t="shared" si="157"/>
        <v>1039.0468247621159</v>
      </c>
      <c r="F633" s="712">
        <f t="shared" si="158"/>
        <v>698.62595182899076</v>
      </c>
      <c r="G633" s="712">
        <f t="shared" si="159"/>
        <v>470.13796843914139</v>
      </c>
      <c r="H633" s="719">
        <f t="shared" si="160"/>
        <v>317.94533392608906</v>
      </c>
      <c r="I633" s="712">
        <f t="shared" si="161"/>
        <v>316.80030573032542</v>
      </c>
      <c r="J633" s="712">
        <f t="shared" si="162"/>
        <v>315.9876855766089</v>
      </c>
      <c r="K633" s="712">
        <f t="shared" si="163"/>
        <v>315.50136190501843</v>
      </c>
      <c r="L633" s="712">
        <f t="shared" si="164"/>
        <v>315.33762293749561</v>
      </c>
      <c r="N633" s="582">
        <v>559</v>
      </c>
      <c r="O633" s="712">
        <f t="shared" si="165"/>
        <v>8.2986090434761248</v>
      </c>
      <c r="P633" s="712">
        <f t="shared" si="166"/>
        <v>914.26601187629501</v>
      </c>
      <c r="Q633" s="712">
        <f t="shared" si="167"/>
        <v>903.00676050842026</v>
      </c>
      <c r="R633" s="712">
        <f t="shared" si="168"/>
        <v>894.89996940264041</v>
      </c>
      <c r="S633" s="712">
        <f t="shared" si="169"/>
        <v>889.98022146396147</v>
      </c>
      <c r="T633" s="712">
        <f t="shared" si="170"/>
        <v>888.26809754415979</v>
      </c>
    </row>
    <row r="634" spans="2:20">
      <c r="B634" s="582">
        <v>560</v>
      </c>
      <c r="C634" s="712">
        <f t="shared" si="155"/>
        <v>8.3134544979367266</v>
      </c>
      <c r="D634" s="712">
        <f t="shared" si="156"/>
        <v>1476.3600424211247</v>
      </c>
      <c r="E634" s="712">
        <f t="shared" si="157"/>
        <v>1039.491973231254</v>
      </c>
      <c r="F634" s="712">
        <f t="shared" si="158"/>
        <v>699.14086383875213</v>
      </c>
      <c r="G634" s="712">
        <f t="shared" si="159"/>
        <v>470.48894116561962</v>
      </c>
      <c r="H634" s="719">
        <f t="shared" si="160"/>
        <v>318.02905963157605</v>
      </c>
      <c r="I634" s="712">
        <f t="shared" si="161"/>
        <v>316.88195439461288</v>
      </c>
      <c r="J634" s="712">
        <f t="shared" si="162"/>
        <v>316.06783307172731</v>
      </c>
      <c r="K634" s="712">
        <f t="shared" si="163"/>
        <v>315.58059768416649</v>
      </c>
      <c r="L634" s="712">
        <f t="shared" si="164"/>
        <v>315.41654456779628</v>
      </c>
      <c r="N634" s="582">
        <v>560</v>
      </c>
      <c r="O634" s="712">
        <f t="shared" si="165"/>
        <v>8.3134544979367266</v>
      </c>
      <c r="P634" s="712">
        <f t="shared" si="166"/>
        <v>915.02844733548511</v>
      </c>
      <c r="Q634" s="712">
        <f t="shared" si="167"/>
        <v>903.78109246511497</v>
      </c>
      <c r="R634" s="712">
        <f t="shared" si="168"/>
        <v>895.68279588306405</v>
      </c>
      <c r="S634" s="712">
        <f t="shared" si="169"/>
        <v>890.76810317423792</v>
      </c>
      <c r="T634" s="712">
        <f t="shared" si="170"/>
        <v>889.05757298061053</v>
      </c>
    </row>
    <row r="635" spans="2:20">
      <c r="B635" s="582">
        <v>561</v>
      </c>
      <c r="C635" s="712">
        <f t="shared" si="155"/>
        <v>8.3282999523973285</v>
      </c>
      <c r="D635" s="712">
        <f t="shared" si="156"/>
        <v>1476.4845400787628</v>
      </c>
      <c r="E635" s="712">
        <f t="shared" si="157"/>
        <v>1039.9359691108214</v>
      </c>
      <c r="F635" s="712">
        <f t="shared" si="158"/>
        <v>699.65470077226689</v>
      </c>
      <c r="G635" s="712">
        <f t="shared" si="159"/>
        <v>470.83943865738297</v>
      </c>
      <c r="H635" s="719">
        <f t="shared" si="160"/>
        <v>318.11292211421636</v>
      </c>
      <c r="I635" s="712">
        <f t="shared" si="161"/>
        <v>316.96374450909451</v>
      </c>
      <c r="J635" s="712">
        <f t="shared" si="162"/>
        <v>316.14812535295266</v>
      </c>
      <c r="K635" s="712">
        <f t="shared" si="163"/>
        <v>315.65998024242714</v>
      </c>
      <c r="L635" s="712">
        <f t="shared" si="164"/>
        <v>315.49561362430893</v>
      </c>
      <c r="N635" s="582">
        <v>561</v>
      </c>
      <c r="O635" s="712">
        <f t="shared" si="165"/>
        <v>8.3282999523973285</v>
      </c>
      <c r="P635" s="712">
        <f t="shared" si="166"/>
        <v>915.79006001334835</v>
      </c>
      <c r="Q635" s="712">
        <f t="shared" si="167"/>
        <v>904.55458880239132</v>
      </c>
      <c r="R635" s="712">
        <f t="shared" si="168"/>
        <v>896.46477757721448</v>
      </c>
      <c r="S635" s="712">
        <f t="shared" si="169"/>
        <v>891.55513464289561</v>
      </c>
      <c r="T635" s="712">
        <f t="shared" si="170"/>
        <v>889.84619645557473</v>
      </c>
    </row>
    <row r="636" spans="2:20">
      <c r="B636" s="582">
        <v>562</v>
      </c>
      <c r="C636" s="712">
        <f t="shared" si="155"/>
        <v>8.3431454068579285</v>
      </c>
      <c r="D636" s="712">
        <f t="shared" si="156"/>
        <v>1476.6087045967809</v>
      </c>
      <c r="E636" s="712">
        <f t="shared" si="157"/>
        <v>1040.3788165212068</v>
      </c>
      <c r="F636" s="712">
        <f t="shared" si="158"/>
        <v>700.16746503234174</v>
      </c>
      <c r="G636" s="712">
        <f t="shared" si="159"/>
        <v>471.18946097041726</v>
      </c>
      <c r="H636" s="719">
        <f t="shared" si="160"/>
        <v>318.1969210478984</v>
      </c>
      <c r="I636" s="712">
        <f t="shared" si="161"/>
        <v>317.04567574533451</v>
      </c>
      <c r="J636" s="712">
        <f t="shared" si="162"/>
        <v>316.2285620904297</v>
      </c>
      <c r="K636" s="712">
        <f t="shared" si="163"/>
        <v>315.73950924920831</v>
      </c>
      <c r="L636" s="712">
        <f t="shared" si="164"/>
        <v>315.57482977625091</v>
      </c>
      <c r="N636" s="582">
        <v>562</v>
      </c>
      <c r="O636" s="712">
        <f t="shared" si="165"/>
        <v>8.3431454068579285</v>
      </c>
      <c r="P636" s="712">
        <f t="shared" si="166"/>
        <v>916.55085079778803</v>
      </c>
      <c r="Q636" s="712">
        <f t="shared" si="167"/>
        <v>905.32725042200718</v>
      </c>
      <c r="R636" s="712">
        <f t="shared" si="168"/>
        <v>897.24591539674145</v>
      </c>
      <c r="S636" s="712">
        <f t="shared" si="169"/>
        <v>892.34131678747167</v>
      </c>
      <c r="T636" s="712">
        <f t="shared" si="170"/>
        <v>890.63396888844568</v>
      </c>
    </row>
    <row r="637" spans="2:20">
      <c r="B637" s="582">
        <v>563</v>
      </c>
      <c r="C637" s="712">
        <f t="shared" si="155"/>
        <v>8.3579908613185303</v>
      </c>
      <c r="D637" s="712">
        <f t="shared" si="156"/>
        <v>1476.7325372310097</v>
      </c>
      <c r="E637" s="712">
        <f t="shared" si="157"/>
        <v>1040.8205195617513</v>
      </c>
      <c r="F637" s="712">
        <f t="shared" si="158"/>
        <v>700.6791590188883</v>
      </c>
      <c r="G637" s="712">
        <f t="shared" si="159"/>
        <v>471.53900816974635</v>
      </c>
      <c r="H637" s="719">
        <f t="shared" si="160"/>
        <v>318.28105610680581</v>
      </c>
      <c r="I637" s="712">
        <f t="shared" si="161"/>
        <v>317.12774777511913</v>
      </c>
      <c r="J637" s="712">
        <f t="shared" si="162"/>
        <v>316.30914295447064</v>
      </c>
      <c r="K637" s="712">
        <f t="shared" si="163"/>
        <v>315.81918437405216</v>
      </c>
      <c r="L637" s="712">
        <f t="shared" si="164"/>
        <v>315.65419269296211</v>
      </c>
      <c r="N637" s="582">
        <v>563</v>
      </c>
      <c r="O637" s="712">
        <f t="shared" si="165"/>
        <v>8.3579908613185303</v>
      </c>
      <c r="P637" s="712">
        <f t="shared" si="166"/>
        <v>917.31082057574963</v>
      </c>
      <c r="Q637" s="712">
        <f t="shared" si="167"/>
        <v>906.09907822474725</v>
      </c>
      <c r="R637" s="712">
        <f t="shared" si="168"/>
        <v>898.02621025231133</v>
      </c>
      <c r="S637" s="712">
        <f t="shared" si="169"/>
        <v>893.12665052451325</v>
      </c>
      <c r="T637" s="712">
        <f t="shared" si="170"/>
        <v>891.42089119762431</v>
      </c>
    </row>
    <row r="638" spans="2:20">
      <c r="B638" s="582">
        <v>564</v>
      </c>
      <c r="C638" s="712">
        <f t="shared" si="155"/>
        <v>8.3728363157791321</v>
      </c>
      <c r="D638" s="712">
        <f t="shared" si="156"/>
        <v>1476.856039230431</v>
      </c>
      <c r="E638" s="712">
        <f t="shared" si="157"/>
        <v>1041.2610823108978</v>
      </c>
      <c r="F638" s="712">
        <f t="shared" si="158"/>
        <v>701.18978512889532</v>
      </c>
      <c r="G638" s="712">
        <f t="shared" si="159"/>
        <v>471.88808032933707</v>
      </c>
      <c r="H638" s="719">
        <f t="shared" si="160"/>
        <v>318.36532696542093</v>
      </c>
      <c r="I638" s="712">
        <f t="shared" si="161"/>
        <v>317.20996027046158</v>
      </c>
      <c r="J638" s="712">
        <f t="shared" si="162"/>
        <v>316.38986761556077</v>
      </c>
      <c r="K638" s="712">
        <f t="shared" si="163"/>
        <v>315.8990052866402</v>
      </c>
      <c r="L638" s="712">
        <f t="shared" si="164"/>
        <v>315.73370204391057</v>
      </c>
      <c r="N638" s="582">
        <v>564</v>
      </c>
      <c r="O638" s="712">
        <f t="shared" si="165"/>
        <v>8.3728363157791321</v>
      </c>
      <c r="P638" s="712">
        <f t="shared" si="166"/>
        <v>918.06997023322128</v>
      </c>
      <c r="Q638" s="712">
        <f t="shared" si="167"/>
        <v>906.87007311042385</v>
      </c>
      <c r="R638" s="712">
        <f t="shared" si="168"/>
        <v>898.80566305360776</v>
      </c>
      <c r="S638" s="712">
        <f t="shared" si="169"/>
        <v>893.91113676957843</v>
      </c>
      <c r="T638" s="712">
        <f t="shared" si="170"/>
        <v>892.20696430052067</v>
      </c>
    </row>
    <row r="639" spans="2:20">
      <c r="B639" s="582">
        <v>565</v>
      </c>
      <c r="C639" s="712">
        <f t="shared" si="155"/>
        <v>8.3876817702397339</v>
      </c>
      <c r="D639" s="712">
        <f t="shared" si="156"/>
        <v>1476.9792118372259</v>
      </c>
      <c r="E639" s="712">
        <f t="shared" si="157"/>
        <v>1041.7005088263386</v>
      </c>
      <c r="F639" s="712">
        <f t="shared" si="158"/>
        <v>701.69934575640002</v>
      </c>
      <c r="G639" s="712">
        <f t="shared" si="159"/>
        <v>472.23667753200505</v>
      </c>
      <c r="H639" s="719">
        <f t="shared" si="160"/>
        <v>318.44973329852877</v>
      </c>
      <c r="I639" s="712">
        <f t="shared" si="161"/>
        <v>317.29231290360627</v>
      </c>
      <c r="J639" s="712">
        <f t="shared" si="162"/>
        <v>316.47073574436314</v>
      </c>
      <c r="K639" s="712">
        <f t="shared" si="163"/>
        <v>315.9789716567991</v>
      </c>
      <c r="L639" s="712">
        <f t="shared" si="164"/>
        <v>315.81335749869828</v>
      </c>
      <c r="N639" s="582">
        <v>565</v>
      </c>
      <c r="O639" s="712">
        <f t="shared" si="165"/>
        <v>8.3876817702397339</v>
      </c>
      <c r="P639" s="712">
        <f t="shared" si="166"/>
        <v>918.82830065523501</v>
      </c>
      <c r="Q639" s="712">
        <f t="shared" si="167"/>
        <v>907.64023597787855</v>
      </c>
      <c r="R639" s="712">
        <f t="shared" si="168"/>
        <v>899.58427470933259</v>
      </c>
      <c r="S639" s="712">
        <f t="shared" si="169"/>
        <v>894.69477643723701</v>
      </c>
      <c r="T639" s="712">
        <f t="shared" si="170"/>
        <v>892.9921891135549</v>
      </c>
    </row>
    <row r="640" spans="2:20">
      <c r="B640" s="582">
        <v>566</v>
      </c>
      <c r="C640" s="712">
        <f t="shared" si="155"/>
        <v>8.402527224700334</v>
      </c>
      <c r="D640" s="712">
        <f t="shared" si="156"/>
        <v>1477.1020562868266</v>
      </c>
      <c r="E640" s="712">
        <f t="shared" si="157"/>
        <v>1042.1388031451602</v>
      </c>
      <c r="F640" s="712">
        <f t="shared" si="158"/>
        <v>702.20784329246067</v>
      </c>
      <c r="G640" s="712">
        <f t="shared" si="159"/>
        <v>472.58479986932076</v>
      </c>
      <c r="H640" s="719">
        <f t="shared" si="160"/>
        <v>318.53427478122023</v>
      </c>
      <c r="I640" s="712">
        <f t="shared" si="161"/>
        <v>317.37480534703315</v>
      </c>
      <c r="J640" s="712">
        <f t="shared" si="162"/>
        <v>316.55174701172393</v>
      </c>
      <c r="K640" s="712">
        <f t="shared" si="163"/>
        <v>316.05908315450574</v>
      </c>
      <c r="L640" s="712">
        <f t="shared" si="164"/>
        <v>315.89315872706635</v>
      </c>
      <c r="N640" s="582">
        <v>566</v>
      </c>
      <c r="O640" s="712">
        <f t="shared" si="165"/>
        <v>8.402527224700334</v>
      </c>
      <c r="P640" s="712">
        <f t="shared" si="166"/>
        <v>919.58581272586798</v>
      </c>
      <c r="Q640" s="712">
        <f t="shared" si="167"/>
        <v>908.40956772498271</v>
      </c>
      <c r="R640" s="712">
        <f t="shared" si="168"/>
        <v>900.36204612720712</v>
      </c>
      <c r="S640" s="712">
        <f t="shared" si="169"/>
        <v>895.4775704410722</v>
      </c>
      <c r="T640" s="712">
        <f t="shared" si="170"/>
        <v>893.77656655215787</v>
      </c>
    </row>
    <row r="641" spans="2:20">
      <c r="B641" s="582">
        <v>567</v>
      </c>
      <c r="C641" s="712">
        <f t="shared" si="155"/>
        <v>8.4173726791609358</v>
      </c>
      <c r="D641" s="712">
        <f t="shared" si="156"/>
        <v>1477.2245738079662</v>
      </c>
      <c r="E641" s="712">
        <f t="shared" si="157"/>
        <v>1042.5759692839895</v>
      </c>
      <c r="F641" s="712">
        <f t="shared" si="158"/>
        <v>702.71528012512965</v>
      </c>
      <c r="G641" s="712">
        <f t="shared" si="159"/>
        <v>472.9324474415169</v>
      </c>
      <c r="H641" s="719">
        <f t="shared" si="160"/>
        <v>318.61895108889615</v>
      </c>
      <c r="I641" s="712">
        <f t="shared" si="161"/>
        <v>317.45743727346223</v>
      </c>
      <c r="J641" s="712">
        <f t="shared" si="162"/>
        <v>316.63290108867693</v>
      </c>
      <c r="K641" s="712">
        <f t="shared" si="163"/>
        <v>316.13933944989259</v>
      </c>
      <c r="L641" s="712">
        <f t="shared" si="164"/>
        <v>315.97310539890071</v>
      </c>
      <c r="N641" s="582">
        <v>567</v>
      </c>
      <c r="O641" s="712">
        <f t="shared" si="165"/>
        <v>8.4173726791609358</v>
      </c>
      <c r="P641" s="712">
        <f t="shared" si="166"/>
        <v>920.34250732824296</v>
      </c>
      <c r="Q641" s="712">
        <f t="shared" si="167"/>
        <v>909.17806924863908</v>
      </c>
      <c r="R641" s="712">
        <f t="shared" si="168"/>
        <v>901.1389782139729</v>
      </c>
      <c r="S641" s="712">
        <f t="shared" si="169"/>
        <v>896.259519693681</v>
      </c>
      <c r="T641" s="712">
        <f t="shared" si="170"/>
        <v>894.56009753077274</v>
      </c>
    </row>
    <row r="642" spans="2:20">
      <c r="B642" s="582">
        <v>568</v>
      </c>
      <c r="C642" s="712">
        <f t="shared" si="155"/>
        <v>8.4322181336215376</v>
      </c>
      <c r="D642" s="712">
        <f t="shared" si="156"/>
        <v>1477.3467656227278</v>
      </c>
      <c r="E642" s="712">
        <f t="shared" si="157"/>
        <v>1043.0120112391367</v>
      </c>
      <c r="F642" s="712">
        <f t="shared" si="158"/>
        <v>703.22165863942666</v>
      </c>
      <c r="G642" s="712">
        <f t="shared" si="159"/>
        <v>473.2796203573962</v>
      </c>
      <c r="H642" s="719">
        <f t="shared" si="160"/>
        <v>318.70376189727051</v>
      </c>
      <c r="I642" s="712">
        <f t="shared" si="161"/>
        <v>317.54020835585777</v>
      </c>
      <c r="J642" s="712">
        <f t="shared" si="162"/>
        <v>316.71419764644884</v>
      </c>
      <c r="K642" s="712">
        <f t="shared" si="163"/>
        <v>316.21974021325286</v>
      </c>
      <c r="L642" s="712">
        <f t="shared" si="164"/>
        <v>316.05319718423715</v>
      </c>
      <c r="N642" s="582">
        <v>568</v>
      </c>
      <c r="O642" s="712">
        <f t="shared" si="165"/>
        <v>8.4322181336215376</v>
      </c>
      <c r="P642" s="712">
        <f t="shared" si="166"/>
        <v>921.09838534452979</v>
      </c>
      <c r="Q642" s="712">
        <f t="shared" si="167"/>
        <v>909.94574144478224</v>
      </c>
      <c r="R642" s="712">
        <f t="shared" si="168"/>
        <v>901.91507187539332</v>
      </c>
      <c r="S642" s="712">
        <f t="shared" si="169"/>
        <v>897.04062510667563</v>
      </c>
      <c r="T642" s="712">
        <f t="shared" si="170"/>
        <v>895.34278296285561</v>
      </c>
    </row>
    <row r="643" spans="2:20">
      <c r="B643" s="582">
        <v>569</v>
      </c>
      <c r="C643" s="712">
        <f t="shared" si="155"/>
        <v>8.4470635880821376</v>
      </c>
      <c r="D643" s="712">
        <f t="shared" si="156"/>
        <v>1477.468632946594</v>
      </c>
      <c r="E643" s="712">
        <f t="shared" si="157"/>
        <v>1043.4469329867377</v>
      </c>
      <c r="F643" s="712">
        <f t="shared" si="158"/>
        <v>703.72698121731241</v>
      </c>
      <c r="G643" s="712">
        <f t="shared" si="159"/>
        <v>473.62631873424033</v>
      </c>
      <c r="H643" s="719">
        <f t="shared" si="160"/>
        <v>318.78870688237396</v>
      </c>
      <c r="I643" s="712">
        <f t="shared" si="161"/>
        <v>317.62311826743269</v>
      </c>
      <c r="J643" s="712">
        <f t="shared" si="162"/>
        <v>316.79563635646377</v>
      </c>
      <c r="K643" s="712">
        <f t="shared" si="163"/>
        <v>316.30028511504605</v>
      </c>
      <c r="L643" s="712">
        <f t="shared" si="164"/>
        <v>316.13343375326684</v>
      </c>
      <c r="N643" s="582">
        <v>569</v>
      </c>
      <c r="O643" s="712">
        <f t="shared" si="165"/>
        <v>8.4470635880821376</v>
      </c>
      <c r="P643" s="712">
        <f t="shared" si="166"/>
        <v>921.85344765594652</v>
      </c>
      <c r="Q643" s="712">
        <f t="shared" si="167"/>
        <v>910.71258520838001</v>
      </c>
      <c r="R643" s="712">
        <f t="shared" si="168"/>
        <v>902.69032801625394</v>
      </c>
      <c r="S643" s="712">
        <f t="shared" si="169"/>
        <v>897.82088759068472</v>
      </c>
      <c r="T643" s="712">
        <f t="shared" si="170"/>
        <v>896.12462376087728</v>
      </c>
    </row>
    <row r="644" spans="2:20">
      <c r="B644" s="582">
        <v>570</v>
      </c>
      <c r="C644" s="712">
        <f t="shared" si="155"/>
        <v>8.4619090425427395</v>
      </c>
      <c r="D644" s="712">
        <f t="shared" si="156"/>
        <v>1477.5901769884952</v>
      </c>
      <c r="E644" s="712">
        <f t="shared" si="157"/>
        <v>1043.8807384828958</v>
      </c>
      <c r="F644" s="712">
        <f t="shared" si="158"/>
        <v>704.2312502376634</v>
      </c>
      <c r="G644" s="712">
        <f t="shared" si="159"/>
        <v>473.97254269771889</v>
      </c>
      <c r="H644" s="719">
        <f t="shared" si="160"/>
        <v>318.87378572055752</v>
      </c>
      <c r="I644" s="712">
        <f t="shared" si="161"/>
        <v>317.70616668165269</v>
      </c>
      <c r="J644" s="712">
        <f t="shared" si="162"/>
        <v>316.87721689034845</v>
      </c>
      <c r="K644" s="712">
        <f t="shared" si="163"/>
        <v>316.38097382590246</v>
      </c>
      <c r="L644" s="712">
        <f t="shared" si="164"/>
        <v>316.21381477634168</v>
      </c>
      <c r="N644" s="582">
        <v>570</v>
      </c>
      <c r="O644" s="712">
        <f t="shared" si="165"/>
        <v>8.4619090425427395</v>
      </c>
      <c r="P644" s="712">
        <f t="shared" si="166"/>
        <v>922.60769514276012</v>
      </c>
      <c r="Q644" s="712">
        <f t="shared" si="167"/>
        <v>911.47860143343416</v>
      </c>
      <c r="R644" s="712">
        <f t="shared" si="168"/>
        <v>903.46474754036399</v>
      </c>
      <c r="S644" s="712">
        <f t="shared" si="169"/>
        <v>898.60030805535416</v>
      </c>
      <c r="T644" s="712">
        <f t="shared" si="170"/>
        <v>896.90562083632335</v>
      </c>
    </row>
    <row r="645" spans="2:20">
      <c r="B645" s="582">
        <v>571</v>
      </c>
      <c r="C645" s="712">
        <f t="shared" si="155"/>
        <v>8.4767544970033413</v>
      </c>
      <c r="D645" s="712">
        <f t="shared" si="156"/>
        <v>1477.7113989508578</v>
      </c>
      <c r="E645" s="712">
        <f t="shared" si="157"/>
        <v>1044.3134316638207</v>
      </c>
      <c r="F645" s="712">
        <f t="shared" si="158"/>
        <v>704.73446807624634</v>
      </c>
      <c r="G645" s="712">
        <f t="shared" si="159"/>
        <v>474.31829238179972</v>
      </c>
      <c r="H645" s="719">
        <f t="shared" si="160"/>
        <v>318.95899808849555</v>
      </c>
      <c r="I645" s="712">
        <f t="shared" si="161"/>
        <v>317.78935327224036</v>
      </c>
      <c r="J645" s="712">
        <f t="shared" si="162"/>
        <v>316.95893891993637</v>
      </c>
      <c r="K645" s="712">
        <f t="shared" si="163"/>
        <v>316.46180601662888</v>
      </c>
      <c r="L645" s="712">
        <f t="shared" si="164"/>
        <v>316.29433992397907</v>
      </c>
      <c r="N645" s="582">
        <v>571</v>
      </c>
      <c r="O645" s="712">
        <f t="shared" si="165"/>
        <v>8.4767544970033413</v>
      </c>
      <c r="P645" s="712">
        <f t="shared" si="166"/>
        <v>923.36112868428745</v>
      </c>
      <c r="Q645" s="712">
        <f t="shared" si="167"/>
        <v>912.24379101298223</v>
      </c>
      <c r="R645" s="712">
        <f t="shared" si="168"/>
        <v>904.2383313505577</v>
      </c>
      <c r="S645" s="712">
        <f t="shared" si="169"/>
        <v>899.37888740934795</v>
      </c>
      <c r="T645" s="712">
        <f t="shared" si="170"/>
        <v>897.68577509969634</v>
      </c>
    </row>
    <row r="646" spans="2:20">
      <c r="B646" s="582">
        <v>572</v>
      </c>
      <c r="C646" s="712">
        <f t="shared" si="155"/>
        <v>8.4915999514639431</v>
      </c>
      <c r="D646" s="712">
        <f t="shared" si="156"/>
        <v>1477.8323000296525</v>
      </c>
      <c r="E646" s="712">
        <f t="shared" si="157"/>
        <v>1044.7450164459683</v>
      </c>
      <c r="F646" s="712">
        <f t="shared" si="158"/>
        <v>705.23663710569383</v>
      </c>
      <c r="G646" s="712">
        <f t="shared" si="159"/>
        <v>474.66356792865975</v>
      </c>
      <c r="H646" s="719">
        <f t="shared" si="160"/>
        <v>319.04434366318964</v>
      </c>
      <c r="I646" s="712">
        <f t="shared" si="161"/>
        <v>317.87267771317943</v>
      </c>
      <c r="J646" s="712">
        <f t="shared" si="162"/>
        <v>317.0408021172729</v>
      </c>
      <c r="K646" s="712">
        <f t="shared" si="163"/>
        <v>316.54278135821312</v>
      </c>
      <c r="L646" s="712">
        <f t="shared" si="164"/>
        <v>316.37500886686735</v>
      </c>
      <c r="N646" s="582">
        <v>572</v>
      </c>
      <c r="O646" s="712">
        <f t="shared" si="165"/>
        <v>8.4915999514639431</v>
      </c>
      <c r="P646" s="712">
        <f t="shared" si="166"/>
        <v>924.11374915889667</v>
      </c>
      <c r="Q646" s="712">
        <f t="shared" si="167"/>
        <v>913.00815483909764</v>
      </c>
      <c r="R646" s="712">
        <f t="shared" si="168"/>
        <v>905.01108034869458</v>
      </c>
      <c r="S646" s="712">
        <f t="shared" si="169"/>
        <v>900.15662656034965</v>
      </c>
      <c r="T646" s="712">
        <f t="shared" si="170"/>
        <v>898.46508746051586</v>
      </c>
    </row>
    <row r="647" spans="2:20">
      <c r="B647" s="582">
        <v>573</v>
      </c>
      <c r="C647" s="712">
        <f t="shared" si="155"/>
        <v>8.5064454059245431</v>
      </c>
      <c r="D647" s="712">
        <f t="shared" si="156"/>
        <v>1477.9528814144408</v>
      </c>
      <c r="E647" s="712">
        <f t="shared" si="157"/>
        <v>1045.1754967261775</v>
      </c>
      <c r="F647" s="712">
        <f t="shared" si="158"/>
        <v>705.73775969547955</v>
      </c>
      <c r="G647" s="712">
        <f t="shared" si="159"/>
        <v>475.00836948859649</v>
      </c>
      <c r="H647" s="719">
        <f t="shared" si="160"/>
        <v>319.12982212197136</v>
      </c>
      <c r="I647" s="712">
        <f t="shared" si="161"/>
        <v>317.95613967871873</v>
      </c>
      <c r="J647" s="712">
        <f t="shared" si="162"/>
        <v>317.12280615461981</v>
      </c>
      <c r="K647" s="712">
        <f t="shared" si="163"/>
        <v>316.62389952182929</v>
      </c>
      <c r="L647" s="712">
        <f t="shared" si="164"/>
        <v>316.45582127587085</v>
      </c>
      <c r="N647" s="582">
        <v>573</v>
      </c>
      <c r="O647" s="712">
        <f t="shared" si="165"/>
        <v>8.5064454059245431</v>
      </c>
      <c r="P647" s="712">
        <f t="shared" si="166"/>
        <v>924.865557444008</v>
      </c>
      <c r="Q647" s="712">
        <f t="shared" si="167"/>
        <v>913.77169380289115</v>
      </c>
      <c r="R647" s="712">
        <f t="shared" si="168"/>
        <v>905.78299543566118</v>
      </c>
      <c r="S647" s="712">
        <f t="shared" si="169"/>
        <v>900.93352641506351</v>
      </c>
      <c r="T647" s="712">
        <f t="shared" si="170"/>
        <v>899.2435588273197</v>
      </c>
    </row>
    <row r="648" spans="2:20">
      <c r="B648" s="582">
        <v>574</v>
      </c>
      <c r="C648" s="712">
        <f t="shared" si="155"/>
        <v>8.5212908603851449</v>
      </c>
      <c r="D648" s="712">
        <f t="shared" si="156"/>
        <v>1478.0731442884226</v>
      </c>
      <c r="E648" s="712">
        <f t="shared" si="157"/>
        <v>1045.6048763818076</v>
      </c>
      <c r="F648" s="712">
        <f t="shared" si="158"/>
        <v>706.23783821189477</v>
      </c>
      <c r="G648" s="712">
        <f t="shared" si="159"/>
        <v>475.35269721994041</v>
      </c>
      <c r="H648" s="719">
        <f t="shared" si="160"/>
        <v>319.21543314250607</v>
      </c>
      <c r="I648" s="712">
        <f t="shared" si="161"/>
        <v>318.03973884337626</v>
      </c>
      <c r="J648" s="712">
        <f t="shared" si="162"/>
        <v>317.2049507044598</v>
      </c>
      <c r="K648" s="712">
        <f t="shared" si="163"/>
        <v>316.7051601788425</v>
      </c>
      <c r="L648" s="712">
        <f t="shared" si="164"/>
        <v>316.53677682203482</v>
      </c>
      <c r="N648" s="582">
        <v>574</v>
      </c>
      <c r="O648" s="712">
        <f t="shared" si="165"/>
        <v>8.5212908603851449</v>
      </c>
      <c r="P648" s="712">
        <f t="shared" si="166"/>
        <v>925.6165544160948</v>
      </c>
      <c r="Q648" s="712">
        <f t="shared" si="167"/>
        <v>914.53440879451205</v>
      </c>
      <c r="R648" s="712">
        <f t="shared" si="168"/>
        <v>906.55407751137159</v>
      </c>
      <c r="S648" s="712">
        <f t="shared" si="169"/>
        <v>901.70958787921518</v>
      </c>
      <c r="T648" s="712">
        <f t="shared" si="170"/>
        <v>900.02119010766592</v>
      </c>
    </row>
    <row r="649" spans="2:20">
      <c r="B649" s="582">
        <v>575</v>
      </c>
      <c r="C649" s="712">
        <f t="shared" si="155"/>
        <v>8.5361363148457468</v>
      </c>
      <c r="D649" s="712">
        <f t="shared" si="156"/>
        <v>1478.1930898284827</v>
      </c>
      <c r="E649" s="712">
        <f t="shared" si="157"/>
        <v>1046.0331592708724</v>
      </c>
      <c r="F649" s="712">
        <f t="shared" si="158"/>
        <v>706.73687501802499</v>
      </c>
      <c r="G649" s="712">
        <f t="shared" si="159"/>
        <v>475.69655128896773</v>
      </c>
      <c r="H649" s="719">
        <f t="shared" si="160"/>
        <v>319.30117640279582</v>
      </c>
      <c r="I649" s="712">
        <f t="shared" si="161"/>
        <v>318.12347488194314</v>
      </c>
      <c r="J649" s="712">
        <f t="shared" si="162"/>
        <v>317.28723543950088</v>
      </c>
      <c r="K649" s="712">
        <f t="shared" si="163"/>
        <v>316.78656300081383</v>
      </c>
      <c r="L649" s="712">
        <f t="shared" si="164"/>
        <v>316.61787517659042</v>
      </c>
      <c r="N649" s="582">
        <v>575</v>
      </c>
      <c r="O649" s="712">
        <f t="shared" si="165"/>
        <v>8.5361363148457468</v>
      </c>
      <c r="P649" s="712">
        <f t="shared" si="166"/>
        <v>926.36674095068452</v>
      </c>
      <c r="Q649" s="712">
        <f t="shared" si="167"/>
        <v>915.29630070314897</v>
      </c>
      <c r="R649" s="712">
        <f t="shared" si="168"/>
        <v>907.32432747476912</v>
      </c>
      <c r="S649" s="712">
        <f t="shared" si="169"/>
        <v>902.48481185755259</v>
      </c>
      <c r="T649" s="712">
        <f t="shared" si="170"/>
        <v>900.79798220813279</v>
      </c>
    </row>
    <row r="650" spans="2:20">
      <c r="B650" s="582">
        <v>576</v>
      </c>
      <c r="C650" s="712">
        <f t="shared" si="155"/>
        <v>8.5509817693063468</v>
      </c>
      <c r="D650" s="712">
        <f t="shared" si="156"/>
        <v>1478.3127192052368</v>
      </c>
      <c r="E650" s="712">
        <f t="shared" si="157"/>
        <v>1046.4603492321755</v>
      </c>
      <c r="F650" s="712">
        <f t="shared" si="158"/>
        <v>707.23487247372714</v>
      </c>
      <c r="G650" s="712">
        <f t="shared" si="159"/>
        <v>476.03993186981444</v>
      </c>
      <c r="H650" s="719">
        <f t="shared" si="160"/>
        <v>319.38705158118262</v>
      </c>
      <c r="I650" s="712">
        <f t="shared" si="161"/>
        <v>318.2073474694875</v>
      </c>
      <c r="J650" s="712">
        <f t="shared" si="162"/>
        <v>317.36966003268111</v>
      </c>
      <c r="K650" s="712">
        <f t="shared" si="163"/>
        <v>316.86810765950509</v>
      </c>
      <c r="L650" s="712">
        <f t="shared" si="164"/>
        <v>316.69911601095964</v>
      </c>
      <c r="N650" s="582">
        <v>576</v>
      </c>
      <c r="O650" s="712">
        <f t="shared" si="165"/>
        <v>8.5509817693063468</v>
      </c>
      <c r="P650" s="712">
        <f t="shared" si="166"/>
        <v>927.11611792235988</v>
      </c>
      <c r="Q650" s="712">
        <f t="shared" si="167"/>
        <v>916.05737041703082</v>
      </c>
      <c r="R650" s="712">
        <f t="shared" si="168"/>
        <v>908.09374622382677</v>
      </c>
      <c r="S650" s="712">
        <f t="shared" si="169"/>
        <v>903.25919925384778</v>
      </c>
      <c r="T650" s="712">
        <f t="shared" si="170"/>
        <v>901.57393603432013</v>
      </c>
    </row>
    <row r="651" spans="2:20">
      <c r="B651" s="582">
        <v>577</v>
      </c>
      <c r="C651" s="712">
        <f t="shared" ref="C651:C707" si="171">$C$73*B651</f>
        <v>8.5658272237669486</v>
      </c>
      <c r="D651" s="712">
        <f t="shared" ref="D651:D707" si="172">(1-2*FoAb-2*FoAb*BiCombAb)*D650+2*FoAb*E650+2*FoAb*BiCombAb*Tcomb</f>
        <v>1478.4320335830771</v>
      </c>
      <c r="E651" s="712">
        <f t="shared" ref="E651:E707" si="173">FoAb*D650+(1-2*FoAb)*E650+FoAb*F650</f>
        <v>1046.8864500854429</v>
      </c>
      <c r="F651" s="712">
        <f t="shared" ref="F651:F707" si="174">FoAb*E650+(1-2*FoAb)*F650+FoAb*G650</f>
        <v>707.73183293560646</v>
      </c>
      <c r="G651" s="712">
        <f t="shared" ref="G651:G707" si="175">FoAb*F650+(1-2*FoAb)*G650+FoAb*H650</f>
        <v>476.38283914439035</v>
      </c>
      <c r="H651" s="719">
        <f t="shared" ref="H651:H707" si="176">_FoN1*G650+(1-_FoN1-_FoN2)*H650+_FoN2*I650</f>
        <v>319.47305835635166</v>
      </c>
      <c r="I651" s="712">
        <f t="shared" ref="I651:I707" si="177">FoCase*H650+(1-2*FoCase)*I650+FoCase*J650</f>
        <v>318.29135628135839</v>
      </c>
      <c r="J651" s="712">
        <f t="shared" ref="J651:J707" si="178">FoCase*I650+(1-2*FoCase)*J650+FoCase*K650</f>
        <v>317.45222415717274</v>
      </c>
      <c r="K651" s="712">
        <f t="shared" ref="K651:K707" si="179">FoCase*J650+(1-2*FoCase)*K650+FoCase*L650</f>
        <v>316.94979382688342</v>
      </c>
      <c r="L651" s="712">
        <f t="shared" ref="L651:L707" si="180">(1-2*FoCase-2*FoCase*BiAtmCase)*L650+2*FoCase*K650+2*FoCase*BiAtmCase*Tatm</f>
        <v>316.78049899676017</v>
      </c>
      <c r="N651" s="582">
        <v>577</v>
      </c>
      <c r="O651" s="712">
        <f t="shared" ref="O651:O703" si="181">$O$73*N651</f>
        <v>8.5658272237669486</v>
      </c>
      <c r="P651" s="712">
        <f t="shared" ref="P651:P703" si="182">(1-2*FoCase-2*FoCase*BiCombCase)*P650+2*FoCase*Q650+2*FoCase*BiCombCase*Tcomb</f>
        <v>927.86468620475966</v>
      </c>
      <c r="Q651" s="712">
        <f t="shared" ref="Q651:Q703" si="183">FoCase*P650+(1-2*FoCase)*Q650+FoCase*R650</f>
        <v>916.81761882342835</v>
      </c>
      <c r="R651" s="712">
        <f t="shared" ref="R651:R703" si="184">FoCase*Q650+(1-2*FoCase)*R650+FoCase*S650</f>
        <v>908.86233465554847</v>
      </c>
      <c r="S651" s="712">
        <f t="shared" ref="S651:S703" si="185">FoCase*R650+(1-2*FoCase)*S650+FoCase*T650</f>
        <v>904.03275097089727</v>
      </c>
      <c r="T651" s="712">
        <f t="shared" ref="T651:T703" si="186">(1-2*FoCase-2*FoCase*BiAtmCase)*T650+2*FoCase*S650+2*FoCase*BiAtmCase*Tatm</f>
        <v>902.34905249085068</v>
      </c>
    </row>
    <row r="652" spans="2:20">
      <c r="B652" s="582">
        <v>578</v>
      </c>
      <c r="C652" s="712">
        <f t="shared" si="171"/>
        <v>8.5806726782275504</v>
      </c>
      <c r="D652" s="712">
        <f t="shared" si="172"/>
        <v>1478.5510341202175</v>
      </c>
      <c r="E652" s="712">
        <f t="shared" si="173"/>
        <v>1047.3114656314547</v>
      </c>
      <c r="F652" s="712">
        <f t="shared" si="174"/>
        <v>708.22775875699506</v>
      </c>
      <c r="G652" s="712">
        <f t="shared" si="175"/>
        <v>476.72527330229434</v>
      </c>
      <c r="H652" s="719">
        <f t="shared" si="176"/>
        <v>319.55919640733435</v>
      </c>
      <c r="I652" s="712">
        <f t="shared" si="177"/>
        <v>318.37550099318969</v>
      </c>
      <c r="J652" s="712">
        <f t="shared" si="178"/>
        <v>317.53492748638683</v>
      </c>
      <c r="K652" s="712">
        <f t="shared" si="179"/>
        <v>317.03162117512625</v>
      </c>
      <c r="L652" s="712">
        <f t="shared" si="180"/>
        <v>316.86202380581</v>
      </c>
      <c r="N652" s="582">
        <v>578</v>
      </c>
      <c r="O652" s="712">
        <f t="shared" si="181"/>
        <v>8.5806726782275504</v>
      </c>
      <c r="P652" s="712">
        <f t="shared" si="182"/>
        <v>928.61244667058008</v>
      </c>
      <c r="Q652" s="712">
        <f t="shared" si="183"/>
        <v>917.57704680865413</v>
      </c>
      <c r="R652" s="712">
        <f t="shared" si="184"/>
        <v>909.63009366597021</v>
      </c>
      <c r="S652" s="712">
        <f t="shared" si="185"/>
        <v>904.80546791052313</v>
      </c>
      <c r="T652" s="712">
        <f t="shared" si="186"/>
        <v>903.12333248137111</v>
      </c>
    </row>
    <row r="653" spans="2:20">
      <c r="B653" s="582">
        <v>579</v>
      </c>
      <c r="C653" s="712">
        <f t="shared" si="171"/>
        <v>8.5955181326881522</v>
      </c>
      <c r="D653" s="712">
        <f t="shared" si="172"/>
        <v>1478.6697219687392</v>
      </c>
      <c r="E653" s="712">
        <f t="shared" si="173"/>
        <v>1047.7353996521767</v>
      </c>
      <c r="F653" s="712">
        <f t="shared" si="174"/>
        <v>708.72265228792992</v>
      </c>
      <c r="G653" s="712">
        <f t="shared" si="175"/>
        <v>477.06723454073028</v>
      </c>
      <c r="H653" s="719">
        <f t="shared" si="176"/>
        <v>319.64546541351143</v>
      </c>
      <c r="I653" s="712">
        <f t="shared" si="177"/>
        <v>318.45978128090383</v>
      </c>
      <c r="J653" s="712">
        <f t="shared" si="178"/>
        <v>317.61776969397727</v>
      </c>
      <c r="K653" s="712">
        <f t="shared" si="179"/>
        <v>317.11358937662567</v>
      </c>
      <c r="L653" s="712">
        <f t="shared" si="180"/>
        <v>316.94369011013242</v>
      </c>
      <c r="N653" s="582">
        <v>579</v>
      </c>
      <c r="O653" s="712">
        <f t="shared" si="181"/>
        <v>8.5955181326881522</v>
      </c>
      <c r="P653" s="712">
        <f t="shared" si="182"/>
        <v>929.35940019157522</v>
      </c>
      <c r="Q653" s="712">
        <f t="shared" si="183"/>
        <v>918.33565525806512</v>
      </c>
      <c r="R653" s="712">
        <f t="shared" si="184"/>
        <v>910.39702415016086</v>
      </c>
      <c r="S653" s="712">
        <f t="shared" si="185"/>
        <v>905.57735097357465</v>
      </c>
      <c r="T653" s="712">
        <f t="shared" si="186"/>
        <v>903.89677690855251</v>
      </c>
    </row>
    <row r="654" spans="2:20">
      <c r="B654" s="582">
        <v>580</v>
      </c>
      <c r="C654" s="712">
        <f t="shared" si="171"/>
        <v>8.6103635871487523</v>
      </c>
      <c r="D654" s="712">
        <f t="shared" si="172"/>
        <v>1478.7880982746346</v>
      </c>
      <c r="E654" s="712">
        <f t="shared" si="173"/>
        <v>1048.158255910889</v>
      </c>
      <c r="F654" s="712">
        <f t="shared" si="174"/>
        <v>709.2165158751319</v>
      </c>
      <c r="G654" s="712">
        <f t="shared" si="175"/>
        <v>477.40872306442327</v>
      </c>
      <c r="H654" s="719">
        <f t="shared" si="176"/>
        <v>319.73186505461609</v>
      </c>
      <c r="I654" s="712">
        <f t="shared" si="177"/>
        <v>318.54419682071546</v>
      </c>
      <c r="J654" s="712">
        <f t="shared" si="178"/>
        <v>317.70075045384539</v>
      </c>
      <c r="K654" s="712">
        <f t="shared" si="179"/>
        <v>317.1956981039931</v>
      </c>
      <c r="L654" s="712">
        <f t="shared" si="180"/>
        <v>317.02549758196068</v>
      </c>
      <c r="N654" s="582">
        <v>580</v>
      </c>
      <c r="O654" s="712">
        <f t="shared" si="181"/>
        <v>8.6103635871487523</v>
      </c>
      <c r="P654" s="712">
        <f t="shared" si="182"/>
        <v>930.10554763855885</v>
      </c>
      <c r="Q654" s="712">
        <f t="shared" si="183"/>
        <v>919.09344505606225</v>
      </c>
      <c r="R654" s="712">
        <f t="shared" si="184"/>
        <v>911.16312700222375</v>
      </c>
      <c r="S654" s="712">
        <f t="shared" si="185"/>
        <v>906.34840105992862</v>
      </c>
      <c r="T654" s="712">
        <f t="shared" si="186"/>
        <v>904.66938667409227</v>
      </c>
    </row>
    <row r="655" spans="2:20">
      <c r="B655" s="582">
        <v>581</v>
      </c>
      <c r="C655" s="712">
        <f t="shared" si="171"/>
        <v>8.6252090416093541</v>
      </c>
      <c r="D655" s="712">
        <f t="shared" si="172"/>
        <v>1478.9061641778517</v>
      </c>
      <c r="E655" s="712">
        <f t="shared" si="173"/>
        <v>1048.5800381523154</v>
      </c>
      <c r="F655" s="712">
        <f t="shared" si="174"/>
        <v>709.70935186198426</v>
      </c>
      <c r="G655" s="712">
        <f t="shared" si="175"/>
        <v>477.74973908553699</v>
      </c>
      <c r="H655" s="719">
        <f t="shared" si="176"/>
        <v>319.81839501073682</v>
      </c>
      <c r="I655" s="712">
        <f t="shared" si="177"/>
        <v>318.62874728913528</v>
      </c>
      <c r="J655" s="712">
        <f t="shared" si="178"/>
        <v>317.78386944014375</v>
      </c>
      <c r="K655" s="712">
        <f t="shared" si="179"/>
        <v>317.27794703006401</v>
      </c>
      <c r="L655" s="712">
        <f t="shared" si="180"/>
        <v>317.10744589374241</v>
      </c>
      <c r="N655" s="582">
        <v>581</v>
      </c>
      <c r="O655" s="712">
        <f t="shared" si="181"/>
        <v>8.6252090416093541</v>
      </c>
      <c r="P655" s="712">
        <f t="shared" si="182"/>
        <v>930.85088988140467</v>
      </c>
      <c r="Q655" s="712">
        <f t="shared" si="183"/>
        <v>919.85041708609231</v>
      </c>
      <c r="R655" s="712">
        <f t="shared" si="184"/>
        <v>911.92840311529687</v>
      </c>
      <c r="S655" s="712">
        <f t="shared" si="185"/>
        <v>907.11861906849094</v>
      </c>
      <c r="T655" s="712">
        <f t="shared" si="186"/>
        <v>905.44116267871425</v>
      </c>
    </row>
    <row r="656" spans="2:20">
      <c r="B656" s="582">
        <v>582</v>
      </c>
      <c r="C656" s="712">
        <f t="shared" si="171"/>
        <v>8.6400544960699559</v>
      </c>
      <c r="D656" s="712">
        <f t="shared" si="172"/>
        <v>1479.0239208123378</v>
      </c>
      <c r="E656" s="712">
        <f t="shared" si="173"/>
        <v>1049.0007501027512</v>
      </c>
      <c r="F656" s="712">
        <f t="shared" si="174"/>
        <v>710.20116258851317</v>
      </c>
      <c r="G656" s="712">
        <f t="shared" si="175"/>
        <v>478.09028282359151</v>
      </c>
      <c r="H656" s="719">
        <f t="shared" si="176"/>
        <v>319.90505496232038</v>
      </c>
      <c r="I656" s="712">
        <f t="shared" si="177"/>
        <v>318.71343236297349</v>
      </c>
      <c r="J656" s="712">
        <f t="shared" si="178"/>
        <v>317.86712632728069</v>
      </c>
      <c r="K656" s="712">
        <f t="shared" si="179"/>
        <v>317.36033582790208</v>
      </c>
      <c r="L656" s="712">
        <f t="shared" si="180"/>
        <v>317.18953471814433</v>
      </c>
      <c r="N656" s="582">
        <v>582</v>
      </c>
      <c r="O656" s="712">
        <f t="shared" si="181"/>
        <v>8.6400544960699559</v>
      </c>
      <c r="P656" s="712">
        <f t="shared" si="182"/>
        <v>931.5954277890479</v>
      </c>
      <c r="Q656" s="712">
        <f t="shared" si="183"/>
        <v>920.60657223064845</v>
      </c>
      <c r="R656" s="712">
        <f t="shared" si="184"/>
        <v>912.69285338155487</v>
      </c>
      <c r="S656" s="712">
        <f t="shared" si="185"/>
        <v>907.88800589719733</v>
      </c>
      <c r="T656" s="712">
        <f t="shared" si="186"/>
        <v>906.21210582217077</v>
      </c>
    </row>
    <row r="657" spans="2:20">
      <c r="B657" s="582">
        <v>583</v>
      </c>
      <c r="C657" s="712">
        <f t="shared" si="171"/>
        <v>8.6548999505305559</v>
      </c>
      <c r="D657" s="712">
        <f t="shared" si="172"/>
        <v>1479.1413693060829</v>
      </c>
      <c r="E657" s="712">
        <f t="shared" si="173"/>
        <v>1049.4203954701889</v>
      </c>
      <c r="F657" s="712">
        <f t="shared" si="174"/>
        <v>710.69195039136707</v>
      </c>
      <c r="G657" s="712">
        <f t="shared" si="175"/>
        <v>478.43035450538173</v>
      </c>
      <c r="H657" s="719">
        <f t="shared" si="176"/>
        <v>319.99184459017482</v>
      </c>
      <c r="I657" s="712">
        <f t="shared" si="177"/>
        <v>318.79825171934363</v>
      </c>
      <c r="J657" s="712">
        <f t="shared" si="178"/>
        <v>317.95052078992421</v>
      </c>
      <c r="K657" s="712">
        <f t="shared" si="179"/>
        <v>317.44286417080366</v>
      </c>
      <c r="L657" s="712">
        <f t="shared" si="180"/>
        <v>317.27176372805684</v>
      </c>
      <c r="N657" s="582">
        <v>583</v>
      </c>
      <c r="O657" s="712">
        <f t="shared" si="181"/>
        <v>8.6548999505305559</v>
      </c>
      <c r="P657" s="712">
        <f t="shared" si="182"/>
        <v>932.33916222948585</v>
      </c>
      <c r="Q657" s="712">
        <f t="shared" si="183"/>
        <v>921.36191137127184</v>
      </c>
      <c r="R657" s="712">
        <f t="shared" si="184"/>
        <v>913.45647869220932</v>
      </c>
      <c r="S657" s="712">
        <f t="shared" si="185"/>
        <v>908.65656244301454</v>
      </c>
      <c r="T657" s="712">
        <f t="shared" si="186"/>
        <v>906.98221700324291</v>
      </c>
    </row>
    <row r="658" spans="2:20">
      <c r="B658" s="582">
        <v>584</v>
      </c>
      <c r="C658" s="712">
        <f t="shared" si="171"/>
        <v>8.6697454049911578</v>
      </c>
      <c r="D658" s="712">
        <f t="shared" si="172"/>
        <v>1479.2585107811631</v>
      </c>
      <c r="E658" s="712">
        <f t="shared" si="173"/>
        <v>1049.8389779444442</v>
      </c>
      <c r="F658" s="712">
        <f t="shared" si="174"/>
        <v>711.18171760379698</v>
      </c>
      <c r="G658" s="712">
        <f t="shared" si="175"/>
        <v>478.76995436489659</v>
      </c>
      <c r="H658" s="719">
        <f t="shared" si="176"/>
        <v>320.07876357547235</v>
      </c>
      <c r="I658" s="712">
        <f t="shared" si="177"/>
        <v>318.88320503566604</v>
      </c>
      <c r="J658" s="712">
        <f t="shared" si="178"/>
        <v>318.03405250300608</v>
      </c>
      <c r="K658" s="712">
        <f t="shared" si="179"/>
        <v>317.52553173230245</v>
      </c>
      <c r="L658" s="712">
        <f t="shared" si="180"/>
        <v>317.35413259659839</v>
      </c>
      <c r="N658" s="582">
        <v>584</v>
      </c>
      <c r="O658" s="712">
        <f t="shared" si="181"/>
        <v>8.6697454049911578</v>
      </c>
      <c r="P658" s="712">
        <f t="shared" si="182"/>
        <v>933.08209406977926</v>
      </c>
      <c r="Q658" s="712">
        <f t="shared" si="183"/>
        <v>922.11643538855219</v>
      </c>
      <c r="R658" s="712">
        <f t="shared" si="184"/>
        <v>914.2192799375099</v>
      </c>
      <c r="S658" s="712">
        <f t="shared" si="185"/>
        <v>909.42428960194138</v>
      </c>
      <c r="T658" s="712">
        <f t="shared" si="186"/>
        <v>907.75149711974188</v>
      </c>
    </row>
    <row r="659" spans="2:20">
      <c r="B659" s="582">
        <v>585</v>
      </c>
      <c r="C659" s="712">
        <f t="shared" si="171"/>
        <v>8.6845908594517596</v>
      </c>
      <c r="D659" s="712">
        <f t="shared" si="172"/>
        <v>1479.3753463537826</v>
      </c>
      <c r="E659" s="712">
        <f t="shared" si="173"/>
        <v>1050.2565011972802</v>
      </c>
      <c r="F659" s="712">
        <f t="shared" si="174"/>
        <v>711.6704665556374</v>
      </c>
      <c r="G659" s="712">
        <f t="shared" si="175"/>
        <v>479.10908264323905</v>
      </c>
      <c r="H659" s="719">
        <f t="shared" si="176"/>
        <v>320.16581159975209</v>
      </c>
      <c r="I659" s="712">
        <f t="shared" si="177"/>
        <v>318.96829198967134</v>
      </c>
      <c r="J659" s="712">
        <f t="shared" si="178"/>
        <v>318.11772114172595</v>
      </c>
      <c r="K659" s="712">
        <f t="shared" si="179"/>
        <v>317.60833818617346</v>
      </c>
      <c r="L659" s="712">
        <f t="shared" si="180"/>
        <v>317.43664099712004</v>
      </c>
      <c r="N659" s="582">
        <v>585</v>
      </c>
      <c r="O659" s="712">
        <f t="shared" si="181"/>
        <v>8.6845908594517596</v>
      </c>
      <c r="P659" s="712">
        <f t="shared" si="182"/>
        <v>933.82422417605301</v>
      </c>
      <c r="Q659" s="712">
        <f t="shared" si="183"/>
        <v>922.87014516212878</v>
      </c>
      <c r="R659" s="712">
        <f t="shared" si="184"/>
        <v>914.98125800674597</v>
      </c>
      <c r="S659" s="712">
        <f t="shared" si="185"/>
        <v>910.1911882690099</v>
      </c>
      <c r="T659" s="712">
        <f t="shared" si="186"/>
        <v>908.51994706850996</v>
      </c>
    </row>
    <row r="660" spans="2:20">
      <c r="B660" s="582">
        <v>586</v>
      </c>
      <c r="C660" s="712">
        <f t="shared" si="171"/>
        <v>8.6994363139123596</v>
      </c>
      <c r="D660" s="712">
        <f t="shared" si="172"/>
        <v>1479.4918771343162</v>
      </c>
      <c r="E660" s="712">
        <f t="shared" si="173"/>
        <v>1050.672968882531</v>
      </c>
      <c r="F660" s="712">
        <f t="shared" si="174"/>
        <v>712.15819957328733</v>
      </c>
      <c r="G660" s="712">
        <f t="shared" si="175"/>
        <v>479.44773958854654</v>
      </c>
      <c r="H660" s="719">
        <f t="shared" si="176"/>
        <v>320.25298834492281</v>
      </c>
      <c r="I660" s="712">
        <f t="shared" si="177"/>
        <v>319.05351225940399</v>
      </c>
      <c r="J660" s="712">
        <f t="shared" si="178"/>
        <v>318.20152638155525</v>
      </c>
      <c r="K660" s="712">
        <f t="shared" si="179"/>
        <v>317.69128320643756</v>
      </c>
      <c r="L660" s="712">
        <f t="shared" si="180"/>
        <v>317.51928860320965</v>
      </c>
      <c r="N660" s="582">
        <v>586</v>
      </c>
      <c r="O660" s="712">
        <f t="shared" si="181"/>
        <v>8.6994363139123596</v>
      </c>
      <c r="P660" s="712">
        <f t="shared" si="182"/>
        <v>934.56555341349747</v>
      </c>
      <c r="Q660" s="712">
        <f t="shared" si="183"/>
        <v>923.62304157069184</v>
      </c>
      <c r="R660" s="712">
        <f t="shared" si="184"/>
        <v>915.74241378824695</v>
      </c>
      <c r="S660" s="712">
        <f t="shared" si="185"/>
        <v>910.95725933828589</v>
      </c>
      <c r="T660" s="712">
        <f t="shared" si="186"/>
        <v>909.28756774542194</v>
      </c>
    </row>
    <row r="661" spans="2:20">
      <c r="B661" s="582">
        <v>587</v>
      </c>
      <c r="C661" s="712">
        <f t="shared" si="171"/>
        <v>8.7142817683729614</v>
      </c>
      <c r="D661" s="712">
        <f t="shared" si="172"/>
        <v>1479.6081042273515</v>
      </c>
      <c r="E661" s="712">
        <f t="shared" si="173"/>
        <v>1051.0883846362242</v>
      </c>
      <c r="F661" s="712">
        <f t="shared" si="174"/>
        <v>712.64491897969219</v>
      </c>
      <c r="G661" s="712">
        <f t="shared" si="175"/>
        <v>479.78592545591198</v>
      </c>
      <c r="H661" s="719">
        <f t="shared" si="176"/>
        <v>320.34029349326607</v>
      </c>
      <c r="I661" s="712">
        <f t="shared" si="177"/>
        <v>319.13886552322549</v>
      </c>
      <c r="J661" s="712">
        <f t="shared" si="178"/>
        <v>318.28546789824105</v>
      </c>
      <c r="K661" s="712">
        <f t="shared" si="179"/>
        <v>317.7743664673655</v>
      </c>
      <c r="L661" s="712">
        <f t="shared" si="180"/>
        <v>317.60207508869627</v>
      </c>
      <c r="N661" s="582">
        <v>587</v>
      </c>
      <c r="O661" s="712">
        <f t="shared" si="181"/>
        <v>8.7142817683729614</v>
      </c>
      <c r="P661" s="712">
        <f t="shared" si="182"/>
        <v>935.30608264636942</v>
      </c>
      <c r="Q661" s="712">
        <f t="shared" si="183"/>
        <v>924.37512549198311</v>
      </c>
      <c r="R661" s="712">
        <f t="shared" si="184"/>
        <v>916.50274816938372</v>
      </c>
      <c r="S661" s="712">
        <f t="shared" si="185"/>
        <v>911.72250370287054</v>
      </c>
      <c r="T661" s="712">
        <f t="shared" si="186"/>
        <v>910.05436004538535</v>
      </c>
    </row>
    <row r="662" spans="2:20">
      <c r="B662" s="582">
        <v>588</v>
      </c>
      <c r="C662" s="712">
        <f t="shared" si="171"/>
        <v>8.7291272228335632</v>
      </c>
      <c r="D662" s="712">
        <f t="shared" si="172"/>
        <v>1479.7240287317302</v>
      </c>
      <c r="E662" s="712">
        <f t="shared" si="173"/>
        <v>1051.502752076701</v>
      </c>
      <c r="F662" s="712">
        <f t="shared" si="174"/>
        <v>713.13062709432495</v>
      </c>
      <c r="G662" s="712">
        <f t="shared" si="175"/>
        <v>480.12364050730588</v>
      </c>
      <c r="H662" s="719">
        <f t="shared" si="176"/>
        <v>320.42772672743843</v>
      </c>
      <c r="I662" s="712">
        <f t="shared" si="177"/>
        <v>319.22435145981819</v>
      </c>
      <c r="J662" s="712">
        <f t="shared" si="178"/>
        <v>318.36954536780996</v>
      </c>
      <c r="K662" s="712">
        <f t="shared" si="179"/>
        <v>317.85758764348225</v>
      </c>
      <c r="L662" s="712">
        <f t="shared" si="180"/>
        <v>317.68500012765452</v>
      </c>
      <c r="N662" s="582">
        <v>588</v>
      </c>
      <c r="O662" s="712">
        <f t="shared" si="181"/>
        <v>8.7291272228335632</v>
      </c>
      <c r="P662" s="712">
        <f t="shared" si="182"/>
        <v>936.04581273799272</v>
      </c>
      <c r="Q662" s="712">
        <f t="shared" si="183"/>
        <v>925.12639780279744</v>
      </c>
      <c r="R662" s="712">
        <f t="shared" si="184"/>
        <v>917.26226203656938</v>
      </c>
      <c r="S662" s="712">
        <f t="shared" si="185"/>
        <v>912.4869222549014</v>
      </c>
      <c r="T662" s="712">
        <f t="shared" si="186"/>
        <v>910.8203248623422</v>
      </c>
    </row>
    <row r="663" spans="2:20">
      <c r="B663" s="582">
        <v>589</v>
      </c>
      <c r="C663" s="712">
        <f t="shared" si="171"/>
        <v>8.7439726772941651</v>
      </c>
      <c r="D663" s="712">
        <f t="shared" si="172"/>
        <v>1479.8396517405893</v>
      </c>
      <c r="E663" s="712">
        <f t="shared" si="173"/>
        <v>1051.9160748047382</v>
      </c>
      <c r="F663" s="712">
        <f t="shared" si="174"/>
        <v>713.61532623316884</v>
      </c>
      <c r="G663" s="712">
        <f t="shared" si="175"/>
        <v>480.46088501149865</v>
      </c>
      <c r="H663" s="719">
        <f t="shared" si="176"/>
        <v>320.51528773047454</v>
      </c>
      <c r="I663" s="712">
        <f t="shared" si="177"/>
        <v>319.30996974818822</v>
      </c>
      <c r="J663" s="712">
        <f t="shared" si="178"/>
        <v>318.45375846657214</v>
      </c>
      <c r="K663" s="712">
        <f t="shared" si="179"/>
        <v>317.94094640957087</v>
      </c>
      <c r="L663" s="712">
        <f t="shared" si="180"/>
        <v>317.76806339440878</v>
      </c>
      <c r="N663" s="582">
        <v>589</v>
      </c>
      <c r="O663" s="712">
        <f t="shared" si="181"/>
        <v>8.7439726772941651</v>
      </c>
      <c r="P663" s="712">
        <f t="shared" si="182"/>
        <v>936.78474455075968</v>
      </c>
      <c r="Q663" s="712">
        <f t="shared" si="183"/>
        <v>925.87685937898311</v>
      </c>
      <c r="R663" s="712">
        <f t="shared" si="184"/>
        <v>918.02095627526069</v>
      </c>
      <c r="S663" s="712">
        <f t="shared" si="185"/>
        <v>913.25051588555311</v>
      </c>
      <c r="T663" s="712">
        <f t="shared" si="186"/>
        <v>911.58546308926975</v>
      </c>
    </row>
    <row r="664" spans="2:20">
      <c r="B664" s="582">
        <v>590</v>
      </c>
      <c r="C664" s="712">
        <f t="shared" si="171"/>
        <v>8.7588181317547651</v>
      </c>
      <c r="D664" s="712">
        <f t="shared" si="172"/>
        <v>1479.954974341402</v>
      </c>
      <c r="E664" s="712">
        <f t="shared" si="173"/>
        <v>1052.328356403666</v>
      </c>
      <c r="F664" s="712">
        <f t="shared" si="174"/>
        <v>714.09901870869976</v>
      </c>
      <c r="G664" s="712">
        <f t="shared" si="175"/>
        <v>480.79765924398373</v>
      </c>
      <c r="H664" s="719">
        <f t="shared" si="176"/>
        <v>320.6029761857896</v>
      </c>
      <c r="I664" s="712">
        <f t="shared" si="177"/>
        <v>319.39572006766906</v>
      </c>
      <c r="J664" s="712">
        <f t="shared" si="178"/>
        <v>318.5381068711248</v>
      </c>
      <c r="K664" s="712">
        <f t="shared" si="179"/>
        <v>318.02444244067703</v>
      </c>
      <c r="L664" s="712">
        <f t="shared" si="180"/>
        <v>317.8512645635372</v>
      </c>
      <c r="N664" s="582">
        <v>590</v>
      </c>
      <c r="O664" s="712">
        <f t="shared" si="181"/>
        <v>8.7588181317547651</v>
      </c>
      <c r="P664" s="712">
        <f t="shared" si="182"/>
        <v>937.52287894613198</v>
      </c>
      <c r="Q664" s="712">
        <f t="shared" si="183"/>
        <v>926.62651109544368</v>
      </c>
      <c r="R664" s="712">
        <f t="shared" si="184"/>
        <v>918.77883176995874</v>
      </c>
      <c r="S664" s="712">
        <f t="shared" si="185"/>
        <v>914.0132854850383</v>
      </c>
      <c r="T664" s="712">
        <f t="shared" si="186"/>
        <v>912.34977561818187</v>
      </c>
    </row>
    <row r="665" spans="2:20">
      <c r="B665" s="582">
        <v>591</v>
      </c>
      <c r="C665" s="712">
        <f t="shared" si="171"/>
        <v>8.7736635862153669</v>
      </c>
      <c r="D665" s="712">
        <f t="shared" si="172"/>
        <v>1480.0699976160181</v>
      </c>
      <c r="E665" s="712">
        <f t="shared" si="173"/>
        <v>1052.739600439488</v>
      </c>
      <c r="F665" s="712">
        <f t="shared" si="174"/>
        <v>714.5817068298694</v>
      </c>
      <c r="G665" s="712">
        <f t="shared" si="175"/>
        <v>481.13396348690151</v>
      </c>
      <c r="H665" s="719">
        <f t="shared" si="176"/>
        <v>320.69079177718208</v>
      </c>
      <c r="I665" s="712">
        <f t="shared" si="177"/>
        <v>319.48160209792462</v>
      </c>
      <c r="J665" s="712">
        <f t="shared" si="178"/>
        <v>318.62259025835624</v>
      </c>
      <c r="K665" s="712">
        <f t="shared" si="179"/>
        <v>318.1080754121125</v>
      </c>
      <c r="L665" s="712">
        <f t="shared" si="180"/>
        <v>317.93460330987614</v>
      </c>
      <c r="N665" s="582">
        <v>591</v>
      </c>
      <c r="O665" s="712">
        <f t="shared" si="181"/>
        <v>8.7736635862153669</v>
      </c>
      <c r="P665" s="712">
        <f t="shared" si="182"/>
        <v>938.26021678464178</v>
      </c>
      <c r="Q665" s="712">
        <f t="shared" si="183"/>
        <v>927.37535382613828</v>
      </c>
      <c r="R665" s="712">
        <f t="shared" si="184"/>
        <v>919.53588940421014</v>
      </c>
      <c r="S665" s="712">
        <f t="shared" si="185"/>
        <v>914.77523194260959</v>
      </c>
      <c r="T665" s="712">
        <f t="shared" si="186"/>
        <v>913.11326334012949</v>
      </c>
    </row>
    <row r="666" spans="2:20">
      <c r="B666" s="582">
        <v>592</v>
      </c>
      <c r="C666" s="712">
        <f t="shared" si="171"/>
        <v>8.7885090406759687</v>
      </c>
      <c r="D666" s="712">
        <f t="shared" si="172"/>
        <v>1480.1847226407042</v>
      </c>
      <c r="E666" s="712">
        <f t="shared" si="173"/>
        <v>1053.1498104609966</v>
      </c>
      <c r="F666" s="712">
        <f t="shared" si="174"/>
        <v>715.06339290208825</v>
      </c>
      <c r="G666" s="712">
        <f t="shared" si="175"/>
        <v>481.46979802896345</v>
      </c>
      <c r="H666" s="719">
        <f t="shared" si="176"/>
        <v>320.77873418883621</v>
      </c>
      <c r="I666" s="712">
        <f t="shared" si="177"/>
        <v>319.56761551895261</v>
      </c>
      <c r="J666" s="712">
        <f t="shared" si="178"/>
        <v>318.70720830544917</v>
      </c>
      <c r="K666" s="712">
        <f t="shared" si="179"/>
        <v>318.19184499945959</v>
      </c>
      <c r="L666" s="712">
        <f t="shared" si="180"/>
        <v>318.0180793085238</v>
      </c>
      <c r="N666" s="582">
        <v>592</v>
      </c>
      <c r="O666" s="712">
        <f t="shared" si="181"/>
        <v>8.7885090406759687</v>
      </c>
      <c r="P666" s="712">
        <f t="shared" si="182"/>
        <v>938.99675892589255</v>
      </c>
      <c r="Q666" s="712">
        <f t="shared" si="183"/>
        <v>928.12338844408271</v>
      </c>
      <c r="R666" s="712">
        <f t="shared" si="184"/>
        <v>920.2921300606082</v>
      </c>
      <c r="S666" s="712">
        <f t="shared" si="185"/>
        <v>915.53635614655946</v>
      </c>
      <c r="T666" s="712">
        <f t="shared" si="186"/>
        <v>913.87592714520201</v>
      </c>
    </row>
    <row r="667" spans="2:20">
      <c r="B667" s="582">
        <v>593</v>
      </c>
      <c r="C667" s="712">
        <f t="shared" si="171"/>
        <v>8.8033544951365688</v>
      </c>
      <c r="D667" s="712">
        <f t="shared" si="172"/>
        <v>1480.2991504861834</v>
      </c>
      <c r="E667" s="712">
        <f t="shared" si="173"/>
        <v>1053.5589899998909</v>
      </c>
      <c r="F667" s="712">
        <f t="shared" si="174"/>
        <v>715.54407922720952</v>
      </c>
      <c r="G667" s="712">
        <f t="shared" si="175"/>
        <v>481.80516316537734</v>
      </c>
      <c r="H667" s="719">
        <f t="shared" si="176"/>
        <v>320.86680310532461</v>
      </c>
      <c r="I667" s="712">
        <f t="shared" si="177"/>
        <v>319.65376001108768</v>
      </c>
      <c r="J667" s="712">
        <f t="shared" si="178"/>
        <v>318.79196068988472</v>
      </c>
      <c r="K667" s="712">
        <f t="shared" si="179"/>
        <v>318.2757508785748</v>
      </c>
      <c r="L667" s="712">
        <f t="shared" si="180"/>
        <v>318.10169223484473</v>
      </c>
      <c r="N667" s="582">
        <v>593</v>
      </c>
      <c r="O667" s="712">
        <f t="shared" si="181"/>
        <v>8.8033544951365688</v>
      </c>
      <c r="P667" s="712">
        <f t="shared" si="182"/>
        <v>939.73250622855983</v>
      </c>
      <c r="Q667" s="712">
        <f t="shared" si="183"/>
        <v>928.87061582135118</v>
      </c>
      <c r="R667" s="712">
        <f t="shared" si="184"/>
        <v>921.04755462079333</v>
      </c>
      <c r="S667" s="712">
        <f t="shared" si="185"/>
        <v>916.29665898422195</v>
      </c>
      <c r="T667" s="712">
        <f t="shared" si="186"/>
        <v>914.6377679225285</v>
      </c>
    </row>
    <row r="668" spans="2:20">
      <c r="B668" s="582">
        <v>594</v>
      </c>
      <c r="C668" s="712">
        <f t="shared" si="171"/>
        <v>8.8181999495971706</v>
      </c>
      <c r="D668" s="712">
        <f t="shared" si="172"/>
        <v>1480.413282217675</v>
      </c>
      <c r="E668" s="712">
        <f t="shared" si="173"/>
        <v>1053.9671425708914</v>
      </c>
      <c r="F668" s="712">
        <f t="shared" si="174"/>
        <v>716.02376810351302</v>
      </c>
      <c r="G668" s="712">
        <f t="shared" si="175"/>
        <v>482.14005919777287</v>
      </c>
      <c r="H668" s="719">
        <f t="shared" si="176"/>
        <v>320.95499821161081</v>
      </c>
      <c r="I668" s="712">
        <f t="shared" si="177"/>
        <v>319.74003525500444</v>
      </c>
      <c r="J668" s="712">
        <f t="shared" si="178"/>
        <v>318.87684708944585</v>
      </c>
      <c r="K668" s="712">
        <f t="shared" si="179"/>
        <v>318.35979272559285</v>
      </c>
      <c r="L668" s="712">
        <f t="shared" si="180"/>
        <v>318.18544176447347</v>
      </c>
      <c r="N668" s="582">
        <v>594</v>
      </c>
      <c r="O668" s="712">
        <f t="shared" si="181"/>
        <v>8.8181999495971706</v>
      </c>
      <c r="P668" s="712">
        <f t="shared" si="182"/>
        <v>940.46745955039273</v>
      </c>
      <c r="Q668" s="712">
        <f t="shared" si="183"/>
        <v>929.61703682907637</v>
      </c>
      <c r="R668" s="712">
        <f t="shared" si="184"/>
        <v>921.80216396545507</v>
      </c>
      <c r="S668" s="712">
        <f t="shared" si="185"/>
        <v>917.05614134197344</v>
      </c>
      <c r="T668" s="712">
        <f t="shared" si="186"/>
        <v>915.39878656027827</v>
      </c>
    </row>
    <row r="669" spans="2:20">
      <c r="B669" s="582">
        <v>595</v>
      </c>
      <c r="C669" s="712">
        <f t="shared" si="171"/>
        <v>8.8330454040577724</v>
      </c>
      <c r="D669" s="712">
        <f t="shared" si="172"/>
        <v>1480.5271188949334</v>
      </c>
      <c r="E669" s="712">
        <f t="shared" si="173"/>
        <v>1054.3742716718546</v>
      </c>
      <c r="F669" s="712">
        <f t="shared" si="174"/>
        <v>716.50246182568935</v>
      </c>
      <c r="G669" s="712">
        <f t="shared" si="175"/>
        <v>482.47448643412798</v>
      </c>
      <c r="H669" s="719">
        <f t="shared" si="176"/>
        <v>321.04331919305162</v>
      </c>
      <c r="I669" s="712">
        <f t="shared" si="177"/>
        <v>319.82644093172087</v>
      </c>
      <c r="J669" s="712">
        <f t="shared" si="178"/>
        <v>318.96186718222089</v>
      </c>
      <c r="K669" s="712">
        <f t="shared" si="179"/>
        <v>318.44397021693044</v>
      </c>
      <c r="L669" s="712">
        <f t="shared" si="180"/>
        <v>318.26932757331866</v>
      </c>
      <c r="N669" s="582">
        <v>595</v>
      </c>
      <c r="O669" s="712">
        <f t="shared" si="181"/>
        <v>8.8330454040577724</v>
      </c>
      <c r="P669" s="712">
        <f t="shared" si="182"/>
        <v>941.20161974821485</v>
      </c>
      <c r="Q669" s="712">
        <f t="shared" si="183"/>
        <v>930.36265233745121</v>
      </c>
      <c r="R669" s="712">
        <f t="shared" si="184"/>
        <v>922.55595897433204</v>
      </c>
      <c r="S669" s="712">
        <f t="shared" si="185"/>
        <v>917.81480410523409</v>
      </c>
      <c r="T669" s="712">
        <f t="shared" si="186"/>
        <v>916.15898394566227</v>
      </c>
    </row>
    <row r="670" spans="2:20">
      <c r="B670" s="582">
        <v>596</v>
      </c>
      <c r="C670" s="712">
        <f t="shared" si="171"/>
        <v>8.8478908585183742</v>
      </c>
      <c r="D670" s="712">
        <f t="shared" si="172"/>
        <v>1480.6406615722872</v>
      </c>
      <c r="E670" s="712">
        <f t="shared" si="173"/>
        <v>1054.7803807838861</v>
      </c>
      <c r="F670" s="712">
        <f t="shared" si="174"/>
        <v>716.98016268482479</v>
      </c>
      <c r="G670" s="712">
        <f t="shared" si="175"/>
        <v>482.80844518869549</v>
      </c>
      <c r="H670" s="719">
        <f t="shared" si="176"/>
        <v>321.13176573539965</v>
      </c>
      <c r="I670" s="712">
        <f t="shared" si="177"/>
        <v>319.91297672260089</v>
      </c>
      <c r="J670" s="712">
        <f t="shared" si="178"/>
        <v>319.04702064660717</v>
      </c>
      <c r="K670" s="712">
        <f t="shared" si="179"/>
        <v>318.52828302929015</v>
      </c>
      <c r="L670" s="712">
        <f t="shared" si="180"/>
        <v>318.3533493375669</v>
      </c>
      <c r="N670" s="582">
        <v>596</v>
      </c>
      <c r="O670" s="712">
        <f t="shared" si="181"/>
        <v>8.8478908585183742</v>
      </c>
      <c r="P670" s="712">
        <f t="shared" si="182"/>
        <v>941.93498767792505</v>
      </c>
      <c r="Q670" s="712">
        <f t="shared" si="183"/>
        <v>931.10746321572901</v>
      </c>
      <c r="R670" s="712">
        <f t="shared" si="184"/>
        <v>923.30894052621397</v>
      </c>
      <c r="S670" s="712">
        <f t="shared" si="185"/>
        <v>918.57264815846816</v>
      </c>
      <c r="T670" s="712">
        <f t="shared" si="186"/>
        <v>916.9183609649341</v>
      </c>
    </row>
    <row r="671" spans="2:20">
      <c r="B671" s="582">
        <v>597</v>
      </c>
      <c r="C671" s="712">
        <f t="shared" si="171"/>
        <v>8.8627363129789742</v>
      </c>
      <c r="D671" s="712">
        <f t="shared" si="172"/>
        <v>1480.7539112986767</v>
      </c>
      <c r="E671" s="712">
        <f t="shared" si="173"/>
        <v>1055.1854733714542</v>
      </c>
      <c r="F671" s="712">
        <f t="shared" si="174"/>
        <v>717.45687296838605</v>
      </c>
      <c r="G671" s="712">
        <f t="shared" si="175"/>
        <v>483.14193578193107</v>
      </c>
      <c r="H671" s="719">
        <f t="shared" si="176"/>
        <v>321.22033752480581</v>
      </c>
      <c r="I671" s="712">
        <f t="shared" si="177"/>
        <v>319.99964230935791</v>
      </c>
      <c r="J671" s="712">
        <f t="shared" si="178"/>
        <v>319.1323071613146</v>
      </c>
      <c r="K671" s="712">
        <f t="shared" si="179"/>
        <v>318.61273083966398</v>
      </c>
      <c r="L671" s="712">
        <f t="shared" si="180"/>
        <v>318.43750673368658</v>
      </c>
      <c r="N671" s="582">
        <v>597</v>
      </c>
      <c r="O671" s="712">
        <f t="shared" si="181"/>
        <v>8.8627363129789742</v>
      </c>
      <c r="P671" s="712">
        <f t="shared" si="182"/>
        <v>942.6675641944986</v>
      </c>
      <c r="Q671" s="712">
        <f t="shared" si="183"/>
        <v>931.85147033222563</v>
      </c>
      <c r="R671" s="712">
        <f t="shared" si="184"/>
        <v>924.06110949894173</v>
      </c>
      <c r="S671" s="712">
        <f t="shared" si="185"/>
        <v>919.32967438518563</v>
      </c>
      <c r="T671" s="712">
        <f t="shared" si="186"/>
        <v>917.67691850339088</v>
      </c>
    </row>
    <row r="672" spans="2:20">
      <c r="B672" s="582">
        <v>598</v>
      </c>
      <c r="C672" s="712">
        <f t="shared" si="171"/>
        <v>8.8775817674395761</v>
      </c>
      <c r="D672" s="712">
        <f t="shared" si="172"/>
        <v>1480.8668691176931</v>
      </c>
      <c r="E672" s="712">
        <f t="shared" si="173"/>
        <v>1055.5895528825006</v>
      </c>
      <c r="F672" s="712">
        <f t="shared" si="174"/>
        <v>717.93259496020562</v>
      </c>
      <c r="G672" s="712">
        <f t="shared" si="175"/>
        <v>483.4749585404208</v>
      </c>
      <c r="H672" s="719">
        <f t="shared" si="176"/>
        <v>321.3090342478215</v>
      </c>
      <c r="I672" s="712">
        <f t="shared" si="177"/>
        <v>320.08643737405743</v>
      </c>
      <c r="J672" s="712">
        <f t="shared" si="178"/>
        <v>319.21772640536864</v>
      </c>
      <c r="K672" s="712">
        <f t="shared" si="179"/>
        <v>318.69731332533729</v>
      </c>
      <c r="L672" s="712">
        <f t="shared" si="180"/>
        <v>318.52179943843151</v>
      </c>
      <c r="N672" s="582">
        <v>598</v>
      </c>
      <c r="O672" s="712">
        <f t="shared" si="181"/>
        <v>8.8775817674395761</v>
      </c>
      <c r="P672" s="712">
        <f t="shared" si="182"/>
        <v>943.39935015198773</v>
      </c>
      <c r="Q672" s="712">
        <f t="shared" si="183"/>
        <v>932.59467455431968</v>
      </c>
      <c r="R672" s="712">
        <f t="shared" si="184"/>
        <v>924.81246676940941</v>
      </c>
      <c r="S672" s="712">
        <f t="shared" si="185"/>
        <v>920.08588366794288</v>
      </c>
      <c r="T672" s="712">
        <f t="shared" si="186"/>
        <v>918.43465744537423</v>
      </c>
    </row>
    <row r="673" spans="2:20">
      <c r="B673" s="582">
        <v>599</v>
      </c>
      <c r="C673" s="712">
        <f t="shared" si="171"/>
        <v>8.8924272219001779</v>
      </c>
      <c r="D673" s="712">
        <f t="shared" si="172"/>
        <v>1480.9795360676158</v>
      </c>
      <c r="E673" s="712">
        <f t="shared" si="173"/>
        <v>1055.9926227485516</v>
      </c>
      <c r="F673" s="712">
        <f t="shared" si="174"/>
        <v>718.40733094046732</v>
      </c>
      <c r="G673" s="712">
        <f t="shared" si="175"/>
        <v>483.80751379681044</v>
      </c>
      <c r="H673" s="719">
        <f t="shared" si="176"/>
        <v>321.39785559140108</v>
      </c>
      <c r="I673" s="712">
        <f t="shared" si="177"/>
        <v>320.17336159912014</v>
      </c>
      <c r="J673" s="712">
        <f t="shared" si="178"/>
        <v>319.30327805811413</v>
      </c>
      <c r="K673" s="712">
        <f t="shared" si="179"/>
        <v>318.78203016389239</v>
      </c>
      <c r="L673" s="712">
        <f t="shared" si="180"/>
        <v>318.60622712884498</v>
      </c>
      <c r="N673" s="582">
        <v>599</v>
      </c>
      <c r="O673" s="712">
        <f t="shared" si="181"/>
        <v>8.8924272219001779</v>
      </c>
      <c r="P673" s="712">
        <f t="shared" si="182"/>
        <v>944.13034640352373</v>
      </c>
      <c r="Q673" s="712">
        <f t="shared" si="183"/>
        <v>933.33707674845368</v>
      </c>
      <c r="R673" s="712">
        <f t="shared" si="184"/>
        <v>925.56301321356443</v>
      </c>
      <c r="S673" s="712">
        <f t="shared" si="185"/>
        <v>920.84127688834428</v>
      </c>
      <c r="T673" s="712">
        <f t="shared" si="186"/>
        <v>919.19157867427157</v>
      </c>
    </row>
    <row r="674" spans="2:20">
      <c r="B674" s="582">
        <v>600</v>
      </c>
      <c r="C674" s="712">
        <f t="shared" si="171"/>
        <v>8.9072726763607779</v>
      </c>
      <c r="D674" s="712">
        <f t="shared" si="172"/>
        <v>1481.0919131814501</v>
      </c>
      <c r="E674" s="712">
        <f t="shared" si="173"/>
        <v>1056.3946863848273</v>
      </c>
      <c r="F674" s="712">
        <f t="shared" si="174"/>
        <v>718.88108318569255</v>
      </c>
      <c r="G674" s="712">
        <f t="shared" si="175"/>
        <v>484.13960188973431</v>
      </c>
      <c r="H674" s="719">
        <f t="shared" si="176"/>
        <v>321.48680124290422</v>
      </c>
      <c r="I674" s="712">
        <f t="shared" si="177"/>
        <v>320.26041466732488</v>
      </c>
      <c r="J674" s="712">
        <f t="shared" si="178"/>
        <v>319.38896179921858</v>
      </c>
      <c r="K674" s="712">
        <f t="shared" si="179"/>
        <v>318.86688103321211</v>
      </c>
      <c r="L674" s="712">
        <f t="shared" si="180"/>
        <v>318.69078948226337</v>
      </c>
      <c r="N674" s="582">
        <v>600</v>
      </c>
      <c r="O674" s="712">
        <f t="shared" si="181"/>
        <v>8.9072726763607779</v>
      </c>
      <c r="P674" s="712">
        <f t="shared" si="182"/>
        <v>944.86055380131666</v>
      </c>
      <c r="Q674" s="712">
        <f t="shared" si="183"/>
        <v>934.07867778013508</v>
      </c>
      <c r="R674" s="712">
        <f t="shared" si="184"/>
        <v>926.31274970640914</v>
      </c>
      <c r="S674" s="712">
        <f t="shared" si="185"/>
        <v>921.59585492704241</v>
      </c>
      <c r="T674" s="712">
        <f t="shared" si="186"/>
        <v>919.94768307251729</v>
      </c>
    </row>
    <row r="675" spans="2:20">
      <c r="B675" s="582">
        <v>601</v>
      </c>
      <c r="C675" s="712">
        <f t="shared" si="171"/>
        <v>8.9221181308213797</v>
      </c>
      <c r="D675" s="712">
        <f t="shared" si="172"/>
        <v>1481.204001486964</v>
      </c>
      <c r="E675" s="712">
        <f t="shared" si="173"/>
        <v>1056.7957471903514</v>
      </c>
      <c r="F675" s="712">
        <f t="shared" si="174"/>
        <v>719.3538539687263</v>
      </c>
      <c r="G675" s="712">
        <f t="shared" si="175"/>
        <v>484.47122316374538</v>
      </c>
      <c r="H675" s="719">
        <f t="shared" si="176"/>
        <v>321.57587089009786</v>
      </c>
      <c r="I675" s="712">
        <f t="shared" si="177"/>
        <v>320.3475962618113</v>
      </c>
      <c r="J675" s="712">
        <f t="shared" si="178"/>
        <v>319.47477730867524</v>
      </c>
      <c r="K675" s="712">
        <f t="shared" si="179"/>
        <v>318.9518656114833</v>
      </c>
      <c r="L675" s="712">
        <f t="shared" si="180"/>
        <v>318.77548617631959</v>
      </c>
      <c r="N675" s="582">
        <v>601</v>
      </c>
      <c r="O675" s="712">
        <f t="shared" si="181"/>
        <v>8.9221181308213797</v>
      </c>
      <c r="P675" s="712">
        <f t="shared" si="182"/>
        <v>945.58997319665707</v>
      </c>
      <c r="Q675" s="712">
        <f t="shared" si="183"/>
        <v>934.81947851393738</v>
      </c>
      <c r="R675" s="712">
        <f t="shared" si="184"/>
        <v>927.06167712200147</v>
      </c>
      <c r="S675" s="712">
        <f t="shared" si="185"/>
        <v>922.34961866373965</v>
      </c>
      <c r="T675" s="712">
        <f t="shared" si="186"/>
        <v>920.70297152159299</v>
      </c>
    </row>
    <row r="676" spans="2:20">
      <c r="B676" s="582">
        <v>602</v>
      </c>
      <c r="C676" s="712">
        <f t="shared" si="171"/>
        <v>8.9369635852819815</v>
      </c>
      <c r="D676" s="712">
        <f t="shared" si="172"/>
        <v>1481.3158020067253</v>
      </c>
      <c r="E676" s="712">
        <f t="shared" si="173"/>
        <v>1057.1958085480583</v>
      </c>
      <c r="F676" s="712">
        <f t="shared" si="174"/>
        <v>719.82564555872341</v>
      </c>
      <c r="G676" s="712">
        <f t="shared" si="175"/>
        <v>484.80237796924587</v>
      </c>
      <c r="H676" s="719">
        <f t="shared" si="176"/>
        <v>321.66506422115901</v>
      </c>
      <c r="I676" s="712">
        <f t="shared" si="177"/>
        <v>320.43490606608293</v>
      </c>
      <c r="J676" s="712">
        <f t="shared" si="178"/>
        <v>319.56072426680657</v>
      </c>
      <c r="K676" s="712">
        <f t="shared" si="179"/>
        <v>319.0369835772006</v>
      </c>
      <c r="L676" s="712">
        <f t="shared" si="180"/>
        <v>318.86031688894701</v>
      </c>
      <c r="N676" s="582">
        <v>602</v>
      </c>
      <c r="O676" s="712">
        <f t="shared" si="181"/>
        <v>8.9369635852819815</v>
      </c>
      <c r="P676" s="712">
        <f t="shared" si="182"/>
        <v>946.31860543991695</v>
      </c>
      <c r="Q676" s="712">
        <f t="shared" si="183"/>
        <v>935.55947981350118</v>
      </c>
      <c r="R676" s="712">
        <f t="shared" si="184"/>
        <v>927.80979633345623</v>
      </c>
      <c r="S676" s="712">
        <f t="shared" si="185"/>
        <v>923.10256897718909</v>
      </c>
      <c r="T676" s="712">
        <f t="shared" si="186"/>
        <v>921.45744490202924</v>
      </c>
    </row>
    <row r="677" spans="2:20">
      <c r="B677" s="582">
        <v>603</v>
      </c>
      <c r="C677" s="712">
        <f t="shared" si="171"/>
        <v>8.9518090397425834</v>
      </c>
      <c r="D677" s="712">
        <f t="shared" si="172"/>
        <v>1481.4273157581376</v>
      </c>
      <c r="E677" s="712">
        <f t="shared" si="173"/>
        <v>1057.594873824901</v>
      </c>
      <c r="F677" s="712">
        <f t="shared" si="174"/>
        <v>720.2964602211357</v>
      </c>
      <c r="G677" s="712">
        <f t="shared" si="175"/>
        <v>485.13306666241823</v>
      </c>
      <c r="H677" s="719">
        <f t="shared" si="176"/>
        <v>321.75438092467641</v>
      </c>
      <c r="I677" s="712">
        <f t="shared" si="177"/>
        <v>320.5223437640098</v>
      </c>
      <c r="J677" s="712">
        <f t="shared" si="178"/>
        <v>319.64680235426738</v>
      </c>
      <c r="K677" s="712">
        <f t="shared" si="179"/>
        <v>319.12223460916965</v>
      </c>
      <c r="L677" s="712">
        <f t="shared" si="180"/>
        <v>318.94528129838278</v>
      </c>
      <c r="N677" s="582">
        <v>603</v>
      </c>
      <c r="O677" s="712">
        <f t="shared" si="181"/>
        <v>8.9518090397425834</v>
      </c>
      <c r="P677" s="712">
        <f t="shared" si="182"/>
        <v>947.04645138055059</v>
      </c>
      <c r="Q677" s="712">
        <f t="shared" si="183"/>
        <v>936.29868254153484</v>
      </c>
      <c r="R677" s="712">
        <f t="shared" si="184"/>
        <v>928.55710821294576</v>
      </c>
      <c r="S677" s="712">
        <f t="shared" si="185"/>
        <v>923.85470674519547</v>
      </c>
      <c r="T677" s="712">
        <f t="shared" si="186"/>
        <v>922.21110409340645</v>
      </c>
    </row>
    <row r="678" spans="2:20">
      <c r="B678" s="582">
        <v>604</v>
      </c>
      <c r="C678" s="712">
        <f t="shared" si="171"/>
        <v>8.9666544942031834</v>
      </c>
      <c r="D678" s="712">
        <f t="shared" si="172"/>
        <v>1481.5385437534778</v>
      </c>
      <c r="E678" s="712">
        <f t="shared" si="173"/>
        <v>1057.9929463719575</v>
      </c>
      <c r="F678" s="712">
        <f t="shared" si="174"/>
        <v>720.76630021769961</v>
      </c>
      <c r="G678" s="712">
        <f t="shared" si="175"/>
        <v>485.46328960515689</v>
      </c>
      <c r="H678" s="719">
        <f t="shared" si="176"/>
        <v>321.84382068965306</v>
      </c>
      <c r="I678" s="712">
        <f t="shared" si="177"/>
        <v>320.60990903983122</v>
      </c>
      <c r="J678" s="712">
        <f t="shared" si="178"/>
        <v>319.73301125204807</v>
      </c>
      <c r="K678" s="712">
        <f t="shared" si="179"/>
        <v>319.20761838651072</v>
      </c>
      <c r="L678" s="712">
        <f t="shared" si="180"/>
        <v>319.03037908317145</v>
      </c>
      <c r="N678" s="582">
        <v>604</v>
      </c>
      <c r="O678" s="712">
        <f t="shared" si="181"/>
        <v>8.9666544942031834</v>
      </c>
      <c r="P678" s="712">
        <f t="shared" si="182"/>
        <v>947.77351186709541</v>
      </c>
      <c r="Q678" s="712">
        <f t="shared" si="183"/>
        <v>937.0370875598162</v>
      </c>
      <c r="R678" s="712">
        <f t="shared" si="184"/>
        <v>929.30361363170164</v>
      </c>
      <c r="S678" s="712">
        <f t="shared" si="185"/>
        <v>924.60603284461604</v>
      </c>
      <c r="T678" s="712">
        <f t="shared" si="186"/>
        <v>922.96394997435596</v>
      </c>
    </row>
    <row r="679" spans="2:20">
      <c r="B679" s="582">
        <v>605</v>
      </c>
      <c r="C679" s="712">
        <f t="shared" si="171"/>
        <v>8.9814999486637852</v>
      </c>
      <c r="D679" s="712">
        <f t="shared" si="172"/>
        <v>1481.6494869999308</v>
      </c>
      <c r="E679" s="712">
        <f t="shared" si="173"/>
        <v>1058.3900295245348</v>
      </c>
      <c r="F679" s="712">
        <f t="shared" si="174"/>
        <v>721.23516780642274</v>
      </c>
      <c r="G679" s="712">
        <f t="shared" si="175"/>
        <v>485.79304716500042</v>
      </c>
      <c r="H679" s="719">
        <f t="shared" si="176"/>
        <v>321.93338320550822</v>
      </c>
      <c r="I679" s="712">
        <f t="shared" si="177"/>
        <v>320.6976015781587</v>
      </c>
      <c r="J679" s="712">
        <f t="shared" si="178"/>
        <v>319.81935064147774</v>
      </c>
      <c r="K679" s="712">
        <f t="shared" si="179"/>
        <v>319.29313458866193</v>
      </c>
      <c r="L679" s="712">
        <f t="shared" si="180"/>
        <v>319.11560992216852</v>
      </c>
      <c r="N679" s="582">
        <v>605</v>
      </c>
      <c r="O679" s="712">
        <f t="shared" si="181"/>
        <v>8.9814999486637852</v>
      </c>
      <c r="P679" s="712">
        <f t="shared" si="182"/>
        <v>948.49978774717329</v>
      </c>
      <c r="Q679" s="712">
        <f t="shared" si="183"/>
        <v>937.77469572919256</v>
      </c>
      <c r="R679" s="712">
        <f t="shared" si="184"/>
        <v>930.0493134600149</v>
      </c>
      <c r="S679" s="712">
        <f t="shared" si="185"/>
        <v>925.35654815136229</v>
      </c>
      <c r="T679" s="712">
        <f t="shared" si="186"/>
        <v>923.71598342256038</v>
      </c>
    </row>
    <row r="680" spans="2:20">
      <c r="B680" s="582">
        <v>606</v>
      </c>
      <c r="C680" s="712">
        <f t="shared" si="171"/>
        <v>8.996345403124387</v>
      </c>
      <c r="D680" s="712">
        <f t="shared" si="172"/>
        <v>1481.7601464996251</v>
      </c>
      <c r="E680" s="712">
        <f t="shared" si="173"/>
        <v>1058.7861266022746</v>
      </c>
      <c r="F680" s="712">
        <f t="shared" si="174"/>
        <v>721.70306524157172</v>
      </c>
      <c r="G680" s="712">
        <f t="shared" si="175"/>
        <v>486.12233971506441</v>
      </c>
      <c r="H680" s="719">
        <f t="shared" si="176"/>
        <v>322.02306816207965</v>
      </c>
      <c r="I680" s="712">
        <f t="shared" si="177"/>
        <v>320.78542106397828</v>
      </c>
      <c r="J680" s="712">
        <f t="shared" si="178"/>
        <v>319.9058202042271</v>
      </c>
      <c r="K680" s="712">
        <f t="shared" si="179"/>
        <v>319.37878289538293</v>
      </c>
      <c r="L680" s="712">
        <f t="shared" si="180"/>
        <v>319.20097349454392</v>
      </c>
      <c r="N680" s="582">
        <v>606</v>
      </c>
      <c r="O680" s="712">
        <f t="shared" si="181"/>
        <v>8.996345403124387</v>
      </c>
      <c r="P680" s="712">
        <f t="shared" si="182"/>
        <v>949.22527986749139</v>
      </c>
      <c r="Q680" s="712">
        <f t="shared" si="183"/>
        <v>938.51150790958241</v>
      </c>
      <c r="R680" s="712">
        <f t="shared" si="184"/>
        <v>930.79420856723766</v>
      </c>
      <c r="S680" s="712">
        <f t="shared" si="185"/>
        <v>926.10625354040019</v>
      </c>
      <c r="T680" s="712">
        <f t="shared" si="186"/>
        <v>924.4672053147558</v>
      </c>
    </row>
    <row r="681" spans="2:20">
      <c r="B681" s="582">
        <v>607</v>
      </c>
      <c r="C681" s="712">
        <f t="shared" si="171"/>
        <v>9.0111908575849871</v>
      </c>
      <c r="D681" s="712">
        <f t="shared" si="172"/>
        <v>1481.8705232496686</v>
      </c>
      <c r="E681" s="712">
        <f t="shared" si="173"/>
        <v>1059.1812409092572</v>
      </c>
      <c r="F681" s="712">
        <f t="shared" si="174"/>
        <v>722.16999477366096</v>
      </c>
      <c r="G681" s="712">
        <f t="shared" si="175"/>
        <v>486.45116763397505</v>
      </c>
      <c r="H681" s="719">
        <f t="shared" si="176"/>
        <v>322.1128752496254</v>
      </c>
      <c r="I681" s="712">
        <f t="shared" si="177"/>
        <v>320.8733671826534</v>
      </c>
      <c r="J681" s="712">
        <f t="shared" si="178"/>
        <v>319.99241962231196</v>
      </c>
      <c r="K681" s="712">
        <f t="shared" si="179"/>
        <v>319.46456298675776</v>
      </c>
      <c r="L681" s="712">
        <f t="shared" si="180"/>
        <v>319.28646947978513</v>
      </c>
      <c r="N681" s="582">
        <v>607</v>
      </c>
      <c r="O681" s="712">
        <f t="shared" si="181"/>
        <v>9.0111908575849871</v>
      </c>
      <c r="P681" s="712">
        <f t="shared" si="182"/>
        <v>949.9499890738432</v>
      </c>
      <c r="Q681" s="712">
        <f t="shared" si="183"/>
        <v>939.24752495997654</v>
      </c>
      <c r="R681" s="712">
        <f t="shared" si="184"/>
        <v>931.53829982178365</v>
      </c>
      <c r="S681" s="712">
        <f t="shared" si="185"/>
        <v>926.85514988575119</v>
      </c>
      <c r="T681" s="712">
        <f t="shared" si="186"/>
        <v>925.21761652673194</v>
      </c>
    </row>
    <row r="682" spans="2:20">
      <c r="B682" s="582">
        <v>608</v>
      </c>
      <c r="C682" s="712">
        <f t="shared" si="171"/>
        <v>9.0260363120455889</v>
      </c>
      <c r="D682" s="712">
        <f t="shared" si="172"/>
        <v>1481.9806182421842</v>
      </c>
      <c r="E682" s="712">
        <f t="shared" si="173"/>
        <v>1059.5753757341029</v>
      </c>
      <c r="F682" s="712">
        <f t="shared" si="174"/>
        <v>722.63595864944034</v>
      </c>
      <c r="G682" s="712">
        <f t="shared" si="175"/>
        <v>486.77953130580266</v>
      </c>
      <c r="H682" s="719">
        <f t="shared" si="176"/>
        <v>322.20280415882632</v>
      </c>
      <c r="I682" s="712">
        <f t="shared" si="177"/>
        <v>320.96143961992755</v>
      </c>
      <c r="J682" s="712">
        <f t="shared" si="178"/>
        <v>320.07914857809584</v>
      </c>
      <c r="K682" s="712">
        <f t="shared" si="179"/>
        <v>319.5504745431985</v>
      </c>
      <c r="L682" s="712">
        <f t="shared" si="180"/>
        <v>319.3720975577009</v>
      </c>
      <c r="N682" s="582">
        <v>608</v>
      </c>
      <c r="O682" s="712">
        <f t="shared" si="181"/>
        <v>9.0260363120455889</v>
      </c>
      <c r="P682" s="712">
        <f t="shared" si="182"/>
        <v>950.67391621110937</v>
      </c>
      <c r="Q682" s="712">
        <f t="shared" si="183"/>
        <v>939.98274773843843</v>
      </c>
      <c r="R682" s="712">
        <f t="shared" si="184"/>
        <v>932.28158809112938</v>
      </c>
      <c r="S682" s="712">
        <f t="shared" si="185"/>
        <v>927.60323806049416</v>
      </c>
      <c r="T682" s="712">
        <f t="shared" si="186"/>
        <v>925.96721793333336</v>
      </c>
    </row>
    <row r="683" spans="2:20">
      <c r="B683" s="582">
        <v>609</v>
      </c>
      <c r="C683" s="712">
        <f t="shared" si="171"/>
        <v>9.0408817665061907</v>
      </c>
      <c r="D683" s="712">
        <f t="shared" si="172"/>
        <v>1482.0904324643425</v>
      </c>
      <c r="E683" s="712">
        <f t="shared" si="173"/>
        <v>1059.9685343500755</v>
      </c>
      <c r="F683" s="712">
        <f t="shared" si="174"/>
        <v>723.10095911188353</v>
      </c>
      <c r="G683" s="712">
        <f t="shared" si="175"/>
        <v>487.10743111999676</v>
      </c>
      <c r="H683" s="719">
        <f t="shared" si="176"/>
        <v>322.2928545807876</v>
      </c>
      <c r="I683" s="712">
        <f t="shared" si="177"/>
        <v>321.04963806192677</v>
      </c>
      <c r="J683" s="712">
        <f t="shared" si="178"/>
        <v>320.16600675429311</v>
      </c>
      <c r="K683" s="712">
        <f t="shared" si="179"/>
        <v>319.63651724544843</v>
      </c>
      <c r="L683" s="712">
        <f t="shared" si="180"/>
        <v>319.45785740842422</v>
      </c>
      <c r="N683" s="582">
        <v>609</v>
      </c>
      <c r="O683" s="712">
        <f t="shared" si="181"/>
        <v>9.0408817665061907</v>
      </c>
      <c r="P683" s="712">
        <f t="shared" si="182"/>
        <v>951.39706212325882</v>
      </c>
      <c r="Q683" s="712">
        <f t="shared" si="183"/>
        <v>940.71717710210555</v>
      </c>
      <c r="R683" s="712">
        <f t="shared" si="184"/>
        <v>933.0240742418157</v>
      </c>
      <c r="S683" s="712">
        <f t="shared" si="185"/>
        <v>928.35051893676507</v>
      </c>
      <c r="T683" s="712">
        <f t="shared" si="186"/>
        <v>926.71601040846053</v>
      </c>
    </row>
    <row r="684" spans="2:20">
      <c r="B684" s="582">
        <v>610</v>
      </c>
      <c r="C684" s="712">
        <f t="shared" si="171"/>
        <v>9.0557272209667907</v>
      </c>
      <c r="D684" s="712">
        <f t="shared" si="172"/>
        <v>1482.1999668983983</v>
      </c>
      <c r="E684" s="712">
        <f t="shared" si="173"/>
        <v>1060.360720015183</v>
      </c>
      <c r="F684" s="712">
        <f t="shared" si="174"/>
        <v>723.5649984001775</v>
      </c>
      <c r="G684" s="712">
        <f t="shared" si="175"/>
        <v>487.43486747132073</v>
      </c>
      <c r="H684" s="719">
        <f t="shared" si="176"/>
        <v>322.38302620704115</v>
      </c>
      <c r="I684" s="712">
        <f t="shared" si="177"/>
        <v>321.137962195162</v>
      </c>
      <c r="J684" s="712">
        <f t="shared" si="178"/>
        <v>320.25299383397208</v>
      </c>
      <c r="K684" s="712">
        <f t="shared" si="179"/>
        <v>319.72269077458498</v>
      </c>
      <c r="L684" s="712">
        <f t="shared" si="180"/>
        <v>319.54374871241595</v>
      </c>
      <c r="N684" s="582">
        <v>610</v>
      </c>
      <c r="O684" s="712">
        <f t="shared" si="181"/>
        <v>9.0557272209667907</v>
      </c>
      <c r="P684" s="712">
        <f t="shared" si="182"/>
        <v>952.11942765334959</v>
      </c>
      <c r="Q684" s="712">
        <f t="shared" si="183"/>
        <v>941.45081390719088</v>
      </c>
      <c r="R684" s="712">
        <f t="shared" si="184"/>
        <v>933.76575913944771</v>
      </c>
      <c r="S684" s="712">
        <f t="shared" si="185"/>
        <v>929.09699338575956</v>
      </c>
      <c r="T684" s="712">
        <f t="shared" si="186"/>
        <v>927.46399482507093</v>
      </c>
    </row>
    <row r="685" spans="2:20">
      <c r="B685" s="582">
        <v>611</v>
      </c>
      <c r="C685" s="712">
        <f t="shared" si="171"/>
        <v>9.0705726754273925</v>
      </c>
      <c r="D685" s="712">
        <f t="shared" si="172"/>
        <v>1482.3092225217235</v>
      </c>
      <c r="E685" s="712">
        <f t="shared" si="173"/>
        <v>1060.7519359722776</v>
      </c>
      <c r="F685" s="712">
        <f t="shared" si="174"/>
        <v>724.0280787497112</v>
      </c>
      <c r="G685" s="712">
        <f t="shared" si="175"/>
        <v>487.76184075978773</v>
      </c>
      <c r="H685" s="719">
        <f t="shared" si="176"/>
        <v>322.47331872954726</v>
      </c>
      <c r="I685" s="712">
        <f t="shared" si="177"/>
        <v>321.22641170653196</v>
      </c>
      <c r="J685" s="712">
        <f t="shared" si="178"/>
        <v>320.34010950055756</v>
      </c>
      <c r="K685" s="712">
        <f t="shared" si="179"/>
        <v>319.80899481202312</v>
      </c>
      <c r="L685" s="712">
        <f t="shared" si="180"/>
        <v>319.62977115046777</v>
      </c>
      <c r="N685" s="582">
        <v>611</v>
      </c>
      <c r="O685" s="712">
        <f t="shared" si="181"/>
        <v>9.0705726754273925</v>
      </c>
      <c r="P685" s="712">
        <f t="shared" si="182"/>
        <v>952.84101364353023</v>
      </c>
      <c r="Q685" s="712">
        <f t="shared" si="183"/>
        <v>942.18365900898289</v>
      </c>
      <c r="R685" s="712">
        <f t="shared" si="184"/>
        <v>934.50664364869692</v>
      </c>
      <c r="S685" s="712">
        <f t="shared" si="185"/>
        <v>929.8426622777323</v>
      </c>
      <c r="T685" s="712">
        <f t="shared" si="186"/>
        <v>928.21117205517999</v>
      </c>
    </row>
    <row r="686" spans="2:20">
      <c r="B686" s="582">
        <v>612</v>
      </c>
      <c r="C686" s="712">
        <f t="shared" si="171"/>
        <v>9.0854181298879944</v>
      </c>
      <c r="D686" s="712">
        <f t="shared" si="172"/>
        <v>1482.4182003068415</v>
      </c>
      <c r="E686" s="712">
        <f t="shared" si="173"/>
        <v>1061.142185449155</v>
      </c>
      <c r="F686" s="712">
        <f t="shared" si="174"/>
        <v>724.49020239206482</v>
      </c>
      <c r="G686" s="712">
        <f t="shared" si="175"/>
        <v>488.08835139059687</v>
      </c>
      <c r="H686" s="719">
        <f t="shared" si="176"/>
        <v>322.56373184069685</v>
      </c>
      <c r="I686" s="712">
        <f t="shared" si="177"/>
        <v>321.31498628332531</v>
      </c>
      <c r="J686" s="712">
        <f t="shared" si="178"/>
        <v>320.42735343783403</v>
      </c>
      <c r="K686" s="712">
        <f t="shared" si="179"/>
        <v>319.89542903951849</v>
      </c>
      <c r="L686" s="712">
        <f t="shared" si="180"/>
        <v>319.7159244037054</v>
      </c>
      <c r="N686" s="582">
        <v>612</v>
      </c>
      <c r="O686" s="712">
        <f t="shared" si="181"/>
        <v>9.0854181298879944</v>
      </c>
      <c r="P686" s="712">
        <f t="shared" si="182"/>
        <v>953.56182093504037</v>
      </c>
      <c r="Q686" s="712">
        <f t="shared" si="183"/>
        <v>942.91571326184726</v>
      </c>
      <c r="R686" s="712">
        <f t="shared" si="184"/>
        <v>935.24672863330136</v>
      </c>
      <c r="S686" s="712">
        <f t="shared" si="185"/>
        <v>930.58752648199948</v>
      </c>
      <c r="T686" s="712">
        <f t="shared" si="186"/>
        <v>928.95754296986206</v>
      </c>
    </row>
    <row r="687" spans="2:20">
      <c r="B687" s="582">
        <v>613</v>
      </c>
      <c r="C687" s="712">
        <f t="shared" si="171"/>
        <v>9.1002635843485962</v>
      </c>
      <c r="D687" s="712">
        <f t="shared" si="172"/>
        <v>1482.5269012214605</v>
      </c>
      <c r="E687" s="712">
        <f t="shared" si="173"/>
        <v>1061.5314716586538</v>
      </c>
      <c r="F687" s="712">
        <f t="shared" si="174"/>
        <v>724.95137155500004</v>
      </c>
      <c r="G687" s="712">
        <f t="shared" si="175"/>
        <v>488.41439977406986</v>
      </c>
      <c r="H687" s="719">
        <f t="shared" si="176"/>
        <v>322.65426523331314</v>
      </c>
      <c r="I687" s="712">
        <f t="shared" si="177"/>
        <v>321.40368561322322</v>
      </c>
      <c r="J687" s="712">
        <f t="shared" si="178"/>
        <v>320.51472532994831</v>
      </c>
      <c r="K687" s="712">
        <f t="shared" si="179"/>
        <v>319.9819931391703</v>
      </c>
      <c r="L687" s="712">
        <f t="shared" si="180"/>
        <v>319.80220815359206</v>
      </c>
      <c r="N687" s="582">
        <v>613</v>
      </c>
      <c r="O687" s="712">
        <f t="shared" si="181"/>
        <v>9.1002635843485962</v>
      </c>
      <c r="P687" s="712">
        <f t="shared" si="182"/>
        <v>954.28185036821162</v>
      </c>
      <c r="Q687" s="712">
        <f t="shared" si="183"/>
        <v>943.64697751922779</v>
      </c>
      <c r="R687" s="712">
        <f t="shared" si="184"/>
        <v>935.98601495606727</v>
      </c>
      <c r="S687" s="712">
        <f t="shared" si="185"/>
        <v>931.33158686693866</v>
      </c>
      <c r="T687" s="712">
        <f t="shared" si="186"/>
        <v>929.70310843925142</v>
      </c>
    </row>
    <row r="688" spans="2:20">
      <c r="B688" s="582">
        <v>614</v>
      </c>
      <c r="C688" s="712">
        <f t="shared" si="171"/>
        <v>9.1151090388091962</v>
      </c>
      <c r="D688" s="712">
        <f t="shared" si="172"/>
        <v>1482.6353262285068</v>
      </c>
      <c r="E688" s="712">
        <f t="shared" si="173"/>
        <v>1061.9197977987528</v>
      </c>
      <c r="F688" s="712">
        <f t="shared" si="174"/>
        <v>725.41158846244912</v>
      </c>
      <c r="G688" s="712">
        <f t="shared" si="175"/>
        <v>488.73998632558829</v>
      </c>
      <c r="H688" s="719">
        <f t="shared" si="176"/>
        <v>322.74491860065348</v>
      </c>
      <c r="I688" s="712">
        <f t="shared" si="177"/>
        <v>321.4925093843018</v>
      </c>
      <c r="J688" s="712">
        <f t="shared" si="178"/>
        <v>320.60222486141248</v>
      </c>
      <c r="K688" s="712">
        <f t="shared" si="179"/>
        <v>320.06868679342455</v>
      </c>
      <c r="L688" s="712">
        <f t="shared" si="180"/>
        <v>319.88862208193109</v>
      </c>
      <c r="N688" s="582">
        <v>614</v>
      </c>
      <c r="O688" s="712">
        <f t="shared" si="181"/>
        <v>9.1151090388091962</v>
      </c>
      <c r="P688" s="712">
        <f t="shared" si="182"/>
        <v>955.00110278246882</v>
      </c>
      <c r="Q688" s="712">
        <f t="shared" si="183"/>
        <v>944.37745263364695</v>
      </c>
      <c r="R688" s="712">
        <f t="shared" si="184"/>
        <v>936.72450347886945</v>
      </c>
      <c r="S688" s="712">
        <f t="shared" si="185"/>
        <v>932.07484429999067</v>
      </c>
      <c r="T688" s="712">
        <f t="shared" si="186"/>
        <v>930.44786933254341</v>
      </c>
    </row>
    <row r="689" spans="2:20">
      <c r="B689" s="582">
        <v>615</v>
      </c>
      <c r="C689" s="712">
        <f t="shared" si="171"/>
        <v>9.129954493269798</v>
      </c>
      <c r="D689" s="712">
        <f t="shared" si="172"/>
        <v>1482.7434762861576</v>
      </c>
      <c r="E689" s="712">
        <f t="shared" si="173"/>
        <v>1062.3071670526688</v>
      </c>
      <c r="F689" s="712">
        <f t="shared" si="174"/>
        <v>725.87085533450579</v>
      </c>
      <c r="G689" s="712">
        <f t="shared" si="175"/>
        <v>489.06511146553146</v>
      </c>
      <c r="H689" s="719">
        <f t="shared" si="176"/>
        <v>322.83569163641135</v>
      </c>
      <c r="I689" s="712">
        <f t="shared" si="177"/>
        <v>321.58145728503439</v>
      </c>
      <c r="J689" s="712">
        <f t="shared" si="178"/>
        <v>320.68985171710648</v>
      </c>
      <c r="K689" s="712">
        <f t="shared" si="179"/>
        <v>320.15550968507677</v>
      </c>
      <c r="L689" s="712">
        <f t="shared" si="180"/>
        <v>319.97516587086943</v>
      </c>
      <c r="N689" s="582">
        <v>615</v>
      </c>
      <c r="O689" s="712">
        <f t="shared" si="181"/>
        <v>9.129954493269798</v>
      </c>
      <c r="P689" s="712">
        <f t="shared" si="182"/>
        <v>955.71957901633118</v>
      </c>
      <c r="Q689" s="712">
        <f t="shared" si="183"/>
        <v>945.10713945670761</v>
      </c>
      <c r="R689" s="712">
        <f t="shared" si="184"/>
        <v>937.46219506265288</v>
      </c>
      <c r="S689" s="712">
        <f t="shared" si="185"/>
        <v>932.81729964766009</v>
      </c>
      <c r="T689" s="712">
        <f t="shared" si="186"/>
        <v>931.19182651799542</v>
      </c>
    </row>
    <row r="690" spans="2:20">
      <c r="B690" s="582">
        <v>616</v>
      </c>
      <c r="C690" s="712">
        <f t="shared" si="171"/>
        <v>9.1447999477303998</v>
      </c>
      <c r="D690" s="712">
        <f t="shared" si="172"/>
        <v>1482.8513523478744</v>
      </c>
      <c r="E690" s="712">
        <f t="shared" si="173"/>
        <v>1062.6935825889516</v>
      </c>
      <c r="F690" s="712">
        <f t="shared" si="174"/>
        <v>726.32917438741515</v>
      </c>
      <c r="G690" s="712">
        <f t="shared" si="175"/>
        <v>489.38977561921507</v>
      </c>
      <c r="H690" s="719">
        <f t="shared" si="176"/>
        <v>322.92658403471813</v>
      </c>
      <c r="I690" s="712">
        <f t="shared" si="177"/>
        <v>321.67052900429383</v>
      </c>
      <c r="J690" s="712">
        <f t="shared" si="178"/>
        <v>320.7776055822809</v>
      </c>
      <c r="K690" s="712">
        <f t="shared" si="179"/>
        <v>320.24246149727526</v>
      </c>
      <c r="L690" s="712">
        <f t="shared" si="180"/>
        <v>320.06183920290044</v>
      </c>
      <c r="N690" s="582">
        <v>616</v>
      </c>
      <c r="O690" s="712">
        <f t="shared" si="181"/>
        <v>9.1447999477303998</v>
      </c>
      <c r="P690" s="712">
        <f t="shared" si="182"/>
        <v>956.43727990741286</v>
      </c>
      <c r="Q690" s="712">
        <f t="shared" si="183"/>
        <v>945.83603883909336</v>
      </c>
      <c r="R690" s="712">
        <f t="shared" si="184"/>
        <v>938.19909056743336</v>
      </c>
      <c r="S690" s="712">
        <f t="shared" si="185"/>
        <v>933.55895377551633</v>
      </c>
      <c r="T690" s="712">
        <f t="shared" si="186"/>
        <v>931.93498086292789</v>
      </c>
    </row>
    <row r="691" spans="2:20">
      <c r="B691" s="582">
        <v>617</v>
      </c>
      <c r="C691" s="712">
        <f t="shared" si="171"/>
        <v>9.1596454021909999</v>
      </c>
      <c r="D691" s="712">
        <f t="shared" si="172"/>
        <v>1482.9589553624344</v>
      </c>
      <c r="E691" s="712">
        <f t="shared" si="173"/>
        <v>1063.0790475615813</v>
      </c>
      <c r="F691" s="712">
        <f t="shared" si="174"/>
        <v>726.78654783356444</v>
      </c>
      <c r="G691" s="712">
        <f t="shared" si="175"/>
        <v>489.71397921682956</v>
      </c>
      <c r="H691" s="719">
        <f t="shared" si="176"/>
        <v>323.01759549014491</v>
      </c>
      <c r="I691" s="712">
        <f t="shared" si="177"/>
        <v>321.75972423135499</v>
      </c>
      <c r="J691" s="712">
        <f t="shared" si="178"/>
        <v>320.8654861425598</v>
      </c>
      <c r="K691" s="712">
        <f t="shared" si="179"/>
        <v>320.32954191352371</v>
      </c>
      <c r="L691" s="712">
        <f t="shared" si="180"/>
        <v>320.14864176086701</v>
      </c>
      <c r="N691" s="582">
        <v>617</v>
      </c>
      <c r="O691" s="712">
        <f t="shared" si="181"/>
        <v>9.1596454021909999</v>
      </c>
      <c r="P691" s="712">
        <f t="shared" si="182"/>
        <v>957.15420629242396</v>
      </c>
      <c r="Q691" s="712">
        <f t="shared" si="183"/>
        <v>946.56415163057</v>
      </c>
      <c r="R691" s="712">
        <f t="shared" si="184"/>
        <v>938.93519085229855</v>
      </c>
      <c r="S691" s="712">
        <f t="shared" si="185"/>
        <v>934.29980754819485</v>
      </c>
      <c r="T691" s="712">
        <f t="shared" si="186"/>
        <v>932.67733323372522</v>
      </c>
    </row>
    <row r="692" spans="2:20">
      <c r="B692" s="582">
        <v>618</v>
      </c>
      <c r="C692" s="712">
        <f t="shared" si="171"/>
        <v>9.1744908566516017</v>
      </c>
      <c r="D692" s="712">
        <f t="shared" si="172"/>
        <v>1483.0662862739632</v>
      </c>
      <c r="E692" s="712">
        <f t="shared" si="173"/>
        <v>1063.4635651100618</v>
      </c>
      <c r="F692" s="712">
        <f t="shared" si="174"/>
        <v>727.24297788147385</v>
      </c>
      <c r="G692" s="712">
        <f t="shared" si="175"/>
        <v>490.03772269337986</v>
      </c>
      <c r="H692" s="719">
        <f t="shared" si="176"/>
        <v>323.1087256977043</v>
      </c>
      <c r="I692" s="712">
        <f t="shared" si="177"/>
        <v>321.84904265589682</v>
      </c>
      <c r="J692" s="712">
        <f t="shared" si="178"/>
        <v>320.95349308394299</v>
      </c>
      <c r="K692" s="712">
        <f t="shared" si="179"/>
        <v>320.4167506176845</v>
      </c>
      <c r="L692" s="712">
        <f t="shared" si="180"/>
        <v>320.23557322796432</v>
      </c>
      <c r="N692" s="582">
        <v>618</v>
      </c>
      <c r="O692" s="712">
        <f t="shared" si="181"/>
        <v>9.1744908566516017</v>
      </c>
      <c r="P692" s="712">
        <f t="shared" si="182"/>
        <v>957.87035900717194</v>
      </c>
      <c r="Q692" s="712">
        <f t="shared" si="183"/>
        <v>947.29147867998608</v>
      </c>
      <c r="R692" s="712">
        <f t="shared" si="184"/>
        <v>939.67049677540922</v>
      </c>
      <c r="S692" s="712">
        <f t="shared" si="185"/>
        <v>935.03986182939798</v>
      </c>
      <c r="T692" s="712">
        <f t="shared" si="186"/>
        <v>933.41888449583678</v>
      </c>
    </row>
    <row r="693" spans="2:20">
      <c r="B693" s="582">
        <v>619</v>
      </c>
      <c r="C693" s="712">
        <f t="shared" si="171"/>
        <v>9.1893363111122035</v>
      </c>
      <c r="D693" s="712">
        <f t="shared" si="172"/>
        <v>1483.1733460219673</v>
      </c>
      <c r="E693" s="712">
        <f t="shared" si="173"/>
        <v>1063.8471383595149</v>
      </c>
      <c r="F693" s="712">
        <f t="shared" si="174"/>
        <v>727.69846673578809</v>
      </c>
      <c r="G693" s="712">
        <f t="shared" si="175"/>
        <v>490.36100648862549</v>
      </c>
      <c r="H693" s="719">
        <f t="shared" si="176"/>
        <v>323.19997435285177</v>
      </c>
      <c r="I693" s="712">
        <f t="shared" si="177"/>
        <v>321.93848396800473</v>
      </c>
      <c r="J693" s="712">
        <f t="shared" si="178"/>
        <v>321.041626092809</v>
      </c>
      <c r="K693" s="712">
        <f t="shared" si="179"/>
        <v>320.504087293981</v>
      </c>
      <c r="L693" s="712">
        <f t="shared" si="180"/>
        <v>320.32263328774309</v>
      </c>
      <c r="N693" s="582">
        <v>619</v>
      </c>
      <c r="O693" s="712">
        <f t="shared" si="181"/>
        <v>9.1893363111122035</v>
      </c>
      <c r="P693" s="712">
        <f t="shared" si="182"/>
        <v>958.58573888656213</v>
      </c>
      <c r="Q693" s="712">
        <f t="shared" si="183"/>
        <v>948.01802083527434</v>
      </c>
      <c r="R693" s="712">
        <f t="shared" si="184"/>
        <v>940.40500919399983</v>
      </c>
      <c r="S693" s="712">
        <f t="shared" si="185"/>
        <v>935.77911748189604</v>
      </c>
      <c r="T693" s="712">
        <f t="shared" si="186"/>
        <v>934.15963551377797</v>
      </c>
    </row>
    <row r="694" spans="2:20">
      <c r="B694" s="582">
        <v>620</v>
      </c>
      <c r="C694" s="712">
        <f t="shared" si="171"/>
        <v>9.2041817655728053</v>
      </c>
      <c r="D694" s="712">
        <f t="shared" si="172"/>
        <v>1483.2801355413642</v>
      </c>
      <c r="E694" s="712">
        <f t="shared" si="173"/>
        <v>1064.2297704207745</v>
      </c>
      <c r="F694" s="712">
        <f t="shared" si="174"/>
        <v>728.15301659726708</v>
      </c>
      <c r="G694" s="712">
        <f t="shared" si="175"/>
        <v>490.6838310470207</v>
      </c>
      <c r="H694" s="719">
        <f t="shared" si="176"/>
        <v>323.29134115148804</v>
      </c>
      <c r="I694" s="712">
        <f t="shared" si="177"/>
        <v>322.02804785817261</v>
      </c>
      <c r="J694" s="712">
        <f t="shared" si="178"/>
        <v>321.12988485591762</v>
      </c>
      <c r="K694" s="712">
        <f t="shared" si="179"/>
        <v>320.5915516270008</v>
      </c>
      <c r="L694" s="712">
        <f t="shared" si="180"/>
        <v>320.40982162411211</v>
      </c>
      <c r="N694" s="582">
        <v>620</v>
      </c>
      <c r="O694" s="712">
        <f t="shared" si="181"/>
        <v>9.2041817655728053</v>
      </c>
      <c r="P694" s="712">
        <f t="shared" si="182"/>
        <v>959.30034676459888</v>
      </c>
      <c r="Q694" s="712">
        <f t="shared" si="183"/>
        <v>948.74377894345207</v>
      </c>
      <c r="R694" s="712">
        <f t="shared" si="184"/>
        <v>941.13872896437977</v>
      </c>
      <c r="S694" s="712">
        <f t="shared" si="185"/>
        <v>936.51757536752825</v>
      </c>
      <c r="T694" s="712">
        <f t="shared" si="186"/>
        <v>934.89958715113153</v>
      </c>
    </row>
    <row r="695" spans="2:20">
      <c r="B695" s="582">
        <v>621</v>
      </c>
      <c r="C695" s="712">
        <f t="shared" si="171"/>
        <v>9.2190272200334054</v>
      </c>
      <c r="D695" s="712">
        <f t="shared" si="172"/>
        <v>1483.3866557625154</v>
      </c>
      <c r="E695" s="712">
        <f t="shared" si="173"/>
        <v>1064.6114643904777</v>
      </c>
      <c r="F695" s="712">
        <f t="shared" si="174"/>
        <v>728.60662966277823</v>
      </c>
      <c r="G695" s="712">
        <f t="shared" si="175"/>
        <v>491.00619681765545</v>
      </c>
      <c r="H695" s="719">
        <f t="shared" si="176"/>
        <v>323.38282578996012</v>
      </c>
      <c r="I695" s="712">
        <f t="shared" si="177"/>
        <v>322.11773401730522</v>
      </c>
      <c r="J695" s="712">
        <f t="shared" si="178"/>
        <v>321.21826906041213</v>
      </c>
      <c r="K695" s="712">
        <f t="shared" si="179"/>
        <v>320.67914330169822</v>
      </c>
      <c r="L695" s="712">
        <f t="shared" si="180"/>
        <v>320.49713792134122</v>
      </c>
      <c r="N695" s="582">
        <v>621</v>
      </c>
      <c r="O695" s="712">
        <f t="shared" si="181"/>
        <v>9.2190272200334054</v>
      </c>
      <c r="P695" s="712">
        <f t="shared" si="182"/>
        <v>960.01418347438641</v>
      </c>
      <c r="Q695" s="712">
        <f t="shared" si="183"/>
        <v>949.4687538506231</v>
      </c>
      <c r="R695" s="712">
        <f t="shared" si="184"/>
        <v>941.87165694193459</v>
      </c>
      <c r="S695" s="712">
        <f t="shared" si="185"/>
        <v>937.25523634720378</v>
      </c>
      <c r="T695" s="712">
        <f t="shared" si="186"/>
        <v>935.63874027054794</v>
      </c>
    </row>
    <row r="696" spans="2:20">
      <c r="B696" s="582">
        <v>622</v>
      </c>
      <c r="C696" s="712">
        <f t="shared" si="171"/>
        <v>9.2338726744940072</v>
      </c>
      <c r="D696" s="712">
        <f t="shared" si="172"/>
        <v>1483.492907611256</v>
      </c>
      <c r="E696" s="712">
        <f t="shared" si="173"/>
        <v>1064.9922233511577</v>
      </c>
      <c r="F696" s="712">
        <f t="shared" si="174"/>
        <v>729.05930812528777</v>
      </c>
      <c r="G696" s="712">
        <f t="shared" si="175"/>
        <v>491.32810425419734</v>
      </c>
      <c r="H696" s="719">
        <f t="shared" si="176"/>
        <v>323.47442796506328</v>
      </c>
      <c r="I696" s="712">
        <f t="shared" si="177"/>
        <v>322.20754213672012</v>
      </c>
      <c r="J696" s="712">
        <f t="shared" si="178"/>
        <v>321.30677839382224</v>
      </c>
      <c r="K696" s="712">
        <f t="shared" si="179"/>
        <v>320.76686200339725</v>
      </c>
      <c r="L696" s="712">
        <f t="shared" si="180"/>
        <v>320.58458186406426</v>
      </c>
      <c r="N696" s="582">
        <v>622</v>
      </c>
      <c r="O696" s="712">
        <f t="shared" si="181"/>
        <v>9.2338726744940072</v>
      </c>
      <c r="P696" s="712">
        <f t="shared" si="182"/>
        <v>960.7272498481301</v>
      </c>
      <c r="Q696" s="712">
        <f t="shared" si="183"/>
        <v>950.19294640197779</v>
      </c>
      <c r="R696" s="712">
        <f t="shared" si="184"/>
        <v>942.60379398112639</v>
      </c>
      <c r="S696" s="712">
        <f t="shared" si="185"/>
        <v>937.99210128090272</v>
      </c>
      <c r="T696" s="712">
        <f t="shared" si="186"/>
        <v>936.37709573374696</v>
      </c>
    </row>
    <row r="697" spans="2:20">
      <c r="B697" s="582">
        <v>623</v>
      </c>
      <c r="C697" s="712">
        <f t="shared" si="171"/>
        <v>9.248718128954609</v>
      </c>
      <c r="D697" s="712">
        <f t="shared" si="172"/>
        <v>1483.5988920089271</v>
      </c>
      <c r="E697" s="712">
        <f t="shared" si="173"/>
        <v>1065.3720503713339</v>
      </c>
      <c r="F697" s="712">
        <f t="shared" si="174"/>
        <v>729.51105417385315</v>
      </c>
      <c r="G697" s="712">
        <f t="shared" si="175"/>
        <v>491.6495538148331</v>
      </c>
      <c r="H697" s="719">
        <f t="shared" si="176"/>
        <v>323.56614737404266</v>
      </c>
      <c r="I697" s="712">
        <f t="shared" si="177"/>
        <v>322.29747190814999</v>
      </c>
      <c r="J697" s="712">
        <f t="shared" si="178"/>
        <v>321.39541254406618</v>
      </c>
      <c r="K697" s="712">
        <f t="shared" si="179"/>
        <v>320.85470741779403</v>
      </c>
      <c r="L697" s="712">
        <f t="shared" si="180"/>
        <v>320.67215313728161</v>
      </c>
      <c r="N697" s="582">
        <v>623</v>
      </c>
      <c r="O697" s="712">
        <f t="shared" si="181"/>
        <v>9.248718128954609</v>
      </c>
      <c r="P697" s="712">
        <f t="shared" si="182"/>
        <v>961.43954671713732</v>
      </c>
      <c r="Q697" s="712">
        <f t="shared" si="183"/>
        <v>950.91635744179439</v>
      </c>
      <c r="R697" s="712">
        <f t="shared" si="184"/>
        <v>943.33514093549559</v>
      </c>
      <c r="S697" s="712">
        <f t="shared" si="185"/>
        <v>938.72817102767726</v>
      </c>
      <c r="T697" s="712">
        <f t="shared" si="186"/>
        <v>937.11465440151824</v>
      </c>
    </row>
    <row r="698" spans="2:20">
      <c r="B698" s="582">
        <v>624</v>
      </c>
      <c r="C698" s="712">
        <f t="shared" si="171"/>
        <v>9.263563583415209</v>
      </c>
      <c r="D698" s="712">
        <f t="shared" si="172"/>
        <v>1483.7046098724052</v>
      </c>
      <c r="E698" s="712">
        <f t="shared" si="173"/>
        <v>1065.7509485056028</v>
      </c>
      <c r="F698" s="712">
        <f t="shared" si="174"/>
        <v>729.9618699936151</v>
      </c>
      <c r="G698" s="712">
        <f t="shared" si="175"/>
        <v>491.9705459622113</v>
      </c>
      <c r="H698" s="719">
        <f t="shared" si="176"/>
        <v>323.65798371459471</v>
      </c>
      <c r="I698" s="712">
        <f t="shared" si="177"/>
        <v>322.38752302374462</v>
      </c>
      <c r="J698" s="712">
        <f t="shared" si="178"/>
        <v>321.48417119945327</v>
      </c>
      <c r="K698" s="712">
        <f t="shared" si="179"/>
        <v>320.94267923095964</v>
      </c>
      <c r="L698" s="712">
        <f t="shared" si="180"/>
        <v>320.75985142636296</v>
      </c>
      <c r="N698" s="582">
        <v>624</v>
      </c>
      <c r="O698" s="712">
        <f t="shared" si="181"/>
        <v>9.263563583415209</v>
      </c>
      <c r="P698" s="712">
        <f t="shared" si="182"/>
        <v>962.151074911818</v>
      </c>
      <c r="Q698" s="712">
        <f t="shared" si="183"/>
        <v>951.63898781344017</v>
      </c>
      <c r="R698" s="712">
        <f t="shared" si="184"/>
        <v>944.06569865766119</v>
      </c>
      <c r="S698" s="712">
        <f t="shared" si="185"/>
        <v>939.46344644565215</v>
      </c>
      <c r="T698" s="712">
        <f t="shared" si="186"/>
        <v>937.85141713372286</v>
      </c>
    </row>
    <row r="699" spans="2:20">
      <c r="B699" s="582">
        <v>625</v>
      </c>
      <c r="C699" s="712">
        <f t="shared" si="171"/>
        <v>9.2784090378758108</v>
      </c>
      <c r="D699" s="712">
        <f t="shared" si="172"/>
        <v>1483.8100621141327</v>
      </c>
      <c r="E699" s="712">
        <f t="shared" si="173"/>
        <v>1066.1289207947268</v>
      </c>
      <c r="F699" s="712">
        <f t="shared" si="174"/>
        <v>730.41175776579007</v>
      </c>
      <c r="G699" s="712">
        <f t="shared" si="175"/>
        <v>492.29108116338557</v>
      </c>
      <c r="H699" s="719">
        <f t="shared" si="176"/>
        <v>323.74993668486883</v>
      </c>
      <c r="I699" s="712">
        <f t="shared" si="177"/>
        <v>322.47769517607287</v>
      </c>
      <c r="J699" s="712">
        <f t="shared" si="178"/>
        <v>321.57305404868634</v>
      </c>
      <c r="K699" s="712">
        <f t="shared" si="179"/>
        <v>321.03077712934265</v>
      </c>
      <c r="L699" s="712">
        <f t="shared" si="180"/>
        <v>320.84767641705008</v>
      </c>
      <c r="N699" s="582">
        <v>625</v>
      </c>
      <c r="O699" s="712">
        <f t="shared" si="181"/>
        <v>9.2784090378758108</v>
      </c>
      <c r="P699" s="712">
        <f t="shared" si="182"/>
        <v>962.86183526168622</v>
      </c>
      <c r="Q699" s="712">
        <f t="shared" si="183"/>
        <v>952.36083835937234</v>
      </c>
      <c r="R699" s="712">
        <f t="shared" si="184"/>
        <v>944.79546799932223</v>
      </c>
      <c r="S699" s="712">
        <f t="shared" si="185"/>
        <v>940.1979283920266</v>
      </c>
      <c r="T699" s="712">
        <f t="shared" si="186"/>
        <v>938.58738478929354</v>
      </c>
    </row>
    <row r="700" spans="2:20">
      <c r="B700" s="582">
        <v>626</v>
      </c>
      <c r="C700" s="712">
        <f t="shared" si="171"/>
        <v>9.2932544923364127</v>
      </c>
      <c r="D700" s="712">
        <f t="shared" si="172"/>
        <v>1483.9152496421486</v>
      </c>
      <c r="E700" s="712">
        <f t="shared" si="173"/>
        <v>1066.505970265725</v>
      </c>
      <c r="F700" s="712">
        <f t="shared" si="174"/>
        <v>730.86071966766337</v>
      </c>
      <c r="G700" s="712">
        <f t="shared" si="175"/>
        <v>492.61115988975769</v>
      </c>
      <c r="H700" s="719">
        <f t="shared" si="176"/>
        <v>323.84200598346905</v>
      </c>
      <c r="I700" s="712">
        <f t="shared" si="177"/>
        <v>322.56798805812474</v>
      </c>
      <c r="J700" s="712">
        <f t="shared" si="178"/>
        <v>321.66206078086429</v>
      </c>
      <c r="K700" s="712">
        <f t="shared" si="179"/>
        <v>321.11900079977181</v>
      </c>
      <c r="L700" s="712">
        <f t="shared" si="180"/>
        <v>320.93562779545954</v>
      </c>
      <c r="N700" s="582">
        <v>626</v>
      </c>
      <c r="O700" s="712">
        <f t="shared" si="181"/>
        <v>9.2932544923364127</v>
      </c>
      <c r="P700" s="712">
        <f t="shared" si="182"/>
        <v>963.5718285953609</v>
      </c>
      <c r="Q700" s="712">
        <f t="shared" si="183"/>
        <v>953.08190992113896</v>
      </c>
      <c r="R700" s="712">
        <f t="shared" si="184"/>
        <v>945.52444981125848</v>
      </c>
      <c r="S700" s="712">
        <f t="shared" si="185"/>
        <v>940.93161772307462</v>
      </c>
      <c r="T700" s="712">
        <f t="shared" si="186"/>
        <v>939.32255822623642</v>
      </c>
    </row>
    <row r="701" spans="2:20">
      <c r="B701" s="582">
        <v>627</v>
      </c>
      <c r="C701" s="712">
        <f t="shared" si="171"/>
        <v>9.3080999467970145</v>
      </c>
      <c r="D701" s="712">
        <f t="shared" si="172"/>
        <v>1484.0201733601175</v>
      </c>
      <c r="E701" s="712">
        <f t="shared" si="173"/>
        <v>1066.8820999319582</v>
      </c>
      <c r="F701" s="712">
        <f t="shared" si="174"/>
        <v>731.30875787258174</v>
      </c>
      <c r="G701" s="712">
        <f t="shared" si="175"/>
        <v>492.93078261702186</v>
      </c>
      <c r="H701" s="719">
        <f t="shared" si="176"/>
        <v>323.9341913094554</v>
      </c>
      <c r="I701" s="712">
        <f t="shared" si="177"/>
        <v>322.65840136331337</v>
      </c>
      <c r="J701" s="712">
        <f t="shared" si="178"/>
        <v>321.75119108548409</v>
      </c>
      <c r="K701" s="712">
        <f t="shared" si="179"/>
        <v>321.20734992945847</v>
      </c>
      <c r="L701" s="712">
        <f t="shared" si="180"/>
        <v>321.02370524808515</v>
      </c>
      <c r="N701" s="582">
        <v>627</v>
      </c>
      <c r="O701" s="712">
        <f t="shared" si="181"/>
        <v>9.3080999467970145</v>
      </c>
      <c r="P701" s="712">
        <f t="shared" si="182"/>
        <v>964.28105574056656</v>
      </c>
      <c r="Q701" s="712">
        <f t="shared" si="183"/>
        <v>953.80220333937962</v>
      </c>
      <c r="R701" s="712">
        <f t="shared" si="184"/>
        <v>946.25264494333169</v>
      </c>
      <c r="S701" s="712">
        <f t="shared" si="185"/>
        <v>941.6645152941461</v>
      </c>
      <c r="T701" s="712">
        <f t="shared" si="186"/>
        <v>940.05693830163148</v>
      </c>
    </row>
    <row r="702" spans="2:20">
      <c r="B702" s="582">
        <v>628</v>
      </c>
      <c r="C702" s="712">
        <f t="shared" si="171"/>
        <v>9.3229454012576145</v>
      </c>
      <c r="D702" s="712">
        <f t="shared" si="172"/>
        <v>1484.1248341673597</v>
      </c>
      <c r="E702" s="712">
        <f t="shared" si="173"/>
        <v>1067.2573127932192</v>
      </c>
      <c r="F702" s="712">
        <f t="shared" si="174"/>
        <v>731.75587454994661</v>
      </c>
      <c r="G702" s="712">
        <f t="shared" si="175"/>
        <v>493.24994982510924</v>
      </c>
      <c r="H702" s="719">
        <f t="shared" si="176"/>
        <v>324.02649236234544</v>
      </c>
      <c r="I702" s="712">
        <f t="shared" si="177"/>
        <v>322.7489347854771</v>
      </c>
      <c r="J702" s="712">
        <f t="shared" si="178"/>
        <v>321.84044465244318</v>
      </c>
      <c r="K702" s="712">
        <f t="shared" si="179"/>
        <v>321.29582420599911</v>
      </c>
      <c r="L702" s="712">
        <f t="shared" si="180"/>
        <v>321.11190846180062</v>
      </c>
      <c r="N702" s="582">
        <v>628</v>
      </c>
      <c r="O702" s="712">
        <f t="shared" si="181"/>
        <v>9.3229454012576145</v>
      </c>
      <c r="P702" s="712">
        <f t="shared" si="182"/>
        <v>964.98951752413461</v>
      </c>
      <c r="Q702" s="712">
        <f t="shared" si="183"/>
        <v>954.52171945382725</v>
      </c>
      <c r="R702" s="712">
        <f t="shared" si="184"/>
        <v>946.98005424448684</v>
      </c>
      <c r="S702" s="712">
        <f t="shared" si="185"/>
        <v>942.39662195966753</v>
      </c>
      <c r="T702" s="712">
        <f t="shared" si="186"/>
        <v>940.79052587163403</v>
      </c>
    </row>
    <row r="703" spans="2:20">
      <c r="B703" s="582">
        <v>629</v>
      </c>
      <c r="C703" s="712">
        <f t="shared" si="171"/>
        <v>9.3377908557182163</v>
      </c>
      <c r="D703" s="712">
        <f t="shared" si="172"/>
        <v>1484.2292329588804</v>
      </c>
      <c r="E703" s="712">
        <f t="shared" si="173"/>
        <v>1067.6316118358175</v>
      </c>
      <c r="F703" s="712">
        <f t="shared" si="174"/>
        <v>732.20207186520759</v>
      </c>
      <c r="G703" s="712">
        <f t="shared" si="175"/>
        <v>493.56866199813271</v>
      </c>
      <c r="H703" s="719">
        <f t="shared" si="176"/>
        <v>324.11890884211567</v>
      </c>
      <c r="I703" s="712">
        <f t="shared" si="177"/>
        <v>322.83958801888116</v>
      </c>
      <c r="J703" s="712">
        <f t="shared" si="178"/>
        <v>321.92982117204178</v>
      </c>
      <c r="K703" s="712">
        <f t="shared" si="179"/>
        <v>321.38442331737798</v>
      </c>
      <c r="L703" s="712">
        <f t="shared" si="180"/>
        <v>321.20023712386211</v>
      </c>
      <c r="N703" s="582">
        <v>629</v>
      </c>
      <c r="O703" s="712">
        <f t="shared" si="181"/>
        <v>9.3377908557182163</v>
      </c>
      <c r="P703" s="712">
        <f t="shared" si="182"/>
        <v>965.69721477200403</v>
      </c>
      <c r="Q703" s="712">
        <f t="shared" si="183"/>
        <v>955.24045910330824</v>
      </c>
      <c r="R703" s="712">
        <f t="shared" si="184"/>
        <v>947.70667856275202</v>
      </c>
      <c r="S703" s="712">
        <f t="shared" si="185"/>
        <v>943.12793857314421</v>
      </c>
      <c r="T703" s="712">
        <f t="shared" si="186"/>
        <v>941.52332179147515</v>
      </c>
    </row>
    <row r="704" spans="2:20">
      <c r="B704" s="582">
        <v>630</v>
      </c>
      <c r="C704" s="712">
        <f t="shared" si="171"/>
        <v>9.3526363101788181</v>
      </c>
      <c r="D704" s="712">
        <f t="shared" si="172"/>
        <v>1484.3333706253989</v>
      </c>
      <c r="E704" s="712">
        <f t="shared" si="173"/>
        <v>1068.0050000326664</v>
      </c>
      <c r="F704" s="712">
        <f t="shared" si="174"/>
        <v>732.64735197985578</v>
      </c>
      <c r="G704" s="712">
        <f t="shared" si="175"/>
        <v>493.88691962433245</v>
      </c>
      <c r="H704" s="719">
        <f t="shared" si="176"/>
        <v>324.211440449203</v>
      </c>
      <c r="I704" s="712">
        <f t="shared" si="177"/>
        <v>322.93036075821976</v>
      </c>
      <c r="J704" s="712">
        <f t="shared" si="178"/>
        <v>322.01932033498531</v>
      </c>
      <c r="K704" s="712">
        <f t="shared" si="179"/>
        <v>321.47314695196928</v>
      </c>
      <c r="L704" s="712">
        <f t="shared" si="180"/>
        <v>321.28869092191076</v>
      </c>
    </row>
    <row r="705" spans="2:12">
      <c r="B705" s="582">
        <v>631</v>
      </c>
      <c r="C705" s="712">
        <f t="shared" si="171"/>
        <v>9.3674817646394182</v>
      </c>
      <c r="D705" s="712">
        <f t="shared" si="172"/>
        <v>1484.4372480533771</v>
      </c>
      <c r="E705" s="712">
        <f t="shared" si="173"/>
        <v>1068.3774803433685</v>
      </c>
      <c r="F705" s="712">
        <f t="shared" si="174"/>
        <v>733.09171705141785</v>
      </c>
      <c r="G705" s="712">
        <f t="shared" si="175"/>
        <v>494.20472319602192</v>
      </c>
      <c r="H705" s="719">
        <f t="shared" si="176"/>
        <v>324.30408688450621</v>
      </c>
      <c r="I705" s="712">
        <f t="shared" si="177"/>
        <v>323.0212526986179</v>
      </c>
      <c r="J705" s="712">
        <f t="shared" si="178"/>
        <v>322.10894183238622</v>
      </c>
      <c r="K705" s="712">
        <f t="shared" si="179"/>
        <v>321.56199479853973</v>
      </c>
      <c r="L705" s="712">
        <f t="shared" si="180"/>
        <v>321.37726954397522</v>
      </c>
    </row>
    <row r="706" spans="2:12">
      <c r="B706" s="582">
        <v>632</v>
      </c>
      <c r="C706" s="712">
        <f t="shared" si="171"/>
        <v>9.38232721910002</v>
      </c>
      <c r="D706" s="712">
        <f t="shared" si="172"/>
        <v>1484.5408661250483</v>
      </c>
      <c r="E706" s="712">
        <f t="shared" si="173"/>
        <v>1068.7490557142989</v>
      </c>
      <c r="F706" s="712">
        <f t="shared" si="174"/>
        <v>733.53516923344966</v>
      </c>
      <c r="G706" s="712">
        <f t="shared" si="175"/>
        <v>494.5220732095342</v>
      </c>
      <c r="H706" s="719">
        <f t="shared" si="176"/>
        <v>324.3968478493872</v>
      </c>
      <c r="I706" s="712">
        <f t="shared" si="177"/>
        <v>323.11226353563319</v>
      </c>
      <c r="J706" s="712">
        <f t="shared" si="178"/>
        <v>322.19868535576637</v>
      </c>
      <c r="K706" s="712">
        <f t="shared" si="179"/>
        <v>321.65096654625097</v>
      </c>
      <c r="L706" s="712">
        <f t="shared" si="180"/>
        <v>321.46597267847397</v>
      </c>
    </row>
    <row r="707" spans="2:12">
      <c r="B707" s="582">
        <v>633</v>
      </c>
      <c r="C707" s="712">
        <f t="shared" si="171"/>
        <v>9.3971726735606218</v>
      </c>
      <c r="D707" s="712">
        <f t="shared" si="172"/>
        <v>1484.6442257184456</v>
      </c>
      <c r="E707" s="712">
        <f t="shared" si="173"/>
        <v>1069.1197290786911</v>
      </c>
      <c r="F707" s="712">
        <f t="shared" si="174"/>
        <v>733.97771067553083</v>
      </c>
      <c r="G707" s="712">
        <f t="shared" si="175"/>
        <v>494.83897016516886</v>
      </c>
      <c r="H707" s="719">
        <f t="shared" si="176"/>
        <v>324.48972304567275</v>
      </c>
      <c r="I707" s="712">
        <f t="shared" si="177"/>
        <v>323.20339296525765</v>
      </c>
      <c r="J707" s="712">
        <f t="shared" si="178"/>
        <v>322.28855059705927</v>
      </c>
      <c r="K707" s="712">
        <f t="shared" si="179"/>
        <v>321.74006188466188</v>
      </c>
      <c r="L707" s="712">
        <f t="shared" si="180"/>
        <v>321.55480001421785</v>
      </c>
    </row>
  </sheetData>
  <mergeCells count="3">
    <mergeCell ref="C19:D19"/>
    <mergeCell ref="C34:D34"/>
    <mergeCell ref="C4:D4"/>
  </mergeCells>
  <pageMargins left="0.7" right="0.7" top="0.75" bottom="0.75" header="0.3" footer="0.3"/>
  <pageSetup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rgb="FFFFFF00"/>
    <pageSetUpPr autoPageBreaks="0"/>
  </sheetPr>
  <dimension ref="B3:AI910"/>
  <sheetViews>
    <sheetView showGridLines="0" topLeftCell="A7" zoomScale="85" zoomScaleNormal="85" workbookViewId="0">
      <selection activeCell="K28" sqref="K28"/>
    </sheetView>
  </sheetViews>
  <sheetFormatPr baseColWidth="10" defaultColWidth="8.88671875" defaultRowHeight="13.2"/>
  <cols>
    <col min="1" max="1" width="3.109375" customWidth="1"/>
    <col min="2" max="2" width="9.109375" customWidth="1"/>
    <col min="3" max="3" width="8.88671875" customWidth="1"/>
    <col min="4" max="4" width="10.5546875" customWidth="1"/>
    <col min="5" max="7" width="9.109375" customWidth="1"/>
    <col min="8" max="8" width="10" bestFit="1" customWidth="1"/>
    <col min="9" max="9" width="9.44140625" customWidth="1"/>
    <col min="10" max="29" width="9.109375" customWidth="1"/>
    <col min="30" max="30" width="8.6640625" customWidth="1"/>
  </cols>
  <sheetData>
    <row r="3" spans="2:27" ht="13.8">
      <c r="G3" s="226"/>
    </row>
    <row r="5" spans="2:27">
      <c r="B5" s="76" t="s">
        <v>146</v>
      </c>
    </row>
    <row r="8" spans="2:27">
      <c r="D8" s="55"/>
    </row>
    <row r="9" spans="2:27">
      <c r="B9" s="2" t="s">
        <v>113</v>
      </c>
      <c r="C9">
        <v>8314</v>
      </c>
      <c r="D9" s="55" t="s">
        <v>114</v>
      </c>
      <c r="E9" t="s">
        <v>122</v>
      </c>
    </row>
    <row r="10" spans="2:27">
      <c r="B10" s="2" t="s">
        <v>74</v>
      </c>
      <c r="C10">
        <f>IF(fueltype=1,m_dx,IF(fueltype=2,m_so,IF(fueltype=3,m_so,IF(fueltype=4,m_su,IF(fueltype=5,m_er,IF(fueltype=6,m_mn,IF(fueltype=7,m_ot,m_fr)))))))</f>
        <v>42.02</v>
      </c>
      <c r="D10" s="55" t="s">
        <v>115</v>
      </c>
      <c r="E10" t="s">
        <v>197</v>
      </c>
    </row>
    <row r="11" spans="2:27">
      <c r="B11" s="2" t="s">
        <v>112</v>
      </c>
      <c r="C11" s="3">
        <f>runiv/m</f>
        <v>197.85816277962874</v>
      </c>
      <c r="D11" s="55" t="s">
        <v>116</v>
      </c>
      <c r="E11" t="s">
        <v>129</v>
      </c>
    </row>
    <row r="12" spans="2:27">
      <c r="B12" s="2" t="s">
        <v>110</v>
      </c>
      <c r="C12">
        <f>IF(fueltype=1,ks_dx,IF(fueltype=2,ks_so,IF(fueltype=3,ks_so,IF(fueltype=4,ks_su,IF(fueltype=5,ks_er,IF(fueltype=6,ks_mn,IF(fueltype=7,ks_ot,ks_fr)))))))</f>
        <v>1.133</v>
      </c>
      <c r="D12" s="55"/>
      <c r="E12" t="s">
        <v>313</v>
      </c>
    </row>
    <row r="13" spans="2:27">
      <c r="B13" s="7" t="s">
        <v>118</v>
      </c>
      <c r="C13" s="82">
        <v>0.95</v>
      </c>
      <c r="D13" s="55"/>
      <c r="E13" t="s">
        <v>119</v>
      </c>
    </row>
    <row r="14" spans="2:27">
      <c r="B14" s="2" t="s">
        <v>117</v>
      </c>
      <c r="C14" s="8">
        <f>IF(fueltype=1,to_dx,IF(fueltype=2,to_so,IF(fueltype=3,to_so,IF(fueltype=4,to_su,IF(fueltype=5,to_er,IF(fueltype=6,to_mn,IF(fueltype=7,to_ot,to_fr)))))))</f>
        <v>1720</v>
      </c>
      <c r="D14" s="55" t="s">
        <v>73</v>
      </c>
      <c r="E14" t="s">
        <v>124</v>
      </c>
    </row>
    <row r="15" spans="2:27">
      <c r="B15" s="2" t="s">
        <v>123</v>
      </c>
      <c r="C15" s="4">
        <f>etac*tothe</f>
        <v>1634</v>
      </c>
      <c r="D15" s="55" t="s">
        <v>73</v>
      </c>
      <c r="E15" t="s">
        <v>125</v>
      </c>
    </row>
    <row r="16" spans="2:27">
      <c r="B16" s="2" t="s">
        <v>126</v>
      </c>
      <c r="C16" s="82">
        <v>0.10100000000000001</v>
      </c>
      <c r="D16" s="55" t="s">
        <v>127</v>
      </c>
      <c r="E16" t="s">
        <v>128</v>
      </c>
    </row>
    <row r="17" spans="2:35">
      <c r="B17" s="2" t="s">
        <v>148</v>
      </c>
      <c r="C17" s="4">
        <f>SQRT(rat*to/k*((k+1)/2)^((k+1)/(k-1)))</f>
        <v>895.15968661269528</v>
      </c>
      <c r="D17" t="s">
        <v>150</v>
      </c>
      <c r="E17" t="s">
        <v>149</v>
      </c>
    </row>
    <row r="18" spans="2:35">
      <c r="B18" s="2" t="s">
        <v>94</v>
      </c>
      <c r="C18" s="82">
        <v>6</v>
      </c>
      <c r="E18" t="s">
        <v>144</v>
      </c>
      <c r="J18" s="131" t="s">
        <v>156</v>
      </c>
      <c r="K18" s="140">
        <f>pmax</f>
        <v>4.9969130252874665</v>
      </c>
      <c r="L18" s="133" t="s">
        <v>127</v>
      </c>
      <c r="O18" s="131" t="s">
        <v>156</v>
      </c>
      <c r="P18" s="132">
        <f>pmax/0.006895</f>
        <v>724.71544964285226</v>
      </c>
      <c r="Q18" s="133" t="s">
        <v>189</v>
      </c>
    </row>
    <row r="19" spans="2:35">
      <c r="B19" s="2" t="s">
        <v>93</v>
      </c>
      <c r="C19" s="82">
        <v>0</v>
      </c>
      <c r="E19" t="s">
        <v>143</v>
      </c>
      <c r="J19" s="134" t="s">
        <v>157</v>
      </c>
      <c r="K19" s="141">
        <f>tbout</f>
        <v>0.40339112088573409</v>
      </c>
      <c r="L19" s="136" t="s">
        <v>91</v>
      </c>
      <c r="O19" s="134" t="s">
        <v>157</v>
      </c>
      <c r="P19" s="141">
        <f>tbout</f>
        <v>0.40339112088573409</v>
      </c>
      <c r="Q19" s="136" t="s">
        <v>91</v>
      </c>
    </row>
    <row r="20" spans="2:35">
      <c r="B20" s="2"/>
      <c r="C20" s="49"/>
      <c r="J20" s="137" t="s">
        <v>158</v>
      </c>
      <c r="K20" s="138">
        <f>tthr</f>
        <v>0.42288626873487412</v>
      </c>
      <c r="L20" s="139" t="s">
        <v>91</v>
      </c>
      <c r="O20" s="137" t="s">
        <v>158</v>
      </c>
      <c r="P20" s="138">
        <f>tthr</f>
        <v>0.42288626873487412</v>
      </c>
      <c r="Q20" s="139" t="s">
        <v>91</v>
      </c>
    </row>
    <row r="21" spans="2:35">
      <c r="B21" s="2"/>
      <c r="C21" s="49"/>
    </row>
    <row r="22" spans="2:35">
      <c r="W22" s="381" t="s">
        <v>205</v>
      </c>
      <c r="X22" s="381">
        <v>0</v>
      </c>
      <c r="Y22" s="381" t="s">
        <v>206</v>
      </c>
      <c r="Z22" s="381"/>
      <c r="AA22" s="382" t="s">
        <v>153</v>
      </c>
      <c r="AB22" s="383">
        <f>MAX(AC28:AC910)</f>
        <v>4.9969130252874665</v>
      </c>
      <c r="AC22" s="381" t="s">
        <v>127</v>
      </c>
    </row>
    <row r="23" spans="2:35">
      <c r="E23" s="50"/>
      <c r="G23" s="108">
        <f>D862</f>
        <v>5.0484061375755118E-12</v>
      </c>
      <c r="J23" s="109">
        <v>4.1479037976894969E-4</v>
      </c>
      <c r="K23" s="95" t="s">
        <v>254</v>
      </c>
    </row>
    <row r="24" spans="2:35">
      <c r="B24" s="51" t="s">
        <v>145</v>
      </c>
      <c r="C24" s="84">
        <v>6.6426858513120249E-3</v>
      </c>
      <c r="D24" s="50" t="s">
        <v>2</v>
      </c>
      <c r="V24" s="39"/>
      <c r="W24" s="39"/>
      <c r="X24" s="39"/>
      <c r="Y24" s="39"/>
      <c r="Z24" s="39"/>
      <c r="AA24" s="39"/>
      <c r="AB24" s="39"/>
    </row>
    <row r="25" spans="2:35" ht="15.6">
      <c r="B25" s="14" t="s">
        <v>44</v>
      </c>
      <c r="C25" s="13" t="s">
        <v>78</v>
      </c>
      <c r="D25" s="13" t="s">
        <v>79</v>
      </c>
      <c r="E25" s="13" t="s">
        <v>45</v>
      </c>
      <c r="F25" s="13" t="s">
        <v>53</v>
      </c>
      <c r="G25" s="13" t="s">
        <v>46</v>
      </c>
      <c r="H25" s="13" t="s">
        <v>98</v>
      </c>
      <c r="I25" s="13" t="s">
        <v>96</v>
      </c>
      <c r="J25" s="13" t="s">
        <v>92</v>
      </c>
      <c r="K25" s="13" t="s">
        <v>99</v>
      </c>
      <c r="L25" s="13" t="s">
        <v>69</v>
      </c>
      <c r="M25" s="13" t="s">
        <v>201</v>
      </c>
      <c r="N25" s="13" t="s">
        <v>80</v>
      </c>
      <c r="O25" s="13" t="s">
        <v>81</v>
      </c>
      <c r="P25" s="13" t="s">
        <v>88</v>
      </c>
      <c r="Q25" s="13" t="s">
        <v>90</v>
      </c>
      <c r="R25" s="13" t="s">
        <v>100</v>
      </c>
      <c r="S25" s="13" t="s">
        <v>100</v>
      </c>
      <c r="T25" s="13" t="s">
        <v>101</v>
      </c>
      <c r="U25" s="13" t="s">
        <v>95</v>
      </c>
      <c r="V25" s="13" t="s">
        <v>105</v>
      </c>
      <c r="W25" s="13" t="s">
        <v>106</v>
      </c>
      <c r="X25" s="13" t="s">
        <v>107</v>
      </c>
      <c r="Y25" s="13" t="s">
        <v>108</v>
      </c>
      <c r="Z25" s="67" t="s">
        <v>130</v>
      </c>
      <c r="AA25" s="13" t="s">
        <v>201</v>
      </c>
      <c r="AB25" s="13" t="s">
        <v>201</v>
      </c>
      <c r="AC25" s="13" t="s">
        <v>201</v>
      </c>
      <c r="AD25" s="13" t="s">
        <v>201</v>
      </c>
    </row>
    <row r="26" spans="2:35" ht="16.2" thickBot="1">
      <c r="B26" s="15"/>
      <c r="C26" s="15" t="s">
        <v>2</v>
      </c>
      <c r="D26" s="15" t="s">
        <v>2</v>
      </c>
      <c r="E26" s="15" t="s">
        <v>2</v>
      </c>
      <c r="F26" s="15" t="s">
        <v>2</v>
      </c>
      <c r="G26" s="15" t="s">
        <v>2</v>
      </c>
      <c r="H26" s="15" t="s">
        <v>15</v>
      </c>
      <c r="I26" s="15" t="s">
        <v>97</v>
      </c>
      <c r="J26" s="15" t="s">
        <v>15</v>
      </c>
      <c r="K26" s="15"/>
      <c r="L26" s="15"/>
      <c r="M26" s="15" t="s">
        <v>160</v>
      </c>
      <c r="N26" s="15" t="s">
        <v>89</v>
      </c>
      <c r="O26" s="15"/>
      <c r="P26" s="15" t="s">
        <v>89</v>
      </c>
      <c r="Q26" s="15" t="s">
        <v>169</v>
      </c>
      <c r="R26" s="15" t="s">
        <v>23</v>
      </c>
      <c r="S26" s="15" t="s">
        <v>102</v>
      </c>
      <c r="T26" s="15" t="s">
        <v>102</v>
      </c>
      <c r="U26" s="15" t="s">
        <v>28</v>
      </c>
      <c r="V26" s="15" t="s">
        <v>103</v>
      </c>
      <c r="W26" s="15" t="s">
        <v>103</v>
      </c>
      <c r="X26" s="15" t="s">
        <v>103</v>
      </c>
      <c r="Y26" s="15" t="s">
        <v>104</v>
      </c>
      <c r="Z26" s="15" t="s">
        <v>131</v>
      </c>
      <c r="AA26" s="15" t="s">
        <v>159</v>
      </c>
      <c r="AB26" s="15" t="s">
        <v>109</v>
      </c>
      <c r="AC26" s="15" t="s">
        <v>161</v>
      </c>
      <c r="AD26" s="15" t="s">
        <v>162</v>
      </c>
    </row>
    <row r="27" spans="2:35">
      <c r="V27" s="39"/>
      <c r="W27" s="39"/>
      <c r="X27" s="39"/>
      <c r="Y27" s="39"/>
      <c r="Z27" s="39"/>
      <c r="AA27" s="39"/>
      <c r="AB27" s="39"/>
    </row>
    <row r="28" spans="2:35">
      <c r="B28" s="39">
        <v>0</v>
      </c>
      <c r="C28">
        <v>0</v>
      </c>
      <c r="D28" s="10">
        <f>two</f>
        <v>5.5399999999999991</v>
      </c>
      <c r="E28" s="40">
        <f>dio</f>
        <v>20</v>
      </c>
      <c r="F28" s="40">
        <f>do</f>
        <v>31.08</v>
      </c>
      <c r="G28" s="3">
        <f>lgo</f>
        <v>226.4</v>
      </c>
      <c r="H28" s="3">
        <f t="shared" ref="H28:H39" si="0">PI()/4*(dto+erate*(two-D28)/two)^2</f>
        <v>81.256230789298584</v>
      </c>
      <c r="I28">
        <f t="shared" ref="I28:I91" si="1">H28/1000^2</f>
        <v>8.1256230789298584E-5</v>
      </c>
      <c r="J28" s="4">
        <f t="shared" ref="J28:J39" si="2">PI()/4*dc^2-PI()/4*(F28^2-E28^2)</f>
        <v>314.15926535897933</v>
      </c>
      <c r="K28" s="40">
        <f t="shared" ref="K28:K39" si="3">J28/H28</f>
        <v>3.8662790817064825</v>
      </c>
      <c r="L28" s="40">
        <f t="shared" ref="L28:L91" si="4">IF((gstar-K28)&lt;0,0,gstar-K28)</f>
        <v>2.1337209182935175</v>
      </c>
      <c r="M28" s="10">
        <v>0.10100000000000001</v>
      </c>
      <c r="N28" s="10">
        <f t="shared" ref="N28:N91" si="5">IF(fueltype=1,VLOOKUP($M28,kndxbn_,4),IF(fueltype=2,VLOOKUP($M28,knsobn_,4),IF(fueltype=3,VLOOKUP($M28,knsbcobn_,4),IF(fueltype=4,VLOOKUP($M28,knsubn_,4),IF(fueltype=5,am_1,IF(fueltype=6,am_0,IF(fueltype=7,am_3,am_4)))))))</f>
        <v>8.26</v>
      </c>
      <c r="O28" s="10">
        <f t="shared" ref="O28:O91" si="6">IF(fueltype=1,VLOOKUP($M28,kndxbn_,5),IF(fueltype=2,VLOOKUP($M28,knsobn_,5),IF(fueltype=3,VLOOKUP($M28,knsbcobn_,5),IF(fueltype=4,VLOOKUP($M28,knsubn_,5),IF(fueltype=5,nm_1,IF(fueltype=6,an_0,IF(fueltype=7,nm_3,nm_4)))))))</f>
        <v>0.31900000000000001</v>
      </c>
      <c r="P28" s="10">
        <f t="shared" ref="P28:P39" si="7">(1+kv*L28)*N28*M28^O28</f>
        <v>3.9751961722975562</v>
      </c>
      <c r="Q28">
        <v>0</v>
      </c>
      <c r="R28" s="4">
        <f t="shared" ref="R28:R39" si="8">PI()/4*(F28^2-E28^2)*G28</f>
        <v>100636.83105809627</v>
      </c>
      <c r="S28">
        <f t="shared" ref="S28:S91" si="9">R28/1000^3</f>
        <v>1.0063683105809627E-4</v>
      </c>
      <c r="T28" s="41">
        <f t="shared" ref="T28:T91" si="10">(vc/1000^3-S28)</f>
        <v>7.9167540983787562E-5</v>
      </c>
      <c r="U28" s="42">
        <f t="shared" ref="U28:U39" si="11">rhopgrain*R28/1000^2</f>
        <v>0.18059782517530665</v>
      </c>
      <c r="V28">
        <v>0</v>
      </c>
      <c r="W28">
        <v>0</v>
      </c>
      <c r="X28">
        <f t="shared" ref="X28:X39" si="12">V28-W28</f>
        <v>0</v>
      </c>
      <c r="Y28">
        <v>0</v>
      </c>
      <c r="Z28">
        <f t="shared" ref="Z28:Z39" si="13">Y28/T28</f>
        <v>0</v>
      </c>
      <c r="AA28">
        <f t="shared" ref="AA28:AA91" si="14">Z28*rat*to+patm*1000000</f>
        <v>101000</v>
      </c>
      <c r="AB28" s="10">
        <f t="shared" ref="AB28:AB91" si="15">AA28/1000000</f>
        <v>0.10100000000000001</v>
      </c>
      <c r="AC28" s="10">
        <f t="shared" ref="AC28:AC91" si="16">AB28-patm</f>
        <v>0</v>
      </c>
      <c r="AD28" s="3">
        <f t="shared" ref="AD28:AD91" si="17">AC28*1000000/6895</f>
        <v>0</v>
      </c>
    </row>
    <row r="29" spans="2:35">
      <c r="B29" s="39">
        <f t="shared" ref="B29:B39" si="18">1+B28</f>
        <v>1</v>
      </c>
      <c r="C29" s="42">
        <f t="shared" ref="C29:C39" si="19">xincp+C28</f>
        <v>6.6426858513120249E-3</v>
      </c>
      <c r="D29" s="10">
        <f t="shared" ref="D29:D39" si="20">(F29-E29)/2</f>
        <v>5.5333573141486863</v>
      </c>
      <c r="E29" s="40">
        <f t="shared" ref="E29:E39" si="21">E28+ci*2*xincp</f>
        <v>20.013285371702626</v>
      </c>
      <c r="F29" s="40">
        <f t="shared" ref="F29:F39" si="22">F28-osi*2*xincp</f>
        <v>31.08</v>
      </c>
      <c r="G29" s="3">
        <f t="shared" ref="G29:G39" si="23">G28-ei*n*2*xincp</f>
        <v>226.34685851318952</v>
      </c>
      <c r="H29" s="3">
        <f t="shared" si="0"/>
        <v>81.256230789298584</v>
      </c>
      <c r="I29">
        <f t="shared" si="1"/>
        <v>8.1256230789298584E-5</v>
      </c>
      <c r="J29" s="4">
        <f t="shared" si="2"/>
        <v>314.57677624403181</v>
      </c>
      <c r="K29" s="40">
        <f t="shared" si="3"/>
        <v>3.8714172831834262</v>
      </c>
      <c r="L29" s="40">
        <f t="shared" si="4"/>
        <v>2.1285827168165738</v>
      </c>
      <c r="M29" s="10">
        <f t="shared" ref="M29:M39" si="24">AB28</f>
        <v>0.10100000000000001</v>
      </c>
      <c r="N29" s="10">
        <f t="shared" si="5"/>
        <v>8.26</v>
      </c>
      <c r="O29" s="10">
        <f t="shared" si="6"/>
        <v>0.31900000000000001</v>
      </c>
      <c r="P29" s="10">
        <f t="shared" si="7"/>
        <v>3.9751961722975562</v>
      </c>
      <c r="Q29" s="42">
        <f t="shared" ref="Q29:Q39" si="25">xincp/P29+Q28</f>
        <v>1.6710334693929663E-3</v>
      </c>
      <c r="R29" s="4">
        <f t="shared" si="8"/>
        <v>100518.70691324447</v>
      </c>
      <c r="S29">
        <f t="shared" si="9"/>
        <v>1.0051870691324447E-4</v>
      </c>
      <c r="T29" s="41">
        <f t="shared" si="10"/>
        <v>7.9285665128639364E-5</v>
      </c>
      <c r="U29" s="42">
        <f t="shared" si="11"/>
        <v>0.18038584549116285</v>
      </c>
      <c r="V29" s="42">
        <f t="shared" ref="V29:V39" si="26">(U28-U29)/(Q29-Q28)</f>
        <v>0.12685543888046941</v>
      </c>
      <c r="W29" s="42">
        <f t="shared" ref="W29:W39" si="27">IF(V29&lt;AI29,IF(AB28&gt;pbd,AI29,0),AI29)</f>
        <v>0</v>
      </c>
      <c r="X29" s="42">
        <f t="shared" si="12"/>
        <v>0.12685543888046941</v>
      </c>
      <c r="Y29" s="42">
        <f>IF((X29*(Q29-Q28)+Y28)&lt;0,0,X29*(Q29-Q28)+Y28)</f>
        <v>2.1197968414379817E-4</v>
      </c>
      <c r="Z29" s="10">
        <f t="shared" si="13"/>
        <v>2.6736192954913789</v>
      </c>
      <c r="AA29">
        <f t="shared" si="14"/>
        <v>965381.75450539822</v>
      </c>
      <c r="AB29" s="10">
        <f t="shared" si="15"/>
        <v>0.9653817545053982</v>
      </c>
      <c r="AC29" s="10">
        <f t="shared" si="16"/>
        <v>0.86438175450539823</v>
      </c>
      <c r="AD29" s="3">
        <f t="shared" si="17"/>
        <v>125.36356120455376</v>
      </c>
      <c r="AI29" s="94">
        <f t="shared" ref="AI29:AI92" si="28">($M29-patm)*1000000*$I29/SQRT(rat*to)*SQRT(k)*(2/(k+1))^((k+1)/2/(k-1))</f>
        <v>0</v>
      </c>
    </row>
    <row r="30" spans="2:35">
      <c r="B30" s="39">
        <f t="shared" si="18"/>
        <v>2</v>
      </c>
      <c r="C30" s="42">
        <f t="shared" si="19"/>
        <v>1.328537170262405E-2</v>
      </c>
      <c r="D30" s="10">
        <f t="shared" si="20"/>
        <v>5.5267146282973734</v>
      </c>
      <c r="E30" s="40">
        <f t="shared" si="21"/>
        <v>20.026570743405252</v>
      </c>
      <c r="F30" s="40">
        <f t="shared" si="22"/>
        <v>31.08</v>
      </c>
      <c r="G30" s="3">
        <f t="shared" si="23"/>
        <v>226.29371702637903</v>
      </c>
      <c r="H30" s="3">
        <f t="shared" si="0"/>
        <v>81.256230789298584</v>
      </c>
      <c r="I30">
        <f t="shared" si="1"/>
        <v>8.1256230789298584E-5</v>
      </c>
      <c r="J30" s="4">
        <f t="shared" si="2"/>
        <v>314.99456437636599</v>
      </c>
      <c r="K30" s="40">
        <f t="shared" si="3"/>
        <v>3.8765588966729512</v>
      </c>
      <c r="L30" s="40">
        <f t="shared" si="4"/>
        <v>2.1234411033270488</v>
      </c>
      <c r="M30" s="10">
        <f t="shared" si="24"/>
        <v>0.9653817545053982</v>
      </c>
      <c r="N30" s="10">
        <f t="shared" si="5"/>
        <v>8.26</v>
      </c>
      <c r="O30" s="10">
        <f t="shared" si="6"/>
        <v>0.31900000000000001</v>
      </c>
      <c r="P30" s="10">
        <f t="shared" si="7"/>
        <v>8.1676864251808752</v>
      </c>
      <c r="Q30" s="42">
        <f t="shared" si="25"/>
        <v>2.4843220196037958E-3</v>
      </c>
      <c r="R30" s="4">
        <f t="shared" si="8"/>
        <v>100400.56440337315</v>
      </c>
      <c r="S30">
        <f t="shared" si="9"/>
        <v>1.0040056440337315E-4</v>
      </c>
      <c r="T30" s="41">
        <f t="shared" si="10"/>
        <v>7.9403807638510687E-5</v>
      </c>
      <c r="U30" s="42">
        <f t="shared" si="11"/>
        <v>0.1801738328500733</v>
      </c>
      <c r="V30" s="42">
        <f t="shared" si="26"/>
        <v>0.26068563369617553</v>
      </c>
      <c r="W30" s="42">
        <f t="shared" si="27"/>
        <v>7.8462428977253931E-2</v>
      </c>
      <c r="X30" s="42">
        <f t="shared" si="12"/>
        <v>0.18222320471892162</v>
      </c>
      <c r="Y30" s="42">
        <f t="shared" ref="Y30:Y93" si="29">IF((X30*(Q30-Q29)+Y29)&lt;0,0,X30*(Q30-Q29)+Y29)</f>
        <v>3.6017973012442112E-4</v>
      </c>
      <c r="Z30" s="10">
        <f t="shared" si="13"/>
        <v>4.5360511143767202</v>
      </c>
      <c r="AA30">
        <f t="shared" si="14"/>
        <v>1567506.4047761168</v>
      </c>
      <c r="AB30" s="10">
        <f t="shared" si="15"/>
        <v>1.5675064047761169</v>
      </c>
      <c r="AC30" s="10">
        <f t="shared" si="16"/>
        <v>1.4665064047761169</v>
      </c>
      <c r="AD30" s="3">
        <f t="shared" si="17"/>
        <v>212.69128423148902</v>
      </c>
      <c r="AI30" s="94">
        <f t="shared" si="28"/>
        <v>7.8462428977253931E-2</v>
      </c>
    </row>
    <row r="31" spans="2:35">
      <c r="B31" s="39">
        <f t="shared" si="18"/>
        <v>3</v>
      </c>
      <c r="C31" s="42">
        <f t="shared" si="19"/>
        <v>1.9928057553936077E-2</v>
      </c>
      <c r="D31" s="10">
        <f t="shared" si="20"/>
        <v>5.5200719424460605</v>
      </c>
      <c r="E31" s="40">
        <f t="shared" si="21"/>
        <v>20.039856115107877</v>
      </c>
      <c r="F31" s="40">
        <f t="shared" si="22"/>
        <v>31.08</v>
      </c>
      <c r="G31" s="3">
        <f t="shared" si="23"/>
        <v>226.24057553956854</v>
      </c>
      <c r="H31" s="3">
        <f t="shared" si="0"/>
        <v>81.256230789298584</v>
      </c>
      <c r="I31">
        <f t="shared" si="1"/>
        <v>8.1256230789298584E-5</v>
      </c>
      <c r="J31" s="4">
        <f t="shared" si="2"/>
        <v>315.4126297559817</v>
      </c>
      <c r="K31" s="40">
        <f t="shared" si="3"/>
        <v>3.881703922175054</v>
      </c>
      <c r="L31" s="40">
        <f t="shared" si="4"/>
        <v>2.118296077824946</v>
      </c>
      <c r="M31" s="10">
        <f t="shared" si="24"/>
        <v>1.5675064047761169</v>
      </c>
      <c r="N31" s="10">
        <f t="shared" si="5"/>
        <v>8.26</v>
      </c>
      <c r="O31" s="10">
        <f t="shared" si="6"/>
        <v>0.31900000000000001</v>
      </c>
      <c r="P31" s="10">
        <f t="shared" si="7"/>
        <v>9.5334879436617044</v>
      </c>
      <c r="Q31" s="42">
        <f t="shared" si="25"/>
        <v>3.1810959485757606E-3</v>
      </c>
      <c r="R31" s="4">
        <f t="shared" si="8"/>
        <v>100282.40357268233</v>
      </c>
      <c r="S31">
        <f t="shared" si="9"/>
        <v>1.0028240357268234E-4</v>
      </c>
      <c r="T31" s="41">
        <f t="shared" si="10"/>
        <v>7.9521968469201495E-5</v>
      </c>
      <c r="U31" s="42">
        <f t="shared" si="11"/>
        <v>0.17996178733135706</v>
      </c>
      <c r="V31" s="42">
        <f t="shared" si="26"/>
        <v>0.30432470260345013</v>
      </c>
      <c r="W31" s="42">
        <f t="shared" si="27"/>
        <v>0.13311902296604466</v>
      </c>
      <c r="X31" s="42">
        <f t="shared" si="12"/>
        <v>0.17120567963740546</v>
      </c>
      <c r="Y31" s="42">
        <f t="shared" si="29"/>
        <v>4.7947138418769162E-4</v>
      </c>
      <c r="Z31" s="10">
        <f t="shared" si="13"/>
        <v>6.0294204660362345</v>
      </c>
      <c r="AA31">
        <f t="shared" si="14"/>
        <v>2050313.0715625337</v>
      </c>
      <c r="AB31" s="10">
        <f t="shared" si="15"/>
        <v>2.0503130715625337</v>
      </c>
      <c r="AC31" s="10">
        <f t="shared" si="16"/>
        <v>1.9493130715625338</v>
      </c>
      <c r="AD31" s="3">
        <f t="shared" si="17"/>
        <v>282.71400602792369</v>
      </c>
      <c r="AI31" s="94">
        <f t="shared" si="28"/>
        <v>0.13311902296604466</v>
      </c>
    </row>
    <row r="32" spans="2:35">
      <c r="B32" s="39">
        <f t="shared" si="18"/>
        <v>4</v>
      </c>
      <c r="C32" s="42">
        <f t="shared" si="19"/>
        <v>2.65707434052481E-2</v>
      </c>
      <c r="D32" s="10">
        <f t="shared" si="20"/>
        <v>5.5134292565947476</v>
      </c>
      <c r="E32" s="40">
        <f t="shared" si="21"/>
        <v>20.053141486810503</v>
      </c>
      <c r="F32" s="40">
        <f t="shared" si="22"/>
        <v>31.08</v>
      </c>
      <c r="G32" s="3">
        <f t="shared" si="23"/>
        <v>226.18743405275805</v>
      </c>
      <c r="H32" s="3">
        <f t="shared" si="0"/>
        <v>81.256230789298584</v>
      </c>
      <c r="I32">
        <f t="shared" si="1"/>
        <v>8.1256230789298584E-5</v>
      </c>
      <c r="J32" s="4">
        <f t="shared" si="2"/>
        <v>315.830972382879</v>
      </c>
      <c r="K32" s="40">
        <f t="shared" si="3"/>
        <v>3.886852359689736</v>
      </c>
      <c r="L32" s="40">
        <f t="shared" si="4"/>
        <v>2.113147640310264</v>
      </c>
      <c r="M32" s="10">
        <f t="shared" si="24"/>
        <v>2.0503130715625337</v>
      </c>
      <c r="N32" s="10">
        <f t="shared" si="5"/>
        <v>8.26</v>
      </c>
      <c r="O32" s="10">
        <f t="shared" si="6"/>
        <v>0.31900000000000001</v>
      </c>
      <c r="P32" s="10">
        <f t="shared" si="7"/>
        <v>10.386056597576909</v>
      </c>
      <c r="Q32" s="42">
        <f t="shared" si="25"/>
        <v>3.8206732307621274E-3</v>
      </c>
      <c r="R32" s="4">
        <f t="shared" si="8"/>
        <v>100164.22446537201</v>
      </c>
      <c r="S32">
        <f t="shared" si="9"/>
        <v>1.0016422446537202E-4</v>
      </c>
      <c r="T32" s="41">
        <f t="shared" si="10"/>
        <v>7.9640147576511819E-5</v>
      </c>
      <c r="U32" s="42">
        <f t="shared" si="11"/>
        <v>0.17974970901433332</v>
      </c>
      <c r="V32" s="42">
        <f t="shared" si="26"/>
        <v>0.33159138532682808</v>
      </c>
      <c r="W32" s="42">
        <f t="shared" si="27"/>
        <v>0.17694477889509044</v>
      </c>
      <c r="X32" s="42">
        <f t="shared" si="12"/>
        <v>0.15464660643173764</v>
      </c>
      <c r="Y32" s="42">
        <f t="shared" si="29"/>
        <v>5.783798404286471E-4</v>
      </c>
      <c r="Z32" s="10">
        <f t="shared" si="13"/>
        <v>7.2624154779847245</v>
      </c>
      <c r="AA32">
        <f t="shared" si="14"/>
        <v>2448940.6523559927</v>
      </c>
      <c r="AB32" s="10">
        <f t="shared" si="15"/>
        <v>2.4489406523559927</v>
      </c>
      <c r="AC32" s="10">
        <f t="shared" si="16"/>
        <v>2.3479406523559927</v>
      </c>
      <c r="AD32" s="3">
        <f t="shared" si="17"/>
        <v>340.52801339463275</v>
      </c>
      <c r="AI32" s="94">
        <f t="shared" si="28"/>
        <v>0.17694477889509044</v>
      </c>
    </row>
    <row r="33" spans="2:35">
      <c r="B33" s="39">
        <f t="shared" si="18"/>
        <v>5</v>
      </c>
      <c r="C33" s="42">
        <f t="shared" si="19"/>
        <v>3.3213429256560123E-2</v>
      </c>
      <c r="D33" s="10">
        <f t="shared" si="20"/>
        <v>5.5067865707434347</v>
      </c>
      <c r="E33" s="40">
        <f t="shared" si="21"/>
        <v>20.066426858513129</v>
      </c>
      <c r="F33" s="40">
        <f t="shared" si="22"/>
        <v>31.08</v>
      </c>
      <c r="G33" s="3">
        <f t="shared" si="23"/>
        <v>226.13429256594756</v>
      </c>
      <c r="H33" s="3">
        <f t="shared" si="0"/>
        <v>81.256230789298584</v>
      </c>
      <c r="I33">
        <f t="shared" si="1"/>
        <v>8.1256230789298584E-5</v>
      </c>
      <c r="J33" s="4">
        <f t="shared" si="2"/>
        <v>316.24959225705777</v>
      </c>
      <c r="K33" s="40">
        <f t="shared" si="3"/>
        <v>3.8920042092169962</v>
      </c>
      <c r="L33" s="40">
        <f t="shared" si="4"/>
        <v>2.1079957907830038</v>
      </c>
      <c r="M33" s="10">
        <f t="shared" si="24"/>
        <v>2.4489406523559927</v>
      </c>
      <c r="N33" s="10">
        <f t="shared" si="5"/>
        <v>8.26</v>
      </c>
      <c r="O33" s="10">
        <f t="shared" si="6"/>
        <v>0.31900000000000001</v>
      </c>
      <c r="P33" s="10">
        <f t="shared" si="7"/>
        <v>10.991680914245853</v>
      </c>
      <c r="Q33" s="42">
        <f t="shared" si="25"/>
        <v>4.425010811441232E-3</v>
      </c>
      <c r="R33" s="4">
        <f t="shared" si="8"/>
        <v>100046.02712564221</v>
      </c>
      <c r="S33">
        <f t="shared" si="9"/>
        <v>1.0004602712564221E-4</v>
      </c>
      <c r="T33" s="41">
        <f t="shared" si="10"/>
        <v>7.9758344916241623E-5</v>
      </c>
      <c r="U33" s="42">
        <f t="shared" si="11"/>
        <v>0.17953759797832122</v>
      </c>
      <c r="V33" s="42">
        <f t="shared" si="26"/>
        <v>0.35098104568268645</v>
      </c>
      <c r="W33" s="42">
        <f t="shared" si="27"/>
        <v>0.21312935600278085</v>
      </c>
      <c r="X33" s="42">
        <f t="shared" si="12"/>
        <v>0.1378516896799056</v>
      </c>
      <c r="Y33" s="42">
        <f t="shared" si="29"/>
        <v>6.6168879706232793E-4</v>
      </c>
      <c r="Z33" s="10">
        <f t="shared" si="13"/>
        <v>8.2961701093120936</v>
      </c>
      <c r="AA33">
        <f t="shared" si="14"/>
        <v>2783153.7706790362</v>
      </c>
      <c r="AB33" s="10">
        <f t="shared" si="15"/>
        <v>2.7831537706790361</v>
      </c>
      <c r="AC33" s="10">
        <f t="shared" si="16"/>
        <v>2.6821537706790362</v>
      </c>
      <c r="AD33" s="3">
        <f t="shared" si="17"/>
        <v>388.9998217083446</v>
      </c>
      <c r="AI33" s="94">
        <f t="shared" si="28"/>
        <v>0.21312935600278085</v>
      </c>
    </row>
    <row r="34" spans="2:35">
      <c r="B34" s="39">
        <f t="shared" si="18"/>
        <v>6</v>
      </c>
      <c r="C34" s="42">
        <f t="shared" si="19"/>
        <v>3.9856115107872146E-2</v>
      </c>
      <c r="D34" s="10">
        <f t="shared" si="20"/>
        <v>5.5001438848921218</v>
      </c>
      <c r="E34" s="40">
        <f t="shared" si="21"/>
        <v>20.079712230215755</v>
      </c>
      <c r="F34" s="40">
        <f t="shared" si="22"/>
        <v>31.08</v>
      </c>
      <c r="G34" s="3">
        <f t="shared" si="23"/>
        <v>226.08115107913707</v>
      </c>
      <c r="H34" s="3">
        <f t="shared" si="0"/>
        <v>81.256230789298584</v>
      </c>
      <c r="I34">
        <f t="shared" si="1"/>
        <v>8.1256230789298584E-5</v>
      </c>
      <c r="J34" s="4">
        <f t="shared" si="2"/>
        <v>316.66848937851813</v>
      </c>
      <c r="K34" s="40">
        <f t="shared" si="3"/>
        <v>3.8971594707568351</v>
      </c>
      <c r="L34" s="40">
        <f t="shared" si="4"/>
        <v>2.1028405292431649</v>
      </c>
      <c r="M34" s="10">
        <f t="shared" si="24"/>
        <v>2.7831537706790361</v>
      </c>
      <c r="N34" s="10">
        <f t="shared" si="5"/>
        <v>8.26</v>
      </c>
      <c r="O34" s="10">
        <f t="shared" si="6"/>
        <v>0.31900000000000001</v>
      </c>
      <c r="P34" s="10">
        <f t="shared" si="7"/>
        <v>11.449523550970527</v>
      </c>
      <c r="Q34" s="41">
        <f t="shared" si="25"/>
        <v>5.0051821890309094E-3</v>
      </c>
      <c r="R34" s="4">
        <f t="shared" si="8"/>
        <v>99927.811597692897</v>
      </c>
      <c r="S34">
        <f t="shared" si="9"/>
        <v>9.9927811597692894E-5</v>
      </c>
      <c r="T34" s="41">
        <f t="shared" si="10"/>
        <v>7.9876560444190939E-5</v>
      </c>
      <c r="U34" s="42">
        <f t="shared" si="11"/>
        <v>0.1793254543026398</v>
      </c>
      <c r="V34" s="42">
        <f t="shared" si="26"/>
        <v>0.36565691427725472</v>
      </c>
      <c r="W34" s="42">
        <f t="shared" si="27"/>
        <v>0.24346684626446893</v>
      </c>
      <c r="X34" s="42">
        <f t="shared" si="12"/>
        <v>0.12219006801278579</v>
      </c>
      <c r="Y34" s="42">
        <f t="shared" si="29"/>
        <v>7.3257997714908226E-4</v>
      </c>
      <c r="Z34" s="10">
        <f t="shared" si="13"/>
        <v>9.1714011353922729</v>
      </c>
      <c r="AA34">
        <f t="shared" si="14"/>
        <v>3066116.1696999124</v>
      </c>
      <c r="AB34" s="10">
        <f t="shared" si="15"/>
        <v>3.0661161696999124</v>
      </c>
      <c r="AC34" s="10">
        <f t="shared" si="16"/>
        <v>2.9651161696999124</v>
      </c>
      <c r="AD34" s="3">
        <f t="shared" si="17"/>
        <v>430.03860329222806</v>
      </c>
      <c r="AI34" s="94">
        <f t="shared" si="28"/>
        <v>0.24346684626446893</v>
      </c>
    </row>
    <row r="35" spans="2:35">
      <c r="B35" s="39">
        <f t="shared" si="18"/>
        <v>7</v>
      </c>
      <c r="C35" s="42">
        <f t="shared" si="19"/>
        <v>4.6498800959184169E-2</v>
      </c>
      <c r="D35" s="10">
        <f t="shared" si="20"/>
        <v>5.4935011990408089</v>
      </c>
      <c r="E35" s="40">
        <f t="shared" si="21"/>
        <v>20.09299760191838</v>
      </c>
      <c r="F35" s="40">
        <f t="shared" si="22"/>
        <v>31.08</v>
      </c>
      <c r="G35" s="3">
        <f t="shared" si="23"/>
        <v>226.02800959232658</v>
      </c>
      <c r="H35" s="3">
        <f t="shared" si="0"/>
        <v>81.256230789298584</v>
      </c>
      <c r="I35">
        <f t="shared" si="1"/>
        <v>8.1256230789298584E-5</v>
      </c>
      <c r="J35" s="4">
        <f t="shared" si="2"/>
        <v>317.08766374726008</v>
      </c>
      <c r="K35" s="40">
        <f t="shared" si="3"/>
        <v>3.9023181443092536</v>
      </c>
      <c r="L35" s="40">
        <f t="shared" si="4"/>
        <v>2.0976818556907464</v>
      </c>
      <c r="M35" s="10">
        <f t="shared" si="24"/>
        <v>3.0661161696999124</v>
      </c>
      <c r="N35" s="10">
        <f t="shared" si="5"/>
        <v>8.26</v>
      </c>
      <c r="O35" s="10">
        <f t="shared" si="6"/>
        <v>0.31900000000000001</v>
      </c>
      <c r="P35" s="10">
        <f t="shared" si="7"/>
        <v>11.808692467531293</v>
      </c>
      <c r="Q35" s="41">
        <f t="shared" si="25"/>
        <v>5.5677072839621635E-3</v>
      </c>
      <c r="R35" s="4">
        <f t="shared" si="8"/>
        <v>99809.577925724079</v>
      </c>
      <c r="S35">
        <f t="shared" si="9"/>
        <v>9.9809577925724074E-5</v>
      </c>
      <c r="T35" s="41">
        <f t="shared" si="10"/>
        <v>7.9994794116159759E-5</v>
      </c>
      <c r="U35" s="42">
        <f t="shared" si="11"/>
        <v>0.17911327806660812</v>
      </c>
      <c r="V35" s="42">
        <f t="shared" si="26"/>
        <v>0.37718536993910418</v>
      </c>
      <c r="W35" s="42">
        <f t="shared" si="27"/>
        <v>0.2691521606764013</v>
      </c>
      <c r="X35" s="42">
        <f t="shared" si="12"/>
        <v>0.10803320926270288</v>
      </c>
      <c r="Y35" s="42">
        <f t="shared" si="29"/>
        <v>7.9335136844531221E-4</v>
      </c>
      <c r="Z35" s="10">
        <f t="shared" si="13"/>
        <v>9.9175374749173475</v>
      </c>
      <c r="AA35">
        <f t="shared" si="14"/>
        <v>3307342.2258353224</v>
      </c>
      <c r="AB35" s="10">
        <f t="shared" si="15"/>
        <v>3.3073422258353222</v>
      </c>
      <c r="AC35" s="10">
        <f t="shared" si="16"/>
        <v>3.2063422258353222</v>
      </c>
      <c r="AD35" s="3">
        <f t="shared" si="17"/>
        <v>465.02425320309243</v>
      </c>
      <c r="AI35" s="94">
        <f t="shared" si="28"/>
        <v>0.2691521606764013</v>
      </c>
    </row>
    <row r="36" spans="2:35">
      <c r="B36" s="39">
        <f t="shared" si="18"/>
        <v>8</v>
      </c>
      <c r="C36" s="42">
        <f t="shared" si="19"/>
        <v>5.3141486810496193E-2</v>
      </c>
      <c r="D36" s="10">
        <f t="shared" si="20"/>
        <v>5.486858513189496</v>
      </c>
      <c r="E36" s="40">
        <f t="shared" si="21"/>
        <v>20.106282973621006</v>
      </c>
      <c r="F36" s="40">
        <f t="shared" si="22"/>
        <v>31.08</v>
      </c>
      <c r="G36" s="3">
        <f t="shared" si="23"/>
        <v>225.97486810551609</v>
      </c>
      <c r="H36" s="3">
        <f t="shared" si="0"/>
        <v>81.256230789298584</v>
      </c>
      <c r="I36">
        <f t="shared" si="1"/>
        <v>8.1256230789298584E-5</v>
      </c>
      <c r="J36" s="4">
        <f t="shared" si="2"/>
        <v>317.50711536328362</v>
      </c>
      <c r="K36" s="40">
        <f t="shared" si="3"/>
        <v>3.9074802298742508</v>
      </c>
      <c r="L36" s="40">
        <f t="shared" si="4"/>
        <v>2.0925197701257492</v>
      </c>
      <c r="M36" s="10">
        <f t="shared" si="24"/>
        <v>3.3073422258353222</v>
      </c>
      <c r="N36" s="10">
        <f t="shared" si="5"/>
        <v>8.26</v>
      </c>
      <c r="O36" s="10">
        <f t="shared" si="6"/>
        <v>0.31900000000000001</v>
      </c>
      <c r="P36" s="10">
        <f t="shared" si="7"/>
        <v>12.097451554341385</v>
      </c>
      <c r="Q36" s="42">
        <f t="shared" si="25"/>
        <v>6.1168052341769906E-3</v>
      </c>
      <c r="R36" s="4">
        <f t="shared" si="8"/>
        <v>99691.326153935734</v>
      </c>
      <c r="S36">
        <f t="shared" si="9"/>
        <v>9.9691326153935732E-5</v>
      </c>
      <c r="T36" s="41">
        <f t="shared" si="10"/>
        <v>8.0113045887948101E-5</v>
      </c>
      <c r="U36" s="42">
        <f t="shared" si="11"/>
        <v>0.17890106934954533</v>
      </c>
      <c r="V36" s="42">
        <f t="shared" si="26"/>
        <v>0.38646787331798593</v>
      </c>
      <c r="W36" s="42">
        <f t="shared" si="27"/>
        <v>0.29104894667209585</v>
      </c>
      <c r="X36" s="42">
        <f t="shared" si="12"/>
        <v>9.5418926645890079E-2</v>
      </c>
      <c r="Y36" s="42">
        <f t="shared" si="29"/>
        <v>8.457457054782694E-4</v>
      </c>
      <c r="Z36" s="10">
        <f t="shared" si="13"/>
        <v>10.556903636658509</v>
      </c>
      <c r="AA36">
        <f t="shared" si="14"/>
        <v>3514049.4580838224</v>
      </c>
      <c r="AB36" s="10">
        <f t="shared" si="15"/>
        <v>3.5140494580838224</v>
      </c>
      <c r="AC36" s="10">
        <f t="shared" si="16"/>
        <v>3.4130494580838224</v>
      </c>
      <c r="AD36" s="3">
        <f t="shared" si="17"/>
        <v>495.00354722027879</v>
      </c>
      <c r="AI36" s="94">
        <f t="shared" si="28"/>
        <v>0.29104894667209585</v>
      </c>
    </row>
    <row r="37" spans="2:35">
      <c r="B37" s="39">
        <f t="shared" si="18"/>
        <v>9</v>
      </c>
      <c r="C37" s="42">
        <f t="shared" si="19"/>
        <v>5.9784172661808216E-2</v>
      </c>
      <c r="D37" s="10">
        <f t="shared" si="20"/>
        <v>5.4802158273381831</v>
      </c>
      <c r="E37" s="40">
        <f t="shared" si="21"/>
        <v>20.119568345323632</v>
      </c>
      <c r="F37" s="40">
        <f t="shared" si="22"/>
        <v>31.08</v>
      </c>
      <c r="G37" s="3">
        <f t="shared" si="23"/>
        <v>225.92172661870561</v>
      </c>
      <c r="H37" s="3">
        <f t="shared" si="0"/>
        <v>81.256230789298584</v>
      </c>
      <c r="I37">
        <f t="shared" si="1"/>
        <v>8.1256230789298584E-5</v>
      </c>
      <c r="J37" s="4">
        <f t="shared" si="2"/>
        <v>317.92684422658863</v>
      </c>
      <c r="K37" s="40">
        <f t="shared" si="3"/>
        <v>3.9126457274518263</v>
      </c>
      <c r="L37" s="40">
        <f t="shared" si="4"/>
        <v>2.0873542725481737</v>
      </c>
      <c r="M37" s="10">
        <f t="shared" si="24"/>
        <v>3.5140494580838224</v>
      </c>
      <c r="N37" s="10">
        <f t="shared" si="5"/>
        <v>8.26</v>
      </c>
      <c r="O37" s="10">
        <f t="shared" si="6"/>
        <v>0.31900000000000001</v>
      </c>
      <c r="P37" s="10">
        <f t="shared" si="7"/>
        <v>12.333682310579483</v>
      </c>
      <c r="Q37" s="42">
        <f t="shared" si="25"/>
        <v>6.655386144892853E-3</v>
      </c>
      <c r="R37" s="4">
        <f t="shared" si="8"/>
        <v>99573.056326527905</v>
      </c>
      <c r="S37">
        <f t="shared" si="9"/>
        <v>9.9573056326527905E-5</v>
      </c>
      <c r="T37" s="41">
        <f t="shared" si="10"/>
        <v>8.0231315715355929E-5</v>
      </c>
      <c r="U37" s="42">
        <f t="shared" si="11"/>
        <v>0.17868882823077062</v>
      </c>
      <c r="V37" s="42">
        <f t="shared" si="26"/>
        <v>0.3940747147770442</v>
      </c>
      <c r="W37" s="42">
        <f t="shared" si="27"/>
        <v>0.30981235930181183</v>
      </c>
      <c r="X37" s="42">
        <f t="shared" si="12"/>
        <v>8.4262355475232364E-2</v>
      </c>
      <c r="Y37" s="42">
        <f t="shared" si="29"/>
        <v>8.9112780162918374E-4</v>
      </c>
      <c r="Z37" s="10">
        <f t="shared" si="13"/>
        <v>11.106982275982116</v>
      </c>
      <c r="AA37">
        <f t="shared" si="14"/>
        <v>3691890.013085912</v>
      </c>
      <c r="AB37" s="10">
        <f t="shared" si="15"/>
        <v>3.6918900130859118</v>
      </c>
      <c r="AC37" s="10">
        <f t="shared" si="16"/>
        <v>3.5908900130859118</v>
      </c>
      <c r="AD37" s="3">
        <f t="shared" si="17"/>
        <v>520.79623104944335</v>
      </c>
      <c r="AI37" s="94">
        <f t="shared" si="28"/>
        <v>0.30981235930181183</v>
      </c>
    </row>
    <row r="38" spans="2:35">
      <c r="B38" s="39">
        <f t="shared" si="18"/>
        <v>10</v>
      </c>
      <c r="C38" s="42">
        <f t="shared" si="19"/>
        <v>6.6426858513120246E-2</v>
      </c>
      <c r="D38" s="10">
        <f t="shared" si="20"/>
        <v>5.4735731414868702</v>
      </c>
      <c r="E38" s="40">
        <f t="shared" si="21"/>
        <v>20.132853717026258</v>
      </c>
      <c r="F38" s="40">
        <f t="shared" si="22"/>
        <v>31.08</v>
      </c>
      <c r="G38" s="3">
        <f t="shared" si="23"/>
        <v>225.86858513189512</v>
      </c>
      <c r="H38" s="3">
        <f t="shared" si="0"/>
        <v>81.256230789298584</v>
      </c>
      <c r="I38">
        <f t="shared" si="1"/>
        <v>8.1256230789298584E-5</v>
      </c>
      <c r="J38" s="4">
        <f t="shared" si="2"/>
        <v>318.34685033717523</v>
      </c>
      <c r="K38" s="40">
        <f t="shared" si="3"/>
        <v>3.9178146370419804</v>
      </c>
      <c r="L38" s="40">
        <f t="shared" si="4"/>
        <v>2.0821853629580196</v>
      </c>
      <c r="M38" s="10">
        <f t="shared" si="24"/>
        <v>3.6918900130859118</v>
      </c>
      <c r="N38" s="10">
        <f t="shared" si="5"/>
        <v>8.26</v>
      </c>
      <c r="O38" s="10">
        <f t="shared" si="6"/>
        <v>0.31900000000000001</v>
      </c>
      <c r="P38" s="10">
        <f t="shared" si="7"/>
        <v>12.529461325436452</v>
      </c>
      <c r="Q38" s="42">
        <f t="shared" si="25"/>
        <v>7.1855514631596886E-3</v>
      </c>
      <c r="R38" s="4">
        <f t="shared" si="8"/>
        <v>99454.768487700552</v>
      </c>
      <c r="S38">
        <f t="shared" si="9"/>
        <v>9.9454768487700559E-5</v>
      </c>
      <c r="T38" s="41">
        <f t="shared" si="10"/>
        <v>8.0349603554183275E-5</v>
      </c>
      <c r="U38" s="42">
        <f t="shared" si="11"/>
        <v>0.17847655478960303</v>
      </c>
      <c r="V38" s="42">
        <f t="shared" si="26"/>
        <v>0.40039103625550421</v>
      </c>
      <c r="W38" s="42">
        <f t="shared" si="27"/>
        <v>0.32595546024464844</v>
      </c>
      <c r="X38" s="42">
        <f t="shared" si="12"/>
        <v>7.4435576010855764E-2</v>
      </c>
      <c r="Y38" s="42">
        <f t="shared" si="29"/>
        <v>9.3059096247535432E-4</v>
      </c>
      <c r="Z38" s="10">
        <f t="shared" si="13"/>
        <v>11.581774163301452</v>
      </c>
      <c r="AA38">
        <f t="shared" si="14"/>
        <v>3845390.3432481349</v>
      </c>
      <c r="AB38" s="10">
        <f t="shared" si="15"/>
        <v>3.8453903432481349</v>
      </c>
      <c r="AC38" s="10">
        <f t="shared" si="16"/>
        <v>3.7443903432481349</v>
      </c>
      <c r="AD38" s="3">
        <f t="shared" si="17"/>
        <v>543.05878799827917</v>
      </c>
      <c r="AI38" s="94">
        <f t="shared" si="28"/>
        <v>0.32595546024464844</v>
      </c>
    </row>
    <row r="39" spans="2:35">
      <c r="B39" s="39">
        <f t="shared" si="18"/>
        <v>11</v>
      </c>
      <c r="C39" s="42">
        <f t="shared" si="19"/>
        <v>7.3069544364432276E-2</v>
      </c>
      <c r="D39" s="10">
        <f t="shared" si="20"/>
        <v>5.4669304556355574</v>
      </c>
      <c r="E39" s="40">
        <f t="shared" si="21"/>
        <v>20.146139088728884</v>
      </c>
      <c r="F39" s="40">
        <f t="shared" si="22"/>
        <v>31.08</v>
      </c>
      <c r="G39" s="3">
        <f t="shared" si="23"/>
        <v>225.81544364508463</v>
      </c>
      <c r="H39" s="3">
        <f t="shared" si="0"/>
        <v>81.256230789298584</v>
      </c>
      <c r="I39">
        <f t="shared" si="1"/>
        <v>8.1256230789298584E-5</v>
      </c>
      <c r="J39" s="4">
        <f t="shared" si="2"/>
        <v>318.76713369504347</v>
      </c>
      <c r="K39" s="40">
        <f t="shared" si="3"/>
        <v>3.9229869586447146</v>
      </c>
      <c r="L39" s="40">
        <f t="shared" si="4"/>
        <v>2.0770130413552854</v>
      </c>
      <c r="M39" s="10">
        <f t="shared" si="24"/>
        <v>3.8453903432481349</v>
      </c>
      <c r="N39" s="10">
        <f t="shared" si="5"/>
        <v>8.26</v>
      </c>
      <c r="O39" s="10">
        <f t="shared" si="6"/>
        <v>0.31900000000000001</v>
      </c>
      <c r="P39" s="10">
        <f t="shared" si="7"/>
        <v>12.693343853090122</v>
      </c>
      <c r="Q39" s="42">
        <f t="shared" si="25"/>
        <v>7.7088718685779109E-3</v>
      </c>
      <c r="R39" s="4">
        <f t="shared" si="8"/>
        <v>99336.462681653677</v>
      </c>
      <c r="S39">
        <f t="shared" si="9"/>
        <v>9.9336462681653677E-5</v>
      </c>
      <c r="T39" s="41">
        <f t="shared" si="10"/>
        <v>8.0467909360230157E-5</v>
      </c>
      <c r="U39" s="42">
        <f t="shared" si="11"/>
        <v>0.17826424910536159</v>
      </c>
      <c r="V39" s="42">
        <f t="shared" si="26"/>
        <v>0.40568967317788573</v>
      </c>
      <c r="W39" s="42">
        <f t="shared" si="27"/>
        <v>0.33988912866205978</v>
      </c>
      <c r="X39" s="42">
        <f t="shared" si="12"/>
        <v>6.5800544515825954E-2</v>
      </c>
      <c r="Y39" s="42">
        <f t="shared" si="29"/>
        <v>9.6502573010811611E-4</v>
      </c>
      <c r="Z39" s="10">
        <f t="shared" si="13"/>
        <v>11.992678047443631</v>
      </c>
      <c r="AA39">
        <f t="shared" si="14"/>
        <v>3978235.6667789943</v>
      </c>
      <c r="AB39" s="10">
        <f t="shared" si="15"/>
        <v>3.9782356667789944</v>
      </c>
      <c r="AC39" s="10">
        <f t="shared" si="16"/>
        <v>3.8772356667789944</v>
      </c>
      <c r="AD39" s="3">
        <f t="shared" si="17"/>
        <v>562.32569496432109</v>
      </c>
      <c r="AI39" s="94">
        <f t="shared" si="28"/>
        <v>0.33988912866205978</v>
      </c>
    </row>
    <row r="40" spans="2:35">
      <c r="B40" s="39">
        <f t="shared" ref="B40:B103" si="30">1+B39</f>
        <v>12</v>
      </c>
      <c r="C40" s="42">
        <f t="shared" ref="C40:C103" si="31">xincp+C39</f>
        <v>7.9712230215744306E-2</v>
      </c>
      <c r="D40" s="10">
        <f t="shared" ref="D40:D103" si="32">(F40-E40)/2</f>
        <v>5.4602877697842445</v>
      </c>
      <c r="E40" s="40">
        <f t="shared" ref="E40:E103" si="33">E39+ci*2*xincp</f>
        <v>20.159424460431509</v>
      </c>
      <c r="F40" s="40">
        <f t="shared" ref="F40:F103" si="34">F39-osi*2*xincp</f>
        <v>31.08</v>
      </c>
      <c r="G40" s="3">
        <f t="shared" ref="G40:G103" si="35">G39-ei*n*2*xincp</f>
        <v>225.76230215827414</v>
      </c>
      <c r="H40" s="3">
        <f t="shared" ref="H40:H103" si="36">PI()/4*(dto+erate*(two-D40)/two)^2</f>
        <v>81.256230789298584</v>
      </c>
      <c r="I40">
        <f t="shared" si="1"/>
        <v>8.1256230789298584E-5</v>
      </c>
      <c r="J40" s="4">
        <f t="shared" ref="J40:J103" si="37">PI()/4*dc^2-PI()/4*(F40^2-E40^2)</f>
        <v>319.18769430019319</v>
      </c>
      <c r="K40" s="40">
        <f t="shared" ref="K40:K103" si="38">J40/H40</f>
        <v>3.9281626922600266</v>
      </c>
      <c r="L40" s="40">
        <f t="shared" si="4"/>
        <v>2.0718373077399734</v>
      </c>
      <c r="M40" s="10">
        <f t="shared" ref="M40:M103" si="39">AB39</f>
        <v>3.9782356667789944</v>
      </c>
      <c r="N40" s="10">
        <f t="shared" si="5"/>
        <v>8.26</v>
      </c>
      <c r="O40" s="10">
        <f t="shared" si="6"/>
        <v>0.31900000000000001</v>
      </c>
      <c r="P40" s="10">
        <f t="shared" ref="P40:P103" si="40">(1+kv*L40)*N40*M40^O40</f>
        <v>12.831614953044571</v>
      </c>
      <c r="Q40" s="42">
        <f t="shared" ref="Q40:Q103" si="41">xincp/P40+Q39</f>
        <v>8.2265530704858526E-3</v>
      </c>
      <c r="R40" s="4">
        <f t="shared" ref="R40:R103" si="42">PI()/4*(F40^2-E40^2)*G40</f>
        <v>99218.138952587295</v>
      </c>
      <c r="S40">
        <f t="shared" si="9"/>
        <v>9.9218138952587295E-5</v>
      </c>
      <c r="T40" s="41">
        <f t="shared" si="10"/>
        <v>8.0586233089296539E-5</v>
      </c>
      <c r="U40" s="42">
        <f t="shared" ref="U40:U103" si="43">rhopgrain*R40/1000^2</f>
        <v>0.17805191125736552</v>
      </c>
      <c r="V40" s="42">
        <f t="shared" ref="V40:V103" si="44">(U39-U40)/(Q40-Q39)</f>
        <v>0.4101710612892388</v>
      </c>
      <c r="W40" s="42">
        <f t="shared" ref="W40:W103" si="45">IF(V40&lt;AI40,IF(AB39&gt;pbd,AI40,0),AI40)</f>
        <v>0.35194788245709407</v>
      </c>
      <c r="X40" s="42">
        <f t="shared" ref="X40:X103" si="46">V40-W40</f>
        <v>5.8223178832144729E-2</v>
      </c>
      <c r="Y40" s="42">
        <f t="shared" si="29"/>
        <v>9.9516677530484183E-4</v>
      </c>
      <c r="Z40" s="10">
        <f t="shared" ref="Z40:Z103" si="47">Y40/T40</f>
        <v>12.349091614719237</v>
      </c>
      <c r="AA40">
        <f t="shared" si="14"/>
        <v>4093464.2578991796</v>
      </c>
      <c r="AB40" s="10">
        <f t="shared" si="15"/>
        <v>4.0934642578991793</v>
      </c>
      <c r="AC40" s="10">
        <f t="shared" si="16"/>
        <v>3.9924642578991794</v>
      </c>
      <c r="AD40" s="3">
        <f t="shared" si="17"/>
        <v>579.0376008555736</v>
      </c>
      <c r="AI40" s="94">
        <f t="shared" si="28"/>
        <v>0.35194788245709407</v>
      </c>
    </row>
    <row r="41" spans="2:35">
      <c r="B41" s="39">
        <f t="shared" si="30"/>
        <v>13</v>
      </c>
      <c r="C41" s="42">
        <f t="shared" si="31"/>
        <v>8.6354916067056336E-2</v>
      </c>
      <c r="D41" s="10">
        <f t="shared" si="32"/>
        <v>5.4536450839329316</v>
      </c>
      <c r="E41" s="40">
        <f t="shared" si="33"/>
        <v>20.172709832134135</v>
      </c>
      <c r="F41" s="40">
        <f t="shared" si="34"/>
        <v>31.08</v>
      </c>
      <c r="G41" s="3">
        <f t="shared" si="35"/>
        <v>225.70916067146365</v>
      </c>
      <c r="H41" s="3">
        <f t="shared" si="36"/>
        <v>81.256230789298584</v>
      </c>
      <c r="I41">
        <f t="shared" si="1"/>
        <v>8.1256230789298584E-5</v>
      </c>
      <c r="J41" s="4">
        <f t="shared" si="37"/>
        <v>319.60853215262443</v>
      </c>
      <c r="K41" s="40">
        <f t="shared" si="38"/>
        <v>3.9333418378879168</v>
      </c>
      <c r="L41" s="40">
        <f t="shared" si="4"/>
        <v>2.0666581621120832</v>
      </c>
      <c r="M41" s="10">
        <f t="shared" si="39"/>
        <v>4.0934642578991793</v>
      </c>
      <c r="N41" s="10">
        <f t="shared" si="5"/>
        <v>8.26</v>
      </c>
      <c r="O41" s="10">
        <f t="shared" si="6"/>
        <v>0.31900000000000001</v>
      </c>
      <c r="P41" s="10">
        <f t="shared" si="40"/>
        <v>12.949025233813799</v>
      </c>
      <c r="Q41" s="42">
        <f t="shared" si="41"/>
        <v>8.7395403982088674E-3</v>
      </c>
      <c r="R41" s="4">
        <f t="shared" si="42"/>
        <v>99099.797344701423</v>
      </c>
      <c r="S41">
        <f t="shared" si="9"/>
        <v>9.9099797344701421E-5</v>
      </c>
      <c r="T41" s="41">
        <f t="shared" si="10"/>
        <v>8.0704574697182413E-5</v>
      </c>
      <c r="U41" s="42">
        <f t="shared" si="43"/>
        <v>0.17783954132493393</v>
      </c>
      <c r="V41" s="42">
        <f t="shared" si="44"/>
        <v>0.41398670289622114</v>
      </c>
      <c r="W41" s="42">
        <f t="shared" si="45"/>
        <v>0.36240751455806314</v>
      </c>
      <c r="X41" s="42">
        <f t="shared" si="46"/>
        <v>5.1579188338158E-2</v>
      </c>
      <c r="Y41" s="42">
        <f t="shared" si="29"/>
        <v>1.0216262452965555E-3</v>
      </c>
      <c r="Z41" s="10">
        <f t="shared" si="47"/>
        <v>12.658839342501645</v>
      </c>
      <c r="AA41">
        <f t="shared" si="14"/>
        <v>4193605.7720055897</v>
      </c>
      <c r="AB41" s="10">
        <f t="shared" si="15"/>
        <v>4.1936057720055899</v>
      </c>
      <c r="AC41" s="10">
        <f t="shared" si="16"/>
        <v>4.0926057720055899</v>
      </c>
      <c r="AD41" s="3">
        <f t="shared" si="17"/>
        <v>593.56138825316748</v>
      </c>
      <c r="AI41" s="94">
        <f t="shared" si="28"/>
        <v>0.36240751455806314</v>
      </c>
    </row>
    <row r="42" spans="2:35">
      <c r="B42" s="39">
        <f t="shared" si="30"/>
        <v>14</v>
      </c>
      <c r="C42" s="42">
        <f t="shared" si="31"/>
        <v>9.2997601918368367E-2</v>
      </c>
      <c r="D42" s="10">
        <f t="shared" si="32"/>
        <v>5.4470023980816187</v>
      </c>
      <c r="E42" s="40">
        <f t="shared" si="33"/>
        <v>20.185995203836761</v>
      </c>
      <c r="F42" s="40">
        <f t="shared" si="34"/>
        <v>31.08</v>
      </c>
      <c r="G42" s="3">
        <f t="shared" si="35"/>
        <v>225.65601918465316</v>
      </c>
      <c r="H42" s="3">
        <f t="shared" si="36"/>
        <v>81.256230789298584</v>
      </c>
      <c r="I42">
        <f t="shared" si="1"/>
        <v>8.1256230789298584E-5</v>
      </c>
      <c r="J42" s="4">
        <f t="shared" si="37"/>
        <v>320.02964725233733</v>
      </c>
      <c r="K42" s="40">
        <f t="shared" si="38"/>
        <v>3.9385243955283871</v>
      </c>
      <c r="L42" s="40">
        <f t="shared" si="4"/>
        <v>2.0614756044716129</v>
      </c>
      <c r="M42" s="10">
        <f t="shared" si="39"/>
        <v>4.1936057720055899</v>
      </c>
      <c r="N42" s="10">
        <f t="shared" si="5"/>
        <v>8.26</v>
      </c>
      <c r="O42" s="10">
        <f t="shared" si="6"/>
        <v>0.31900000000000001</v>
      </c>
      <c r="P42" s="10">
        <f t="shared" si="40"/>
        <v>13.049248216698258</v>
      </c>
      <c r="Q42" s="42">
        <f t="shared" si="41"/>
        <v>9.2485877962660071E-3</v>
      </c>
      <c r="R42" s="4">
        <f t="shared" si="42"/>
        <v>98981.43790219599</v>
      </c>
      <c r="S42">
        <f t="shared" si="9"/>
        <v>9.8981437902195997E-5</v>
      </c>
      <c r="T42" s="41">
        <f t="shared" si="10"/>
        <v>8.0822934139687837E-5</v>
      </c>
      <c r="U42" s="42">
        <f t="shared" si="43"/>
        <v>0.17762713938738581</v>
      </c>
      <c r="V42" s="42">
        <f t="shared" si="44"/>
        <v>0.41725375349876886</v>
      </c>
      <c r="W42" s="42">
        <f t="shared" si="45"/>
        <v>0.3714976490932892</v>
      </c>
      <c r="X42" s="42">
        <f t="shared" si="46"/>
        <v>4.575610440547967E-2</v>
      </c>
      <c r="Y42" s="42">
        <f t="shared" si="29"/>
        <v>1.0449182711893957E-3</v>
      </c>
      <c r="Z42" s="10">
        <f t="shared" si="47"/>
        <v>12.92848722100887</v>
      </c>
      <c r="AA42">
        <f t="shared" si="14"/>
        <v>4280782.9952982934</v>
      </c>
      <c r="AB42" s="10">
        <f t="shared" si="15"/>
        <v>4.280782995298293</v>
      </c>
      <c r="AC42" s="10">
        <f t="shared" si="16"/>
        <v>4.179782995298293</v>
      </c>
      <c r="AD42" s="3">
        <f t="shared" si="17"/>
        <v>606.2049304275987</v>
      </c>
      <c r="AI42" s="94">
        <f t="shared" si="28"/>
        <v>0.3714976490932892</v>
      </c>
    </row>
    <row r="43" spans="2:35">
      <c r="B43" s="39">
        <f t="shared" si="30"/>
        <v>15</v>
      </c>
      <c r="C43" s="42">
        <f t="shared" si="31"/>
        <v>9.9640287769680397E-2</v>
      </c>
      <c r="D43" s="10">
        <f t="shared" si="32"/>
        <v>5.4403597122303058</v>
      </c>
      <c r="E43" s="40">
        <f t="shared" si="33"/>
        <v>20.199280575539387</v>
      </c>
      <c r="F43" s="40">
        <f t="shared" si="34"/>
        <v>31.08</v>
      </c>
      <c r="G43" s="3">
        <f t="shared" si="35"/>
        <v>225.60287769784267</v>
      </c>
      <c r="H43" s="3">
        <f t="shared" si="36"/>
        <v>81.256230789298584</v>
      </c>
      <c r="I43">
        <f t="shared" si="1"/>
        <v>8.1256230789298584E-5</v>
      </c>
      <c r="J43" s="4">
        <f t="shared" si="37"/>
        <v>320.45103959933181</v>
      </c>
      <c r="K43" s="40">
        <f t="shared" si="38"/>
        <v>3.9437103651814365</v>
      </c>
      <c r="L43" s="40">
        <f t="shared" si="4"/>
        <v>2.0562896348185635</v>
      </c>
      <c r="M43" s="10">
        <f t="shared" si="39"/>
        <v>4.280782995298293</v>
      </c>
      <c r="N43" s="10">
        <f t="shared" si="5"/>
        <v>8.26</v>
      </c>
      <c r="O43" s="10">
        <f t="shared" si="6"/>
        <v>0.31900000000000001</v>
      </c>
      <c r="P43" s="10">
        <f t="shared" si="40"/>
        <v>13.135177689905506</v>
      </c>
      <c r="Q43" s="42">
        <f t="shared" si="41"/>
        <v>9.7543050395444888E-3</v>
      </c>
      <c r="R43" s="4">
        <f t="shared" si="42"/>
        <v>98863.060669271057</v>
      </c>
      <c r="S43">
        <f t="shared" si="9"/>
        <v>9.8863060669271058E-5</v>
      </c>
      <c r="T43" s="41">
        <f t="shared" si="10"/>
        <v>8.0941311372612776E-5</v>
      </c>
      <c r="U43" s="42">
        <f t="shared" si="43"/>
        <v>0.17741470552404034</v>
      </c>
      <c r="V43" s="42">
        <f t="shared" si="44"/>
        <v>0.42006450475820983</v>
      </c>
      <c r="W43" s="42">
        <f t="shared" si="45"/>
        <v>0.37941097749869024</v>
      </c>
      <c r="X43" s="42">
        <f t="shared" si="46"/>
        <v>4.0653527259519595E-2</v>
      </c>
      <c r="Y43" s="42">
        <f t="shared" si="29"/>
        <v>1.0654774609246266E-3</v>
      </c>
      <c r="Z43" s="10">
        <f t="shared" si="47"/>
        <v>13.163580412228661</v>
      </c>
      <c r="AA43">
        <f t="shared" si="14"/>
        <v>4356788.6799675794</v>
      </c>
      <c r="AB43" s="10">
        <f t="shared" si="15"/>
        <v>4.356788679967579</v>
      </c>
      <c r="AC43" s="10">
        <f t="shared" si="16"/>
        <v>4.255788679967579</v>
      </c>
      <c r="AD43" s="3">
        <f t="shared" si="17"/>
        <v>617.22823494816237</v>
      </c>
      <c r="AI43" s="94">
        <f t="shared" si="28"/>
        <v>0.37941097749869024</v>
      </c>
    </row>
    <row r="44" spans="2:35">
      <c r="B44" s="39">
        <f t="shared" si="30"/>
        <v>16</v>
      </c>
      <c r="C44" s="42">
        <f t="shared" si="31"/>
        <v>0.10628297362099243</v>
      </c>
      <c r="D44" s="10">
        <f t="shared" si="32"/>
        <v>5.4337170263789929</v>
      </c>
      <c r="E44" s="40">
        <f t="shared" si="33"/>
        <v>20.212565947242012</v>
      </c>
      <c r="F44" s="40">
        <f t="shared" si="34"/>
        <v>31.08</v>
      </c>
      <c r="G44" s="3">
        <f t="shared" si="35"/>
        <v>225.54973621103218</v>
      </c>
      <c r="H44" s="3">
        <f t="shared" si="36"/>
        <v>81.256230789298584</v>
      </c>
      <c r="I44">
        <f t="shared" si="1"/>
        <v>8.1256230789298584E-5</v>
      </c>
      <c r="J44" s="4">
        <f t="shared" si="37"/>
        <v>320.87270919360776</v>
      </c>
      <c r="K44" s="40">
        <f t="shared" si="38"/>
        <v>3.9488997468470637</v>
      </c>
      <c r="L44" s="40">
        <f t="shared" si="4"/>
        <v>2.0511002531529363</v>
      </c>
      <c r="M44" s="10">
        <f t="shared" si="39"/>
        <v>4.356788679967579</v>
      </c>
      <c r="N44" s="10">
        <f t="shared" si="5"/>
        <v>8.26</v>
      </c>
      <c r="O44" s="10">
        <f t="shared" si="6"/>
        <v>0.31900000000000001</v>
      </c>
      <c r="P44" s="10">
        <f t="shared" si="40"/>
        <v>13.209128328000718</v>
      </c>
      <c r="Q44" s="42">
        <f t="shared" si="41"/>
        <v>1.0257191050367084E-2</v>
      </c>
      <c r="R44" s="4">
        <f t="shared" si="42"/>
        <v>98744.665690126596</v>
      </c>
      <c r="S44">
        <f t="shared" si="9"/>
        <v>9.87446656901266E-5</v>
      </c>
      <c r="T44" s="41">
        <f t="shared" si="10"/>
        <v>8.1059706351757234E-5</v>
      </c>
      <c r="U44" s="42">
        <f t="shared" si="43"/>
        <v>0.17720223981421668</v>
      </c>
      <c r="V44" s="42">
        <f t="shared" si="44"/>
        <v>0.42249278216374797</v>
      </c>
      <c r="W44" s="42">
        <f t="shared" si="45"/>
        <v>0.38631023306967788</v>
      </c>
      <c r="X44" s="42">
        <f t="shared" si="46"/>
        <v>3.6182549094070093E-2</v>
      </c>
      <c r="Y44" s="42">
        <f t="shared" si="29"/>
        <v>1.0836731586999363E-3</v>
      </c>
      <c r="Z44" s="10">
        <f t="shared" si="47"/>
        <v>13.368826602916062</v>
      </c>
      <c r="AA44">
        <f t="shared" si="14"/>
        <v>4423144.8222616967</v>
      </c>
      <c r="AB44" s="10">
        <f t="shared" si="15"/>
        <v>4.4231448222616967</v>
      </c>
      <c r="AC44" s="10">
        <f t="shared" si="16"/>
        <v>4.3221448222616967</v>
      </c>
      <c r="AD44" s="3">
        <f t="shared" si="17"/>
        <v>626.85204093715686</v>
      </c>
      <c r="AI44" s="94">
        <f t="shared" si="28"/>
        <v>0.38631023306967788</v>
      </c>
    </row>
    <row r="45" spans="2:35">
      <c r="B45" s="39">
        <f t="shared" si="30"/>
        <v>17</v>
      </c>
      <c r="C45" s="42">
        <f t="shared" si="31"/>
        <v>0.11292565947230446</v>
      </c>
      <c r="D45" s="10">
        <f t="shared" si="32"/>
        <v>5.42707434052768</v>
      </c>
      <c r="E45" s="40">
        <f t="shared" si="33"/>
        <v>20.225851318944638</v>
      </c>
      <c r="F45" s="40">
        <f t="shared" si="34"/>
        <v>31.08</v>
      </c>
      <c r="G45" s="3">
        <f t="shared" si="35"/>
        <v>225.49659472422169</v>
      </c>
      <c r="H45" s="3">
        <f t="shared" si="36"/>
        <v>81.256230789298584</v>
      </c>
      <c r="I45">
        <f t="shared" si="1"/>
        <v>8.1256230789298584E-5</v>
      </c>
      <c r="J45" s="4">
        <f t="shared" si="37"/>
        <v>321.29465603516525</v>
      </c>
      <c r="K45" s="40">
        <f t="shared" si="38"/>
        <v>3.9540925405252692</v>
      </c>
      <c r="L45" s="40">
        <f t="shared" si="4"/>
        <v>2.0459074594747308</v>
      </c>
      <c r="M45" s="10">
        <f t="shared" si="39"/>
        <v>4.4231448222616967</v>
      </c>
      <c r="N45" s="10">
        <f t="shared" si="5"/>
        <v>8.26</v>
      </c>
      <c r="O45" s="10">
        <f t="shared" si="6"/>
        <v>0.31900000000000001</v>
      </c>
      <c r="P45" s="10">
        <f t="shared" si="40"/>
        <v>13.272975327872551</v>
      </c>
      <c r="Q45" s="42">
        <f t="shared" si="41"/>
        <v>1.0757658028359783E-2</v>
      </c>
      <c r="R45" s="4">
        <f t="shared" si="42"/>
        <v>98626.253008962638</v>
      </c>
      <c r="S45">
        <f t="shared" si="9"/>
        <v>9.8626253008962645E-5</v>
      </c>
      <c r="T45" s="41">
        <f t="shared" si="10"/>
        <v>8.1178119032921189E-5</v>
      </c>
      <c r="U45" s="42">
        <f t="shared" si="43"/>
        <v>0.17698974233723389</v>
      </c>
      <c r="V45" s="42">
        <f t="shared" si="44"/>
        <v>0.4245983977506157</v>
      </c>
      <c r="W45" s="42">
        <f t="shared" si="45"/>
        <v>0.39233357180261519</v>
      </c>
      <c r="X45" s="42">
        <f t="shared" si="46"/>
        <v>3.2264825948000508E-2</v>
      </c>
      <c r="Y45" s="42">
        <f t="shared" si="29"/>
        <v>1.0998206386375925E-3</v>
      </c>
      <c r="Z45" s="10">
        <f t="shared" si="47"/>
        <v>13.548239990527106</v>
      </c>
      <c r="AA45">
        <f t="shared" si="14"/>
        <v>4481149.2131734891</v>
      </c>
      <c r="AB45" s="10">
        <f t="shared" si="15"/>
        <v>4.4811492131734889</v>
      </c>
      <c r="AC45" s="10">
        <f t="shared" si="16"/>
        <v>4.3801492131734889</v>
      </c>
      <c r="AD45" s="3">
        <f t="shared" si="17"/>
        <v>635.26457043850462</v>
      </c>
      <c r="AI45" s="94">
        <f t="shared" si="28"/>
        <v>0.39233357180261519</v>
      </c>
    </row>
    <row r="46" spans="2:35">
      <c r="B46" s="39">
        <f t="shared" si="30"/>
        <v>18</v>
      </c>
      <c r="C46" s="42">
        <f t="shared" si="31"/>
        <v>0.11956834532361649</v>
      </c>
      <c r="D46" s="10">
        <f t="shared" si="32"/>
        <v>5.4204316546763671</v>
      </c>
      <c r="E46" s="40">
        <f t="shared" si="33"/>
        <v>20.239136690647264</v>
      </c>
      <c r="F46" s="40">
        <f t="shared" si="34"/>
        <v>31.08</v>
      </c>
      <c r="G46" s="3">
        <f t="shared" si="35"/>
        <v>225.44345323741121</v>
      </c>
      <c r="H46" s="3">
        <f t="shared" si="36"/>
        <v>81.256230789298584</v>
      </c>
      <c r="I46">
        <f t="shared" si="1"/>
        <v>8.1256230789298584E-5</v>
      </c>
      <c r="J46" s="4">
        <f t="shared" si="37"/>
        <v>321.71688012400438</v>
      </c>
      <c r="K46" s="40">
        <f t="shared" si="38"/>
        <v>3.9592887462160546</v>
      </c>
      <c r="L46" s="40">
        <f t="shared" si="4"/>
        <v>2.0407112537839454</v>
      </c>
      <c r="M46" s="10">
        <f t="shared" si="39"/>
        <v>4.4811492131734889</v>
      </c>
      <c r="N46" s="10">
        <f t="shared" si="5"/>
        <v>8.26</v>
      </c>
      <c r="O46" s="10">
        <f t="shared" si="6"/>
        <v>0.31900000000000001</v>
      </c>
      <c r="P46" s="10">
        <f t="shared" si="40"/>
        <v>13.328254214822191</v>
      </c>
      <c r="Q46" s="42">
        <f t="shared" si="41"/>
        <v>1.1256049321341333E-2</v>
      </c>
      <c r="R46" s="4">
        <f t="shared" si="42"/>
        <v>98507.822669979127</v>
      </c>
      <c r="S46">
        <f t="shared" si="9"/>
        <v>9.850782266997912E-5</v>
      </c>
      <c r="T46" s="41">
        <f t="shared" si="10"/>
        <v>8.1296549371904714E-5</v>
      </c>
      <c r="U46" s="42">
        <f t="shared" si="43"/>
        <v>0.17677721317241102</v>
      </c>
      <c r="V46" s="42">
        <f t="shared" si="44"/>
        <v>0.42643033258354796</v>
      </c>
      <c r="W46" s="42">
        <f t="shared" si="45"/>
        <v>0.39759879793512382</v>
      </c>
      <c r="X46" s="42">
        <f t="shared" si="46"/>
        <v>2.883153464842414E-2</v>
      </c>
      <c r="Y46" s="42">
        <f t="shared" si="29"/>
        <v>1.114190024469663E-3</v>
      </c>
      <c r="Z46" s="10">
        <f t="shared" si="47"/>
        <v>13.705256041958357</v>
      </c>
      <c r="AA46">
        <f t="shared" si="14"/>
        <v>4531912.5399681926</v>
      </c>
      <c r="AB46" s="10">
        <f t="shared" si="15"/>
        <v>4.531912539968193</v>
      </c>
      <c r="AC46" s="10">
        <f t="shared" si="16"/>
        <v>4.430912539968193</v>
      </c>
      <c r="AD46" s="3">
        <f t="shared" si="17"/>
        <v>642.62690934999171</v>
      </c>
      <c r="AI46" s="94">
        <f t="shared" si="28"/>
        <v>0.39759879793512382</v>
      </c>
    </row>
    <row r="47" spans="2:35">
      <c r="B47" s="39">
        <f t="shared" si="30"/>
        <v>19</v>
      </c>
      <c r="C47" s="42">
        <f t="shared" si="31"/>
        <v>0.12621103117492852</v>
      </c>
      <c r="D47" s="10">
        <f t="shared" si="32"/>
        <v>5.4137889688250542</v>
      </c>
      <c r="E47" s="40">
        <f t="shared" si="33"/>
        <v>20.25242206234989</v>
      </c>
      <c r="F47" s="40">
        <f t="shared" si="34"/>
        <v>31.08</v>
      </c>
      <c r="G47" s="3">
        <f t="shared" si="35"/>
        <v>225.39031175060072</v>
      </c>
      <c r="H47" s="3">
        <f t="shared" si="36"/>
        <v>81.256230789298584</v>
      </c>
      <c r="I47">
        <f t="shared" si="1"/>
        <v>8.1256230789298584E-5</v>
      </c>
      <c r="J47" s="4">
        <f t="shared" si="37"/>
        <v>322.13938146012504</v>
      </c>
      <c r="K47" s="40">
        <f t="shared" si="38"/>
        <v>3.9644883639194188</v>
      </c>
      <c r="L47" s="40">
        <f t="shared" si="4"/>
        <v>2.0355116360805812</v>
      </c>
      <c r="M47" s="10">
        <f t="shared" si="39"/>
        <v>4.531912539968193</v>
      </c>
      <c r="N47" s="10">
        <f t="shared" si="5"/>
        <v>8.26</v>
      </c>
      <c r="O47" s="10">
        <f t="shared" si="6"/>
        <v>0.31900000000000001</v>
      </c>
      <c r="P47" s="10">
        <f t="shared" si="40"/>
        <v>13.376233833701416</v>
      </c>
      <c r="Q47" s="42">
        <f t="shared" si="41"/>
        <v>1.1752652919476391E-2</v>
      </c>
      <c r="R47" s="4">
        <f t="shared" si="42"/>
        <v>98389.374717376093</v>
      </c>
      <c r="S47">
        <f t="shared" si="9"/>
        <v>9.8389374717376088E-5</v>
      </c>
      <c r="T47" s="41">
        <f t="shared" si="10"/>
        <v>8.1414997324507745E-5</v>
      </c>
      <c r="U47" s="42">
        <f t="shared" si="43"/>
        <v>0.17656465239906724</v>
      </c>
      <c r="V47" s="42">
        <f t="shared" si="44"/>
        <v>0.42802906411074637</v>
      </c>
      <c r="W47" s="42">
        <f t="shared" si="45"/>
        <v>0.40220673175894411</v>
      </c>
      <c r="X47" s="42">
        <f t="shared" si="46"/>
        <v>2.5822332351802257E-2</v>
      </c>
      <c r="Y47" s="42">
        <f t="shared" si="29"/>
        <v>1.1270134876278073E-3</v>
      </c>
      <c r="Z47" s="10">
        <f t="shared" si="47"/>
        <v>13.842824106911209</v>
      </c>
      <c r="AA47">
        <f t="shared" si="14"/>
        <v>4576388.3281061612</v>
      </c>
      <c r="AB47" s="10">
        <f t="shared" si="15"/>
        <v>4.5763883281061615</v>
      </c>
      <c r="AC47" s="10">
        <f t="shared" si="16"/>
        <v>4.4753883281061615</v>
      </c>
      <c r="AD47" s="3">
        <f t="shared" si="17"/>
        <v>649.07734997913872</v>
      </c>
      <c r="AI47" s="94">
        <f t="shared" si="28"/>
        <v>0.40220673175894411</v>
      </c>
    </row>
    <row r="48" spans="2:35">
      <c r="B48" s="39">
        <f t="shared" si="30"/>
        <v>20</v>
      </c>
      <c r="C48" s="42">
        <f t="shared" si="31"/>
        <v>0.13285371702624055</v>
      </c>
      <c r="D48" s="10">
        <f t="shared" si="32"/>
        <v>5.4071462829737413</v>
      </c>
      <c r="E48" s="40">
        <f t="shared" si="33"/>
        <v>20.265707434052516</v>
      </c>
      <c r="F48" s="40">
        <f t="shared" si="34"/>
        <v>31.08</v>
      </c>
      <c r="G48" s="3">
        <f t="shared" si="35"/>
        <v>225.33717026379023</v>
      </c>
      <c r="H48" s="3">
        <f t="shared" si="36"/>
        <v>81.256230789298584</v>
      </c>
      <c r="I48">
        <f t="shared" si="1"/>
        <v>8.1256230789298584E-5</v>
      </c>
      <c r="J48" s="4">
        <f t="shared" si="37"/>
        <v>322.56216004352734</v>
      </c>
      <c r="K48" s="40">
        <f t="shared" si="38"/>
        <v>3.9696913936353626</v>
      </c>
      <c r="L48" s="40">
        <f t="shared" si="4"/>
        <v>2.0303086063646374</v>
      </c>
      <c r="M48" s="10">
        <f t="shared" si="39"/>
        <v>4.5763883281061615</v>
      </c>
      <c r="N48" s="10">
        <f t="shared" si="5"/>
        <v>8.26</v>
      </c>
      <c r="O48" s="10">
        <f t="shared" si="6"/>
        <v>0.31900000000000001</v>
      </c>
      <c r="P48" s="10">
        <f t="shared" si="40"/>
        <v>13.417970805738275</v>
      </c>
      <c r="Q48" s="42">
        <f t="shared" si="41"/>
        <v>1.2247711818283298E-2</v>
      </c>
      <c r="R48" s="4">
        <f t="shared" si="42"/>
        <v>98270.909195353524</v>
      </c>
      <c r="S48">
        <f t="shared" si="9"/>
        <v>9.8270909195353519E-5</v>
      </c>
      <c r="T48" s="41">
        <f t="shared" si="10"/>
        <v>8.1533462846530315E-5</v>
      </c>
      <c r="U48" s="42">
        <f t="shared" si="43"/>
        <v>0.17635206009652166</v>
      </c>
      <c r="V48" s="42">
        <f t="shared" si="44"/>
        <v>0.42942830248669661</v>
      </c>
      <c r="W48" s="42">
        <f t="shared" si="45"/>
        <v>0.40624392753476135</v>
      </c>
      <c r="X48" s="42">
        <f t="shared" si="46"/>
        <v>2.318437495193526E-2</v>
      </c>
      <c r="Y48" s="42">
        <f t="shared" si="29"/>
        <v>1.1384911187610389E-3</v>
      </c>
      <c r="Z48" s="10">
        <f t="shared" si="47"/>
        <v>13.963482955507608</v>
      </c>
      <c r="AA48">
        <f t="shared" si="14"/>
        <v>4615397.3625720013</v>
      </c>
      <c r="AB48" s="10">
        <f t="shared" si="15"/>
        <v>4.6153973625720015</v>
      </c>
      <c r="AC48" s="10">
        <f t="shared" si="16"/>
        <v>4.5143973625720015</v>
      </c>
      <c r="AD48" s="3">
        <f t="shared" si="17"/>
        <v>654.73493293285003</v>
      </c>
      <c r="AI48" s="94">
        <f t="shared" si="28"/>
        <v>0.40624392753476135</v>
      </c>
    </row>
    <row r="49" spans="2:35">
      <c r="B49" s="39">
        <f t="shared" si="30"/>
        <v>21</v>
      </c>
      <c r="C49" s="42">
        <f t="shared" si="31"/>
        <v>0.13949640287755258</v>
      </c>
      <c r="D49" s="10">
        <f t="shared" si="32"/>
        <v>5.4005035971224284</v>
      </c>
      <c r="E49" s="40">
        <f t="shared" si="33"/>
        <v>20.278992805755141</v>
      </c>
      <c r="F49" s="40">
        <f t="shared" si="34"/>
        <v>31.08</v>
      </c>
      <c r="G49" s="3">
        <f t="shared" si="35"/>
        <v>225.28402877697974</v>
      </c>
      <c r="H49" s="3">
        <f t="shared" si="36"/>
        <v>81.256230789298584</v>
      </c>
      <c r="I49">
        <f t="shared" si="1"/>
        <v>8.1256230789298584E-5</v>
      </c>
      <c r="J49" s="4">
        <f t="shared" si="37"/>
        <v>322.98521587421112</v>
      </c>
      <c r="K49" s="40">
        <f t="shared" si="38"/>
        <v>3.9748978353638837</v>
      </c>
      <c r="L49" s="40">
        <f t="shared" si="4"/>
        <v>2.0251021646361163</v>
      </c>
      <c r="M49" s="10">
        <f t="shared" si="39"/>
        <v>4.6153973625720015</v>
      </c>
      <c r="N49" s="10">
        <f t="shared" si="5"/>
        <v>8.26</v>
      </c>
      <c r="O49" s="10">
        <f t="shared" si="6"/>
        <v>0.31900000000000001</v>
      </c>
      <c r="P49" s="10">
        <f t="shared" si="40"/>
        <v>13.454350875342625</v>
      </c>
      <c r="Q49" s="42">
        <f t="shared" si="41"/>
        <v>1.2741432096047563E-2</v>
      </c>
      <c r="R49" s="4">
        <f t="shared" si="42"/>
        <v>98152.426148111437</v>
      </c>
      <c r="S49">
        <f t="shared" si="9"/>
        <v>9.8152426148111432E-5</v>
      </c>
      <c r="T49" s="41">
        <f t="shared" si="10"/>
        <v>8.1651945893772401E-5</v>
      </c>
      <c r="U49" s="42">
        <f t="shared" si="43"/>
        <v>0.17613943634409335</v>
      </c>
      <c r="V49" s="42">
        <f t="shared" si="44"/>
        <v>0.43065630885395856</v>
      </c>
      <c r="W49" s="42">
        <f t="shared" si="45"/>
        <v>0.40978489028680209</v>
      </c>
      <c r="X49" s="42">
        <f t="shared" si="46"/>
        <v>2.0871418567156463E-2</v>
      </c>
      <c r="Y49" s="42">
        <f t="shared" si="29"/>
        <v>1.1487957613333496E-3</v>
      </c>
      <c r="Z49" s="10">
        <f t="shared" si="47"/>
        <v>14.069422948326432</v>
      </c>
      <c r="AA49">
        <f t="shared" si="14"/>
        <v>4649647.7874621293</v>
      </c>
      <c r="AB49" s="10">
        <f t="shared" si="15"/>
        <v>4.6496477874621291</v>
      </c>
      <c r="AC49" s="10">
        <f t="shared" si="16"/>
        <v>4.5486477874621292</v>
      </c>
      <c r="AD49" s="3">
        <f t="shared" si="17"/>
        <v>659.70236221350683</v>
      </c>
      <c r="AI49" s="94">
        <f t="shared" si="28"/>
        <v>0.40978489028680209</v>
      </c>
    </row>
    <row r="50" spans="2:35">
      <c r="B50" s="39">
        <f t="shared" si="30"/>
        <v>22</v>
      </c>
      <c r="C50" s="42">
        <f t="shared" si="31"/>
        <v>0.14613908872886461</v>
      </c>
      <c r="D50" s="10">
        <f t="shared" si="32"/>
        <v>5.3938609112711156</v>
      </c>
      <c r="E50" s="40">
        <f t="shared" si="33"/>
        <v>20.292278177457767</v>
      </c>
      <c r="F50" s="40">
        <f t="shared" si="34"/>
        <v>31.08</v>
      </c>
      <c r="G50" s="3">
        <f t="shared" si="35"/>
        <v>225.23088729016925</v>
      </c>
      <c r="H50" s="3">
        <f t="shared" si="36"/>
        <v>81.256230789298584</v>
      </c>
      <c r="I50">
        <f t="shared" si="1"/>
        <v>8.1256230789298584E-5</v>
      </c>
      <c r="J50" s="4">
        <f t="shared" si="37"/>
        <v>323.40854895217643</v>
      </c>
      <c r="K50" s="40">
        <f t="shared" si="38"/>
        <v>3.980107689104984</v>
      </c>
      <c r="L50" s="40">
        <f t="shared" si="4"/>
        <v>2.019892310895016</v>
      </c>
      <c r="M50" s="10">
        <f t="shared" si="39"/>
        <v>4.6496477874621291</v>
      </c>
      <c r="N50" s="10">
        <f t="shared" si="5"/>
        <v>8.26</v>
      </c>
      <c r="O50" s="10">
        <f t="shared" si="6"/>
        <v>0.31900000000000001</v>
      </c>
      <c r="P50" s="10">
        <f t="shared" si="40"/>
        <v>13.48612079221521</v>
      </c>
      <c r="Q50" s="42">
        <f t="shared" si="41"/>
        <v>1.3233989292713522E-2</v>
      </c>
      <c r="R50" s="4">
        <f t="shared" si="42"/>
        <v>98033.925619849819</v>
      </c>
      <c r="S50">
        <f t="shared" si="9"/>
        <v>9.8033925619849825E-5</v>
      </c>
      <c r="T50" s="41">
        <f t="shared" si="10"/>
        <v>8.1770446422034008E-5</v>
      </c>
      <c r="U50" s="42">
        <f t="shared" si="43"/>
        <v>0.17592678122110147</v>
      </c>
      <c r="V50" s="42">
        <f t="shared" si="44"/>
        <v>0.43173691183745017</v>
      </c>
      <c r="W50" s="42">
        <f t="shared" si="45"/>
        <v>0.41289390030046225</v>
      </c>
      <c r="X50" s="42">
        <f t="shared" si="46"/>
        <v>1.8843011536987919E-2</v>
      </c>
      <c r="Y50" s="42">
        <f t="shared" si="29"/>
        <v>1.1580770222727526E-3</v>
      </c>
      <c r="Z50" s="10">
        <f t="shared" si="47"/>
        <v>14.162537603080704</v>
      </c>
      <c r="AA50">
        <f t="shared" si="14"/>
        <v>4679751.7775037885</v>
      </c>
      <c r="AB50" s="10">
        <f t="shared" si="15"/>
        <v>4.6797517775037889</v>
      </c>
      <c r="AC50" s="10">
        <f t="shared" si="16"/>
        <v>4.5787517775037889</v>
      </c>
      <c r="AD50" s="3">
        <f t="shared" si="17"/>
        <v>664.06842313325433</v>
      </c>
      <c r="AI50" s="94">
        <f t="shared" si="28"/>
        <v>0.41289390030046225</v>
      </c>
    </row>
    <row r="51" spans="2:35">
      <c r="B51" s="39">
        <f t="shared" si="30"/>
        <v>23</v>
      </c>
      <c r="C51" s="42">
        <f t="shared" si="31"/>
        <v>0.15278177458017664</v>
      </c>
      <c r="D51" s="10">
        <f t="shared" si="32"/>
        <v>5.3872182254198027</v>
      </c>
      <c r="E51" s="40">
        <f t="shared" si="33"/>
        <v>20.305563549160393</v>
      </c>
      <c r="F51" s="40">
        <f t="shared" si="34"/>
        <v>31.08</v>
      </c>
      <c r="G51" s="3">
        <f t="shared" si="35"/>
        <v>225.17774580335876</v>
      </c>
      <c r="H51" s="3">
        <f t="shared" si="36"/>
        <v>81.256230789298584</v>
      </c>
      <c r="I51">
        <f t="shared" si="1"/>
        <v>8.1256230789298584E-5</v>
      </c>
      <c r="J51" s="4">
        <f t="shared" si="37"/>
        <v>323.83215927742333</v>
      </c>
      <c r="K51" s="40">
        <f t="shared" si="38"/>
        <v>3.985320954858663</v>
      </c>
      <c r="L51" s="40">
        <f t="shared" si="4"/>
        <v>2.014679045141337</v>
      </c>
      <c r="M51" s="10">
        <f t="shared" si="39"/>
        <v>4.6797517775037889</v>
      </c>
      <c r="N51" s="10">
        <f t="shared" si="5"/>
        <v>8.26</v>
      </c>
      <c r="O51" s="10">
        <f t="shared" si="6"/>
        <v>0.31900000000000001</v>
      </c>
      <c r="P51" s="10">
        <f t="shared" si="40"/>
        <v>13.513913234754314</v>
      </c>
      <c r="Q51" s="42">
        <f t="shared" si="41"/>
        <v>1.3725533506141557E-2</v>
      </c>
      <c r="R51" s="4">
        <f t="shared" si="42"/>
        <v>97915.407654768671</v>
      </c>
      <c r="S51">
        <f t="shared" si="9"/>
        <v>9.7915407654768666E-5</v>
      </c>
      <c r="T51" s="41">
        <f t="shared" si="10"/>
        <v>8.1888964387115168E-5</v>
      </c>
      <c r="U51" s="42">
        <f t="shared" si="43"/>
        <v>0.17571409480686512</v>
      </c>
      <c r="V51" s="42">
        <f t="shared" si="44"/>
        <v>0.43269030216647114</v>
      </c>
      <c r="W51" s="42">
        <f t="shared" si="45"/>
        <v>0.41562652644425135</v>
      </c>
      <c r="X51" s="42">
        <f t="shared" si="46"/>
        <v>1.7063775722219787E-2</v>
      </c>
      <c r="Y51" s="42">
        <f t="shared" si="29"/>
        <v>1.1664646224882435E-3</v>
      </c>
      <c r="Z51" s="10">
        <f t="shared" si="47"/>
        <v>14.244466653333097</v>
      </c>
      <c r="AA51">
        <f t="shared" si="14"/>
        <v>4706239.458948019</v>
      </c>
      <c r="AB51" s="10">
        <f t="shared" si="15"/>
        <v>4.7062394589480192</v>
      </c>
      <c r="AC51" s="10">
        <f t="shared" si="16"/>
        <v>4.6052394589480192</v>
      </c>
      <c r="AD51" s="3">
        <f t="shared" si="17"/>
        <v>667.91000129775477</v>
      </c>
      <c r="AI51" s="94">
        <f t="shared" si="28"/>
        <v>0.41562652644425135</v>
      </c>
    </row>
    <row r="52" spans="2:35">
      <c r="B52" s="39">
        <f t="shared" si="30"/>
        <v>24</v>
      </c>
      <c r="C52" s="42">
        <f t="shared" si="31"/>
        <v>0.15942446043148867</v>
      </c>
      <c r="D52" s="10">
        <f t="shared" si="32"/>
        <v>5.3805755395684898</v>
      </c>
      <c r="E52" s="40">
        <f t="shared" si="33"/>
        <v>20.318848920863019</v>
      </c>
      <c r="F52" s="40">
        <f t="shared" si="34"/>
        <v>31.08</v>
      </c>
      <c r="G52" s="3">
        <f t="shared" si="35"/>
        <v>225.12460431654827</v>
      </c>
      <c r="H52" s="3">
        <f t="shared" si="36"/>
        <v>81.256230789298584</v>
      </c>
      <c r="I52">
        <f t="shared" si="1"/>
        <v>8.1256230789298584E-5</v>
      </c>
      <c r="J52" s="4">
        <f t="shared" si="37"/>
        <v>324.25604684995182</v>
      </c>
      <c r="K52" s="40">
        <f t="shared" si="38"/>
        <v>3.9905376326249211</v>
      </c>
      <c r="L52" s="40">
        <f t="shared" si="4"/>
        <v>2.0094623673750789</v>
      </c>
      <c r="M52" s="10">
        <f t="shared" si="39"/>
        <v>4.7062394589480192</v>
      </c>
      <c r="N52" s="10">
        <f t="shared" si="5"/>
        <v>8.26</v>
      </c>
      <c r="O52" s="10">
        <f t="shared" si="6"/>
        <v>0.31900000000000001</v>
      </c>
      <c r="P52" s="10">
        <f t="shared" si="40"/>
        <v>13.538266532790718</v>
      </c>
      <c r="Q52" s="42">
        <f t="shared" si="41"/>
        <v>1.421619350572296E-2</v>
      </c>
      <c r="R52" s="4">
        <f t="shared" si="42"/>
        <v>97796.872297067981</v>
      </c>
      <c r="S52">
        <f t="shared" si="9"/>
        <v>9.7796872297067975E-5</v>
      </c>
      <c r="T52" s="41">
        <f t="shared" si="10"/>
        <v>8.2007499744815858E-5</v>
      </c>
      <c r="U52" s="42">
        <f t="shared" si="43"/>
        <v>0.17550137718070333</v>
      </c>
      <c r="V52" s="42">
        <f t="shared" si="44"/>
        <v>0.4335336614830354</v>
      </c>
      <c r="W52" s="42">
        <f t="shared" si="45"/>
        <v>0.41803088980946279</v>
      </c>
      <c r="X52" s="42">
        <f t="shared" si="46"/>
        <v>1.5502771673572613E-2</v>
      </c>
      <c r="Y52" s="42">
        <f t="shared" si="29"/>
        <v>1.1740712124311092E-3</v>
      </c>
      <c r="Z52" s="10">
        <f t="shared" si="47"/>
        <v>14.316632211498787</v>
      </c>
      <c r="AA52">
        <f t="shared" si="14"/>
        <v>4729570.6010770844</v>
      </c>
      <c r="AB52" s="10">
        <f t="shared" si="15"/>
        <v>4.7295706010770848</v>
      </c>
      <c r="AC52" s="10">
        <f t="shared" si="16"/>
        <v>4.6285706010770848</v>
      </c>
      <c r="AD52" s="3">
        <f t="shared" si="17"/>
        <v>671.2937782562849</v>
      </c>
      <c r="AI52" s="94">
        <f t="shared" si="28"/>
        <v>0.41803088980946279</v>
      </c>
    </row>
    <row r="53" spans="2:35">
      <c r="B53" s="39">
        <f t="shared" si="30"/>
        <v>25</v>
      </c>
      <c r="C53" s="42">
        <f t="shared" si="31"/>
        <v>0.1660671462828007</v>
      </c>
      <c r="D53" s="10">
        <f t="shared" si="32"/>
        <v>5.3739328537171769</v>
      </c>
      <c r="E53" s="40">
        <f t="shared" si="33"/>
        <v>20.332134292565645</v>
      </c>
      <c r="F53" s="40">
        <f t="shared" si="34"/>
        <v>31.08</v>
      </c>
      <c r="G53" s="3">
        <f t="shared" si="35"/>
        <v>225.07146282973778</v>
      </c>
      <c r="H53" s="3">
        <f t="shared" si="36"/>
        <v>81.256230789298584</v>
      </c>
      <c r="I53">
        <f t="shared" si="1"/>
        <v>8.1256230789298584E-5</v>
      </c>
      <c r="J53" s="4">
        <f t="shared" si="37"/>
        <v>324.68021166976189</v>
      </c>
      <c r="K53" s="40">
        <f t="shared" si="38"/>
        <v>3.9957577224037588</v>
      </c>
      <c r="L53" s="40">
        <f t="shared" si="4"/>
        <v>2.0042422775962412</v>
      </c>
      <c r="M53" s="10">
        <f t="shared" si="39"/>
        <v>4.7295706010770848</v>
      </c>
      <c r="N53" s="10">
        <f t="shared" si="5"/>
        <v>8.26</v>
      </c>
      <c r="O53" s="10">
        <f t="shared" si="6"/>
        <v>0.31900000000000001</v>
      </c>
      <c r="P53" s="10">
        <f t="shared" si="40"/>
        <v>13.559640445671873</v>
      </c>
      <c r="Q53" s="42">
        <f t="shared" si="41"/>
        <v>1.4706080083315238E-2</v>
      </c>
      <c r="R53" s="4">
        <f t="shared" si="42"/>
        <v>97678.319590947736</v>
      </c>
      <c r="S53">
        <f t="shared" si="9"/>
        <v>9.7678319590947736E-5</v>
      </c>
      <c r="T53" s="41">
        <f t="shared" si="10"/>
        <v>8.2126052450936097E-5</v>
      </c>
      <c r="U53" s="42">
        <f t="shared" si="43"/>
        <v>0.17528862842193527</v>
      </c>
      <c r="V53" s="42">
        <f t="shared" si="44"/>
        <v>0.43428166538812008</v>
      </c>
      <c r="W53" s="42">
        <f t="shared" si="45"/>
        <v>0.42014872498207995</v>
      </c>
      <c r="X53" s="42">
        <f t="shared" si="46"/>
        <v>1.4132940406040129E-2</v>
      </c>
      <c r="Y53" s="42">
        <f t="shared" si="29"/>
        <v>1.1809947502379398E-3</v>
      </c>
      <c r="Z53" s="10">
        <f t="shared" si="47"/>
        <v>14.380269293273191</v>
      </c>
      <c r="AA53">
        <f t="shared" si="14"/>
        <v>4750144.4847592236</v>
      </c>
      <c r="AB53" s="10">
        <f t="shared" si="15"/>
        <v>4.7501444847592236</v>
      </c>
      <c r="AC53" s="10">
        <f t="shared" si="16"/>
        <v>4.6491444847592236</v>
      </c>
      <c r="AD53" s="3">
        <f t="shared" si="17"/>
        <v>674.27766276420937</v>
      </c>
      <c r="AI53" s="94">
        <f t="shared" si="28"/>
        <v>0.42014872498207995</v>
      </c>
    </row>
    <row r="54" spans="2:35">
      <c r="B54" s="39">
        <f t="shared" si="30"/>
        <v>26</v>
      </c>
      <c r="C54" s="42">
        <f t="shared" si="31"/>
        <v>0.17270983213411273</v>
      </c>
      <c r="D54" s="10">
        <f t="shared" si="32"/>
        <v>5.367290167865864</v>
      </c>
      <c r="E54" s="40">
        <f t="shared" si="33"/>
        <v>20.34541966426827</v>
      </c>
      <c r="F54" s="40">
        <f t="shared" si="34"/>
        <v>31.08</v>
      </c>
      <c r="G54" s="3">
        <f t="shared" si="35"/>
        <v>225.01832134292729</v>
      </c>
      <c r="H54" s="3">
        <f t="shared" si="36"/>
        <v>81.256230789298584</v>
      </c>
      <c r="I54">
        <f t="shared" si="1"/>
        <v>8.1256230789298584E-5</v>
      </c>
      <c r="J54" s="4">
        <f t="shared" si="37"/>
        <v>325.10465373685344</v>
      </c>
      <c r="K54" s="40">
        <f t="shared" si="38"/>
        <v>4.0009812241951739</v>
      </c>
      <c r="L54" s="40">
        <f t="shared" si="4"/>
        <v>1.9990187758048261</v>
      </c>
      <c r="M54" s="10">
        <f t="shared" si="39"/>
        <v>4.7501444847592236</v>
      </c>
      <c r="N54" s="10">
        <f t="shared" si="5"/>
        <v>8.26</v>
      </c>
      <c r="O54" s="10">
        <f t="shared" si="6"/>
        <v>0.31900000000000001</v>
      </c>
      <c r="P54" s="10">
        <f t="shared" si="40"/>
        <v>13.578428908026551</v>
      </c>
      <c r="Q54" s="42">
        <f t="shared" si="41"/>
        <v>1.5195288805200977E-2</v>
      </c>
      <c r="R54" s="4">
        <f t="shared" si="42"/>
        <v>97559.749580607982</v>
      </c>
      <c r="S54">
        <f t="shared" si="9"/>
        <v>9.7559749580607984E-5</v>
      </c>
      <c r="T54" s="41">
        <f t="shared" si="10"/>
        <v>8.2244622461275849E-5</v>
      </c>
      <c r="U54" s="42">
        <f t="shared" si="43"/>
        <v>0.17507584860988004</v>
      </c>
      <c r="V54" s="42">
        <f t="shared" si="44"/>
        <v>0.43494688981633212</v>
      </c>
      <c r="W54" s="42">
        <f t="shared" si="45"/>
        <v>0.42201627583999896</v>
      </c>
      <c r="X54" s="42">
        <f t="shared" si="46"/>
        <v>1.2930613976333161E-2</v>
      </c>
      <c r="Y54" s="42">
        <f t="shared" si="29"/>
        <v>1.1873205193744995E-3</v>
      </c>
      <c r="Z54" s="10">
        <f t="shared" si="47"/>
        <v>14.436451695471504</v>
      </c>
      <c r="AA54">
        <f t="shared" si="14"/>
        <v>4768308.2687603338</v>
      </c>
      <c r="AB54" s="10">
        <f t="shared" si="15"/>
        <v>4.7683082687603342</v>
      </c>
      <c r="AC54" s="10">
        <f t="shared" si="16"/>
        <v>4.6673082687603342</v>
      </c>
      <c r="AD54" s="3">
        <f t="shared" si="17"/>
        <v>676.91200417118694</v>
      </c>
      <c r="AI54" s="94">
        <f t="shared" si="28"/>
        <v>0.42201627583999896</v>
      </c>
    </row>
    <row r="55" spans="2:35">
      <c r="B55" s="39">
        <f t="shared" si="30"/>
        <v>27</v>
      </c>
      <c r="C55" s="42">
        <f t="shared" si="31"/>
        <v>0.17935251798542476</v>
      </c>
      <c r="D55" s="10">
        <f t="shared" si="32"/>
        <v>5.3606474820145511</v>
      </c>
      <c r="E55" s="40">
        <f t="shared" si="33"/>
        <v>20.358705035970896</v>
      </c>
      <c r="F55" s="40">
        <f t="shared" si="34"/>
        <v>31.08</v>
      </c>
      <c r="G55" s="3">
        <f t="shared" si="35"/>
        <v>224.96517985611681</v>
      </c>
      <c r="H55" s="3">
        <f t="shared" si="36"/>
        <v>81.256230789298584</v>
      </c>
      <c r="I55">
        <f t="shared" si="1"/>
        <v>8.1256230789298584E-5</v>
      </c>
      <c r="J55" s="4">
        <f t="shared" si="37"/>
        <v>325.52937305122663</v>
      </c>
      <c r="K55" s="40">
        <f t="shared" si="38"/>
        <v>4.0062081379991694</v>
      </c>
      <c r="L55" s="40">
        <f t="shared" si="4"/>
        <v>1.9937918620008306</v>
      </c>
      <c r="M55" s="10">
        <f t="shared" si="39"/>
        <v>4.7683082687603342</v>
      </c>
      <c r="N55" s="10">
        <f t="shared" si="5"/>
        <v>8.26</v>
      </c>
      <c r="O55" s="10">
        <f t="shared" si="6"/>
        <v>0.31900000000000001</v>
      </c>
      <c r="P55" s="10">
        <f t="shared" si="40"/>
        <v>13.594970415966706</v>
      </c>
      <c r="Q55" s="42">
        <f t="shared" si="41"/>
        <v>1.5683902288574979E-2</v>
      </c>
      <c r="R55" s="4">
        <f t="shared" si="42"/>
        <v>97441.162310248663</v>
      </c>
      <c r="S55">
        <f t="shared" si="9"/>
        <v>9.7441162310248661E-5</v>
      </c>
      <c r="T55" s="41">
        <f t="shared" si="10"/>
        <v>8.2363209731635173E-5</v>
      </c>
      <c r="U55" s="42">
        <f t="shared" si="43"/>
        <v>0.17486303782385673</v>
      </c>
      <c r="V55" s="42">
        <f t="shared" si="44"/>
        <v>0.43554014218722747</v>
      </c>
      <c r="W55" s="42">
        <f t="shared" si="45"/>
        <v>0.42366505498731077</v>
      </c>
      <c r="X55" s="42">
        <f t="shared" si="46"/>
        <v>1.1875087199916701E-2</v>
      </c>
      <c r="Y55" s="42">
        <f t="shared" si="29"/>
        <v>1.1931228470966209E-3</v>
      </c>
      <c r="Z55" s="10">
        <f t="shared" si="47"/>
        <v>14.486114018433527</v>
      </c>
      <c r="AA55">
        <f t="shared" si="14"/>
        <v>4784364.1095926911</v>
      </c>
      <c r="AB55" s="10">
        <f t="shared" si="15"/>
        <v>4.7843641095926914</v>
      </c>
      <c r="AC55" s="10">
        <f t="shared" si="16"/>
        <v>4.6833641095926914</v>
      </c>
      <c r="AD55" s="3">
        <f t="shared" si="17"/>
        <v>679.24062503157234</v>
      </c>
      <c r="AI55" s="94">
        <f t="shared" si="28"/>
        <v>0.42366505498731077</v>
      </c>
    </row>
    <row r="56" spans="2:35">
      <c r="B56" s="39">
        <f t="shared" si="30"/>
        <v>28</v>
      </c>
      <c r="C56" s="42">
        <f t="shared" si="31"/>
        <v>0.18599520383673679</v>
      </c>
      <c r="D56" s="10">
        <f t="shared" si="32"/>
        <v>5.3540047961632382</v>
      </c>
      <c r="E56" s="40">
        <f t="shared" si="33"/>
        <v>20.371990407673522</v>
      </c>
      <c r="F56" s="40">
        <f t="shared" si="34"/>
        <v>31.08</v>
      </c>
      <c r="G56" s="3">
        <f t="shared" si="35"/>
        <v>224.91203836930632</v>
      </c>
      <c r="H56" s="3">
        <f t="shared" si="36"/>
        <v>81.256230789298584</v>
      </c>
      <c r="I56">
        <f t="shared" si="1"/>
        <v>8.1256230789298584E-5</v>
      </c>
      <c r="J56" s="4">
        <f t="shared" si="37"/>
        <v>325.95436961288135</v>
      </c>
      <c r="K56" s="40">
        <f t="shared" si="38"/>
        <v>4.0114384638157423</v>
      </c>
      <c r="L56" s="40">
        <f t="shared" si="4"/>
        <v>1.9885615361842577</v>
      </c>
      <c r="M56" s="10">
        <f t="shared" si="39"/>
        <v>4.7843641095926914</v>
      </c>
      <c r="N56" s="10">
        <f t="shared" si="5"/>
        <v>8.26</v>
      </c>
      <c r="O56" s="10">
        <f t="shared" si="6"/>
        <v>0.31900000000000001</v>
      </c>
      <c r="P56" s="10">
        <f t="shared" si="40"/>
        <v>13.609556556721914</v>
      </c>
      <c r="Q56" s="42">
        <f t="shared" si="41"/>
        <v>1.6171992096911249E-2</v>
      </c>
      <c r="R56" s="4">
        <f t="shared" si="42"/>
        <v>97322.557824069809</v>
      </c>
      <c r="S56">
        <f t="shared" si="9"/>
        <v>9.7322557824069814E-5</v>
      </c>
      <c r="T56" s="41">
        <f t="shared" si="10"/>
        <v>8.248181421781402E-5</v>
      </c>
      <c r="U56" s="42">
        <f t="shared" si="43"/>
        <v>0.17465019614318447</v>
      </c>
      <c r="V56" s="42">
        <f t="shared" si="44"/>
        <v>0.43607073337131108</v>
      </c>
      <c r="W56" s="42">
        <f t="shared" si="45"/>
        <v>0.42512249004353758</v>
      </c>
      <c r="X56" s="42">
        <f t="shared" si="46"/>
        <v>1.0948243327773499E-2</v>
      </c>
      <c r="Y56" s="42">
        <f t="shared" si="29"/>
        <v>1.1984665730840928E-3</v>
      </c>
      <c r="Z56" s="10">
        <f t="shared" si="47"/>
        <v>14.530070470070406</v>
      </c>
      <c r="AA56">
        <f t="shared" si="14"/>
        <v>4798575.240867734</v>
      </c>
      <c r="AB56" s="10">
        <f t="shared" si="15"/>
        <v>4.7985752408677342</v>
      </c>
      <c r="AC56" s="10">
        <f t="shared" si="16"/>
        <v>4.6975752408677343</v>
      </c>
      <c r="AD56" s="3">
        <f t="shared" si="17"/>
        <v>681.30170280895345</v>
      </c>
      <c r="AI56" s="94">
        <f t="shared" si="28"/>
        <v>0.42512249004353758</v>
      </c>
    </row>
    <row r="57" spans="2:35">
      <c r="B57" s="39">
        <f t="shared" si="30"/>
        <v>29</v>
      </c>
      <c r="C57" s="42">
        <f t="shared" si="31"/>
        <v>0.19263788968804882</v>
      </c>
      <c r="D57" s="10">
        <f t="shared" si="32"/>
        <v>5.3473621103119253</v>
      </c>
      <c r="E57" s="40">
        <f t="shared" si="33"/>
        <v>20.385275779376148</v>
      </c>
      <c r="F57" s="40">
        <f t="shared" si="34"/>
        <v>31.08</v>
      </c>
      <c r="G57" s="3">
        <f t="shared" si="35"/>
        <v>224.85889688249583</v>
      </c>
      <c r="H57" s="3">
        <f t="shared" si="36"/>
        <v>81.256230789298584</v>
      </c>
      <c r="I57">
        <f t="shared" si="1"/>
        <v>8.1256230789298584E-5</v>
      </c>
      <c r="J57" s="4">
        <f t="shared" si="37"/>
        <v>326.3796434218176</v>
      </c>
      <c r="K57" s="40">
        <f t="shared" si="38"/>
        <v>4.0166722016448944</v>
      </c>
      <c r="L57" s="40">
        <f t="shared" si="4"/>
        <v>1.9833277983551056</v>
      </c>
      <c r="M57" s="10">
        <f t="shared" si="39"/>
        <v>4.7985752408677342</v>
      </c>
      <c r="N57" s="10">
        <f t="shared" si="5"/>
        <v>8.26</v>
      </c>
      <c r="O57" s="10">
        <f t="shared" si="6"/>
        <v>0.31900000000000001</v>
      </c>
      <c r="P57" s="10">
        <f t="shared" si="40"/>
        <v>13.622439062599287</v>
      </c>
      <c r="Q57" s="42">
        <f t="shared" si="41"/>
        <v>1.6659620327126621E-2</v>
      </c>
      <c r="R57" s="4">
        <f t="shared" si="42"/>
        <v>97203.936166271422</v>
      </c>
      <c r="S57">
        <f t="shared" si="9"/>
        <v>9.7203936166271427E-5</v>
      </c>
      <c r="T57" s="41">
        <f t="shared" si="10"/>
        <v>8.2600435875612407E-5</v>
      </c>
      <c r="U57" s="42">
        <f t="shared" si="43"/>
        <v>0.17443732364718237</v>
      </c>
      <c r="V57" s="42">
        <f t="shared" si="44"/>
        <v>0.43654670261416911</v>
      </c>
      <c r="W57" s="42">
        <f t="shared" si="45"/>
        <v>0.42641247548404759</v>
      </c>
      <c r="X57" s="42">
        <f t="shared" si="46"/>
        <v>1.013422713012152E-2</v>
      </c>
      <c r="Y57" s="42">
        <f t="shared" si="29"/>
        <v>1.2034083083241546E-3</v>
      </c>
      <c r="Z57" s="10">
        <f t="shared" si="47"/>
        <v>14.569030968993449</v>
      </c>
      <c r="AA57">
        <f t="shared" si="14"/>
        <v>4811171.1794414474</v>
      </c>
      <c r="AB57" s="10">
        <f t="shared" si="15"/>
        <v>4.8111711794414473</v>
      </c>
      <c r="AC57" s="10">
        <f t="shared" si="16"/>
        <v>4.7101711794414474</v>
      </c>
      <c r="AD57" s="3">
        <f t="shared" si="17"/>
        <v>683.12852493712069</v>
      </c>
      <c r="AI57" s="94">
        <f t="shared" si="28"/>
        <v>0.42641247548404759</v>
      </c>
    </row>
    <row r="58" spans="2:35">
      <c r="B58" s="39">
        <f t="shared" si="30"/>
        <v>30</v>
      </c>
      <c r="C58" s="42">
        <f t="shared" si="31"/>
        <v>0.19928057553936085</v>
      </c>
      <c r="D58" s="10">
        <f t="shared" si="32"/>
        <v>5.3407194244606124</v>
      </c>
      <c r="E58" s="40">
        <f t="shared" si="33"/>
        <v>20.398561151078773</v>
      </c>
      <c r="F58" s="40">
        <f t="shared" si="34"/>
        <v>31.08</v>
      </c>
      <c r="G58" s="3">
        <f t="shared" si="35"/>
        <v>224.80575539568534</v>
      </c>
      <c r="H58" s="3">
        <f t="shared" si="36"/>
        <v>81.256230789298584</v>
      </c>
      <c r="I58">
        <f t="shared" si="1"/>
        <v>8.1256230789298584E-5</v>
      </c>
      <c r="J58" s="4">
        <f t="shared" si="37"/>
        <v>326.80519447803545</v>
      </c>
      <c r="K58" s="40">
        <f t="shared" si="38"/>
        <v>4.0219093514866255</v>
      </c>
      <c r="L58" s="40">
        <f t="shared" si="4"/>
        <v>1.9780906485133745</v>
      </c>
      <c r="M58" s="10">
        <f t="shared" si="39"/>
        <v>4.8111711794414473</v>
      </c>
      <c r="N58" s="10">
        <f t="shared" si="5"/>
        <v>8.26</v>
      </c>
      <c r="O58" s="10">
        <f t="shared" si="6"/>
        <v>0.31900000000000001</v>
      </c>
      <c r="P58" s="10">
        <f t="shared" si="40"/>
        <v>13.633835681111282</v>
      </c>
      <c r="Q58" s="42">
        <f t="shared" si="41"/>
        <v>1.7146840945497063E-2</v>
      </c>
      <c r="R58" s="4">
        <f t="shared" si="42"/>
        <v>97085.29738105349</v>
      </c>
      <c r="S58">
        <f t="shared" si="9"/>
        <v>9.7085297381053494E-5</v>
      </c>
      <c r="T58" s="41">
        <f t="shared" si="10"/>
        <v>8.2719074660830339E-5</v>
      </c>
      <c r="U58" s="42">
        <f t="shared" si="43"/>
        <v>0.17422442041516953</v>
      </c>
      <c r="V58" s="42">
        <f t="shared" si="44"/>
        <v>0.43697500472150819</v>
      </c>
      <c r="W58" s="42">
        <f t="shared" si="45"/>
        <v>0.42755584521691209</v>
      </c>
      <c r="X58" s="42">
        <f t="shared" si="46"/>
        <v>9.4191595045960974E-3</v>
      </c>
      <c r="Y58" s="42">
        <f t="shared" si="29"/>
        <v>1.2079975170425138E-3</v>
      </c>
      <c r="Z58" s="10">
        <f t="shared" si="47"/>
        <v>14.603614970254647</v>
      </c>
      <c r="AA58">
        <f t="shared" si="14"/>
        <v>4822352.1952795601</v>
      </c>
      <c r="AB58" s="10">
        <f t="shared" si="15"/>
        <v>4.82235219527956</v>
      </c>
      <c r="AC58" s="10">
        <f t="shared" si="16"/>
        <v>4.7213521952795601</v>
      </c>
      <c r="AD58" s="3">
        <f t="shared" si="17"/>
        <v>684.7501370963829</v>
      </c>
      <c r="AI58" s="94">
        <f t="shared" si="28"/>
        <v>0.42755584521691209</v>
      </c>
    </row>
    <row r="59" spans="2:35">
      <c r="B59" s="39">
        <f t="shared" si="30"/>
        <v>31</v>
      </c>
      <c r="C59" s="42">
        <f t="shared" si="31"/>
        <v>0.20592326139067288</v>
      </c>
      <c r="D59" s="10">
        <f t="shared" si="32"/>
        <v>5.3340767386092995</v>
      </c>
      <c r="E59" s="40">
        <f t="shared" si="33"/>
        <v>20.411846522781399</v>
      </c>
      <c r="F59" s="40">
        <f t="shared" si="34"/>
        <v>31.08</v>
      </c>
      <c r="G59" s="3">
        <f t="shared" si="35"/>
        <v>224.75261390887485</v>
      </c>
      <c r="H59" s="3">
        <f t="shared" si="36"/>
        <v>81.256230789298584</v>
      </c>
      <c r="I59">
        <f t="shared" si="1"/>
        <v>8.1256230789298584E-5</v>
      </c>
      <c r="J59" s="4">
        <f t="shared" si="37"/>
        <v>327.23102278153482</v>
      </c>
      <c r="K59" s="40">
        <f t="shared" si="38"/>
        <v>4.027149913340935</v>
      </c>
      <c r="L59" s="40">
        <f t="shared" si="4"/>
        <v>1.972850086659065</v>
      </c>
      <c r="M59" s="10">
        <f t="shared" si="39"/>
        <v>4.82235219527956</v>
      </c>
      <c r="N59" s="10">
        <f t="shared" si="5"/>
        <v>8.26</v>
      </c>
      <c r="O59" s="10">
        <f t="shared" si="6"/>
        <v>0.31900000000000001</v>
      </c>
      <c r="P59" s="10">
        <f t="shared" si="40"/>
        <v>13.643935087331295</v>
      </c>
      <c r="Q59" s="42">
        <f t="shared" si="41"/>
        <v>1.7633700917256964E-2</v>
      </c>
      <c r="R59" s="4">
        <f t="shared" si="42"/>
        <v>96966.641512615999</v>
      </c>
      <c r="S59">
        <f t="shared" si="9"/>
        <v>9.6966641512615998E-5</v>
      </c>
      <c r="T59" s="41">
        <f t="shared" si="10"/>
        <v>8.2837730529267836E-5</v>
      </c>
      <c r="U59" s="42">
        <f t="shared" si="43"/>
        <v>0.174011486526465</v>
      </c>
      <c r="V59" s="42">
        <f t="shared" si="44"/>
        <v>0.43736166671252913</v>
      </c>
      <c r="W59" s="42">
        <f t="shared" si="45"/>
        <v>0.42857077832548224</v>
      </c>
      <c r="X59" s="42">
        <f t="shared" si="46"/>
        <v>8.7908883870468912E-3</v>
      </c>
      <c r="Y59" s="42">
        <f t="shared" si="29"/>
        <v>1.2122774487143759E-3</v>
      </c>
      <c r="Z59" s="10">
        <f t="shared" si="47"/>
        <v>14.63436336279227</v>
      </c>
      <c r="AA59">
        <f t="shared" si="14"/>
        <v>4832293.1579045346</v>
      </c>
      <c r="AB59" s="10">
        <f t="shared" si="15"/>
        <v>4.8322931579045347</v>
      </c>
      <c r="AC59" s="10">
        <f t="shared" si="16"/>
        <v>4.7312931579045348</v>
      </c>
      <c r="AD59" s="3">
        <f t="shared" si="17"/>
        <v>686.19190107389909</v>
      </c>
      <c r="AI59" s="94">
        <f t="shared" si="28"/>
        <v>0.42857077832548224</v>
      </c>
    </row>
    <row r="60" spans="2:35">
      <c r="B60" s="39">
        <f t="shared" si="30"/>
        <v>32</v>
      </c>
      <c r="C60" s="42">
        <f t="shared" si="31"/>
        <v>0.21256594724198491</v>
      </c>
      <c r="D60" s="10">
        <f t="shared" si="32"/>
        <v>5.3274340527579866</v>
      </c>
      <c r="E60" s="40">
        <f t="shared" si="33"/>
        <v>20.425131894484025</v>
      </c>
      <c r="F60" s="40">
        <f t="shared" si="34"/>
        <v>31.08</v>
      </c>
      <c r="G60" s="3">
        <f t="shared" si="35"/>
        <v>224.69947242206436</v>
      </c>
      <c r="H60" s="3">
        <f t="shared" si="36"/>
        <v>81.256230789298584</v>
      </c>
      <c r="I60">
        <f t="shared" si="1"/>
        <v>8.1256230789298584E-5</v>
      </c>
      <c r="J60" s="4">
        <f t="shared" si="37"/>
        <v>327.65712833231584</v>
      </c>
      <c r="K60" s="40">
        <f t="shared" si="38"/>
        <v>4.0323938872078244</v>
      </c>
      <c r="L60" s="40">
        <f t="shared" si="4"/>
        <v>1.9676061127921756</v>
      </c>
      <c r="M60" s="10">
        <f t="shared" si="39"/>
        <v>4.8322931579045347</v>
      </c>
      <c r="N60" s="10">
        <f t="shared" si="5"/>
        <v>8.26</v>
      </c>
      <c r="O60" s="10">
        <f t="shared" si="6"/>
        <v>0.31900000000000001</v>
      </c>
      <c r="P60" s="10">
        <f t="shared" si="40"/>
        <v>13.65290101536662</v>
      </c>
      <c r="Q60" s="42">
        <f t="shared" si="41"/>
        <v>1.8120241165650731E-2</v>
      </c>
      <c r="R60" s="4">
        <f t="shared" si="42"/>
        <v>96847.968605158952</v>
      </c>
      <c r="S60">
        <f t="shared" si="9"/>
        <v>9.6847968605158946E-5</v>
      </c>
      <c r="T60" s="41">
        <f t="shared" si="10"/>
        <v>8.2956403436724888E-5</v>
      </c>
      <c r="U60" s="42">
        <f t="shared" si="43"/>
        <v>0.17379852206038798</v>
      </c>
      <c r="V60" s="42">
        <f t="shared" si="44"/>
        <v>0.43771191957928901</v>
      </c>
      <c r="W60" s="42">
        <f t="shared" si="45"/>
        <v>0.42947314822149413</v>
      </c>
      <c r="X60" s="42">
        <f t="shared" si="46"/>
        <v>8.2387713577948829E-3</v>
      </c>
      <c r="Y60" s="42">
        <f t="shared" si="29"/>
        <v>1.2162859425772568E-3</v>
      </c>
      <c r="Z60" s="10">
        <f t="shared" si="47"/>
        <v>14.661748728113324</v>
      </c>
      <c r="AA60">
        <f t="shared" si="14"/>
        <v>4841146.853030053</v>
      </c>
      <c r="AB60" s="10">
        <f t="shared" si="15"/>
        <v>4.841146853030053</v>
      </c>
      <c r="AC60" s="10">
        <f t="shared" si="16"/>
        <v>4.740146853030053</v>
      </c>
      <c r="AD60" s="3">
        <f t="shared" si="17"/>
        <v>687.47597578390901</v>
      </c>
      <c r="AI60" s="94">
        <f t="shared" si="28"/>
        <v>0.42947314822149413</v>
      </c>
    </row>
    <row r="61" spans="2:35">
      <c r="B61" s="39">
        <f t="shared" si="30"/>
        <v>33</v>
      </c>
      <c r="C61" s="42">
        <f t="shared" si="31"/>
        <v>0.21920863309329694</v>
      </c>
      <c r="D61" s="10">
        <f t="shared" si="32"/>
        <v>5.3207913669066738</v>
      </c>
      <c r="E61" s="40">
        <f t="shared" si="33"/>
        <v>20.438417266186651</v>
      </c>
      <c r="F61" s="40">
        <f t="shared" si="34"/>
        <v>31.08</v>
      </c>
      <c r="G61" s="3">
        <f t="shared" si="35"/>
        <v>224.64633093525387</v>
      </c>
      <c r="H61" s="3">
        <f t="shared" si="36"/>
        <v>81.256230789298584</v>
      </c>
      <c r="I61">
        <f t="shared" si="1"/>
        <v>8.1256230789298584E-5</v>
      </c>
      <c r="J61" s="4">
        <f t="shared" si="37"/>
        <v>328.08351113037833</v>
      </c>
      <c r="K61" s="40">
        <f t="shared" si="38"/>
        <v>4.0376412730872921</v>
      </c>
      <c r="L61" s="40">
        <f t="shared" si="4"/>
        <v>1.9623587269127079</v>
      </c>
      <c r="M61" s="10">
        <f t="shared" si="39"/>
        <v>4.841146853030053</v>
      </c>
      <c r="N61" s="10">
        <f t="shared" si="5"/>
        <v>8.26</v>
      </c>
      <c r="O61" s="10">
        <f t="shared" si="6"/>
        <v>0.31900000000000001</v>
      </c>
      <c r="P61" s="10">
        <f t="shared" si="40"/>
        <v>13.660875748668522</v>
      </c>
      <c r="Q61" s="42">
        <f t="shared" si="41"/>
        <v>1.8606497389155249E-2</v>
      </c>
      <c r="R61" s="4">
        <f t="shared" si="42"/>
        <v>96729.278702882366</v>
      </c>
      <c r="S61">
        <f t="shared" si="9"/>
        <v>9.6729278702882362E-5</v>
      </c>
      <c r="T61" s="41">
        <f t="shared" si="10"/>
        <v>8.3075093339001472E-5</v>
      </c>
      <c r="U61" s="42">
        <f t="shared" si="43"/>
        <v>0.17358552709625755</v>
      </c>
      <c r="V61" s="42">
        <f t="shared" si="44"/>
        <v>0.43803030960786732</v>
      </c>
      <c r="W61" s="42">
        <f t="shared" si="45"/>
        <v>0.43027682370556281</v>
      </c>
      <c r="X61" s="42">
        <f t="shared" si="46"/>
        <v>7.7534859023045133E-3</v>
      </c>
      <c r="Y61" s="42">
        <f t="shared" si="29"/>
        <v>1.2200561233511069E-3</v>
      </c>
      <c r="Z61" s="10">
        <f t="shared" si="47"/>
        <v>14.686184201713369</v>
      </c>
      <c r="AA61">
        <f t="shared" si="14"/>
        <v>4849046.8474601489</v>
      </c>
      <c r="AB61" s="10">
        <f t="shared" si="15"/>
        <v>4.8490468474601487</v>
      </c>
      <c r="AC61" s="10">
        <f t="shared" si="16"/>
        <v>4.7480468474601487</v>
      </c>
      <c r="AD61" s="3">
        <f t="shared" si="17"/>
        <v>688.62173277159525</v>
      </c>
      <c r="AI61" s="94">
        <f t="shared" si="28"/>
        <v>0.43027682370556281</v>
      </c>
    </row>
    <row r="62" spans="2:35">
      <c r="B62" s="39">
        <f t="shared" si="30"/>
        <v>34</v>
      </c>
      <c r="C62" s="42">
        <f t="shared" si="31"/>
        <v>0.22585131894460897</v>
      </c>
      <c r="D62" s="10">
        <f t="shared" si="32"/>
        <v>5.3141486810553609</v>
      </c>
      <c r="E62" s="40">
        <f t="shared" si="33"/>
        <v>20.451702637889277</v>
      </c>
      <c r="F62" s="40">
        <f t="shared" si="34"/>
        <v>31.08</v>
      </c>
      <c r="G62" s="3">
        <f t="shared" si="35"/>
        <v>224.59318944844338</v>
      </c>
      <c r="H62" s="3">
        <f t="shared" si="36"/>
        <v>81.256230789298584</v>
      </c>
      <c r="I62">
        <f t="shared" si="1"/>
        <v>8.1256230789298584E-5</v>
      </c>
      <c r="J62" s="4">
        <f t="shared" si="37"/>
        <v>328.51017117572241</v>
      </c>
      <c r="K62" s="40">
        <f t="shared" si="38"/>
        <v>4.0428920709793381</v>
      </c>
      <c r="L62" s="40">
        <f t="shared" si="4"/>
        <v>1.9571079290206619</v>
      </c>
      <c r="M62" s="10">
        <f t="shared" si="39"/>
        <v>4.8490468474601487</v>
      </c>
      <c r="N62" s="10">
        <f t="shared" si="5"/>
        <v>8.26</v>
      </c>
      <c r="O62" s="10">
        <f t="shared" si="6"/>
        <v>0.31900000000000001</v>
      </c>
      <c r="P62" s="10">
        <f t="shared" si="40"/>
        <v>13.6679830805147</v>
      </c>
      <c r="Q62" s="42">
        <f t="shared" si="41"/>
        <v>1.9092500760112149E-2</v>
      </c>
      <c r="R62" s="4">
        <f t="shared" si="42"/>
        <v>96610.571849986227</v>
      </c>
      <c r="S62">
        <f t="shared" si="9"/>
        <v>9.6610571849986226E-5</v>
      </c>
      <c r="T62" s="41">
        <f t="shared" si="10"/>
        <v>8.3193800191897608E-5</v>
      </c>
      <c r="U62" s="42">
        <f t="shared" si="43"/>
        <v>0.17337250171339277</v>
      </c>
      <c r="V62" s="42">
        <f t="shared" si="44"/>
        <v>0.43832079280714525</v>
      </c>
      <c r="W62" s="42">
        <f t="shared" si="45"/>
        <v>0.43099392902235278</v>
      </c>
      <c r="X62" s="42">
        <f t="shared" si="46"/>
        <v>7.32686378479247E-3</v>
      </c>
      <c r="Y62" s="42">
        <f t="shared" si="29"/>
        <v>1.223617003849058E-3</v>
      </c>
      <c r="Z62" s="10">
        <f t="shared" si="47"/>
        <v>14.70803113965971</v>
      </c>
      <c r="AA62">
        <f t="shared" si="14"/>
        <v>4856109.9676973764</v>
      </c>
      <c r="AB62" s="10">
        <f t="shared" si="15"/>
        <v>4.8561099676973765</v>
      </c>
      <c r="AC62" s="10">
        <f t="shared" si="16"/>
        <v>4.7551099676973765</v>
      </c>
      <c r="AD62" s="3">
        <f t="shared" si="17"/>
        <v>689.64611569215026</v>
      </c>
      <c r="AI62" s="94">
        <f t="shared" si="28"/>
        <v>0.43099392902235278</v>
      </c>
    </row>
    <row r="63" spans="2:35">
      <c r="B63" s="39">
        <f t="shared" si="30"/>
        <v>35</v>
      </c>
      <c r="C63" s="42">
        <f t="shared" si="31"/>
        <v>0.232494004795921</v>
      </c>
      <c r="D63" s="10">
        <f t="shared" si="32"/>
        <v>5.307505995204048</v>
      </c>
      <c r="E63" s="40">
        <f t="shared" si="33"/>
        <v>20.464988009591902</v>
      </c>
      <c r="F63" s="40">
        <f t="shared" si="34"/>
        <v>31.08</v>
      </c>
      <c r="G63" s="3">
        <f t="shared" si="35"/>
        <v>224.54004796163289</v>
      </c>
      <c r="H63" s="3">
        <f t="shared" si="36"/>
        <v>81.256230789298584</v>
      </c>
      <c r="I63">
        <f t="shared" si="1"/>
        <v>8.1256230789298584E-5</v>
      </c>
      <c r="J63" s="4">
        <f t="shared" si="37"/>
        <v>328.93710846834801</v>
      </c>
      <c r="K63" s="40">
        <f t="shared" si="38"/>
        <v>4.0481462808839632</v>
      </c>
      <c r="L63" s="40">
        <f t="shared" si="4"/>
        <v>1.9518537191160368</v>
      </c>
      <c r="M63" s="10">
        <f t="shared" si="39"/>
        <v>4.8561099676973765</v>
      </c>
      <c r="N63" s="10">
        <f t="shared" si="5"/>
        <v>8.26</v>
      </c>
      <c r="O63" s="10">
        <f t="shared" si="6"/>
        <v>0.31900000000000001</v>
      </c>
      <c r="P63" s="10">
        <f t="shared" si="40"/>
        <v>13.674330834098701</v>
      </c>
      <c r="Q63" s="42">
        <f t="shared" si="41"/>
        <v>1.9578278523711933E-2</v>
      </c>
      <c r="R63" s="4">
        <f t="shared" si="42"/>
        <v>96491.848090670552</v>
      </c>
      <c r="S63">
        <f t="shared" si="9"/>
        <v>9.6491848090670548E-5</v>
      </c>
      <c r="T63" s="41">
        <f t="shared" si="10"/>
        <v>8.3312523951213285E-5</v>
      </c>
      <c r="U63" s="42">
        <f t="shared" si="43"/>
        <v>0.17315944599111283</v>
      </c>
      <c r="V63" s="42">
        <f t="shared" si="44"/>
        <v>0.43858681529827576</v>
      </c>
      <c r="W63" s="42">
        <f t="shared" si="45"/>
        <v>0.43163506885100222</v>
      </c>
      <c r="X63" s="42">
        <f t="shared" si="46"/>
        <v>6.9517464472735324E-3</v>
      </c>
      <c r="Y63" s="42">
        <f t="shared" si="29"/>
        <v>1.2269940076913273E-3</v>
      </c>
      <c r="Z63" s="10">
        <f t="shared" si="47"/>
        <v>14.727605760807808</v>
      </c>
      <c r="AA63">
        <f t="shared" si="14"/>
        <v>4862438.4473729627</v>
      </c>
      <c r="AB63" s="10">
        <f t="shared" si="15"/>
        <v>4.8624384473729627</v>
      </c>
      <c r="AC63" s="10">
        <f t="shared" si="16"/>
        <v>4.7614384473729627</v>
      </c>
      <c r="AD63" s="3">
        <f t="shared" si="17"/>
        <v>690.56395175822524</v>
      </c>
      <c r="AI63" s="94">
        <f t="shared" si="28"/>
        <v>0.43163506885100222</v>
      </c>
    </row>
    <row r="64" spans="2:35">
      <c r="B64" s="39">
        <f t="shared" si="30"/>
        <v>36</v>
      </c>
      <c r="C64" s="42">
        <f t="shared" si="31"/>
        <v>0.23913669064723303</v>
      </c>
      <c r="D64" s="10">
        <f t="shared" si="32"/>
        <v>5.3008633093527351</v>
      </c>
      <c r="E64" s="40">
        <f t="shared" si="33"/>
        <v>20.478273381294528</v>
      </c>
      <c r="F64" s="40">
        <f t="shared" si="34"/>
        <v>31.08</v>
      </c>
      <c r="G64" s="3">
        <f t="shared" si="35"/>
        <v>224.4869064748224</v>
      </c>
      <c r="H64" s="3">
        <f t="shared" si="36"/>
        <v>81.256230789298584</v>
      </c>
      <c r="I64">
        <f t="shared" si="1"/>
        <v>8.1256230789298584E-5</v>
      </c>
      <c r="J64" s="4">
        <f t="shared" si="37"/>
        <v>329.36432300825527</v>
      </c>
      <c r="K64" s="40">
        <f t="shared" si="38"/>
        <v>4.0534039028011675</v>
      </c>
      <c r="L64" s="40">
        <f t="shared" si="4"/>
        <v>1.9465960971988325</v>
      </c>
      <c r="M64" s="10">
        <f t="shared" si="39"/>
        <v>4.8624384473729627</v>
      </c>
      <c r="N64" s="10">
        <f t="shared" si="5"/>
        <v>8.26</v>
      </c>
      <c r="O64" s="10">
        <f t="shared" si="6"/>
        <v>0.31900000000000001</v>
      </c>
      <c r="P64" s="10">
        <f t="shared" si="40"/>
        <v>13.680013014621021</v>
      </c>
      <c r="Q64" s="42">
        <f t="shared" si="41"/>
        <v>2.0063854512873083E-2</v>
      </c>
      <c r="R64" s="4">
        <f t="shared" si="42"/>
        <v>96373.107469135284</v>
      </c>
      <c r="S64">
        <f t="shared" si="9"/>
        <v>9.6373107469135283E-5</v>
      </c>
      <c r="T64" s="41">
        <f t="shared" si="10"/>
        <v>8.3431264572748551E-5</v>
      </c>
      <c r="U64" s="42">
        <f t="shared" si="43"/>
        <v>0.17294636000873673</v>
      </c>
      <c r="V64" s="42">
        <f t="shared" si="44"/>
        <v>0.43883138197218574</v>
      </c>
      <c r="W64" s="42">
        <f t="shared" si="45"/>
        <v>0.43220952323356127</v>
      </c>
      <c r="X64" s="42">
        <f t="shared" si="46"/>
        <v>6.6218587386244754E-3</v>
      </c>
      <c r="Y64" s="42">
        <f t="shared" si="29"/>
        <v>1.2302094232984203E-3</v>
      </c>
      <c r="Z64" s="10">
        <f t="shared" si="47"/>
        <v>14.745184908778764</v>
      </c>
      <c r="AA64">
        <f t="shared" si="14"/>
        <v>4868121.7900954923</v>
      </c>
      <c r="AB64" s="10">
        <f t="shared" si="15"/>
        <v>4.8681217900954925</v>
      </c>
      <c r="AC64" s="10">
        <f t="shared" si="16"/>
        <v>4.7671217900954925</v>
      </c>
      <c r="AD64" s="3">
        <f t="shared" si="17"/>
        <v>691.38822191377699</v>
      </c>
      <c r="AI64" s="94">
        <f t="shared" si="28"/>
        <v>0.43220952323356127</v>
      </c>
    </row>
    <row r="65" spans="2:35">
      <c r="B65" s="39">
        <f t="shared" si="30"/>
        <v>37</v>
      </c>
      <c r="C65" s="42">
        <f t="shared" si="31"/>
        <v>0.24577937649854506</v>
      </c>
      <c r="D65" s="10">
        <f t="shared" si="32"/>
        <v>5.2942206235014222</v>
      </c>
      <c r="E65" s="40">
        <f t="shared" si="33"/>
        <v>20.491558752997154</v>
      </c>
      <c r="F65" s="40">
        <f t="shared" si="34"/>
        <v>31.08</v>
      </c>
      <c r="G65" s="3">
        <f t="shared" si="35"/>
        <v>224.43376498801192</v>
      </c>
      <c r="H65" s="3">
        <f t="shared" si="36"/>
        <v>81.256230789298584</v>
      </c>
      <c r="I65">
        <f t="shared" si="1"/>
        <v>8.1256230789298584E-5</v>
      </c>
      <c r="J65" s="4">
        <f t="shared" si="37"/>
        <v>329.79181479544405</v>
      </c>
      <c r="K65" s="40">
        <f t="shared" si="38"/>
        <v>4.0586649367309509</v>
      </c>
      <c r="L65" s="40">
        <f t="shared" si="4"/>
        <v>1.9413350632690491</v>
      </c>
      <c r="M65" s="10">
        <f t="shared" si="39"/>
        <v>4.8681217900954925</v>
      </c>
      <c r="N65" s="10">
        <f t="shared" si="5"/>
        <v>8.26</v>
      </c>
      <c r="O65" s="10">
        <f t="shared" si="6"/>
        <v>0.31900000000000001</v>
      </c>
      <c r="P65" s="10">
        <f t="shared" si="40"/>
        <v>13.685111652392681</v>
      </c>
      <c r="Q65" s="42">
        <f t="shared" si="41"/>
        <v>2.0549249591849339E-2</v>
      </c>
      <c r="R65" s="4">
        <f t="shared" si="42"/>
        <v>96254.35002958047</v>
      </c>
      <c r="S65">
        <f t="shared" si="9"/>
        <v>9.6254350029580465E-5</v>
      </c>
      <c r="T65" s="41">
        <f t="shared" si="10"/>
        <v>8.3550022012303369E-5</v>
      </c>
      <c r="U65" s="42">
        <f t="shared" si="43"/>
        <v>0.17273324384558361</v>
      </c>
      <c r="V65" s="42">
        <f t="shared" si="44"/>
        <v>0.43905711529378821</v>
      </c>
      <c r="W65" s="42">
        <f t="shared" si="45"/>
        <v>0.43272541667114894</v>
      </c>
      <c r="X65" s="42">
        <f t="shared" si="46"/>
        <v>6.3316986226392702E-3</v>
      </c>
      <c r="Y65" s="42">
        <f t="shared" si="29"/>
        <v>1.2332827986514102E-3</v>
      </c>
      <c r="Z65" s="10">
        <f t="shared" si="47"/>
        <v>14.76101105598512</v>
      </c>
      <c r="AA65">
        <f t="shared" si="14"/>
        <v>4873238.3872536439</v>
      </c>
      <c r="AB65" s="10">
        <f t="shared" si="15"/>
        <v>4.873238387253644</v>
      </c>
      <c r="AC65" s="10">
        <f t="shared" si="16"/>
        <v>4.772238387253644</v>
      </c>
      <c r="AD65" s="3">
        <f t="shared" si="17"/>
        <v>692.13029546825874</v>
      </c>
      <c r="AI65" s="94">
        <f t="shared" si="28"/>
        <v>0.43272541667114894</v>
      </c>
    </row>
    <row r="66" spans="2:35">
      <c r="B66" s="39">
        <f t="shared" si="30"/>
        <v>38</v>
      </c>
      <c r="C66" s="42">
        <f t="shared" si="31"/>
        <v>0.25242206234985709</v>
      </c>
      <c r="D66" s="10">
        <f t="shared" si="32"/>
        <v>5.2875779376501093</v>
      </c>
      <c r="E66" s="40">
        <f t="shared" si="33"/>
        <v>20.50484412469978</v>
      </c>
      <c r="F66" s="40">
        <f t="shared" si="34"/>
        <v>31.08</v>
      </c>
      <c r="G66" s="3">
        <f t="shared" si="35"/>
        <v>224.38062350120143</v>
      </c>
      <c r="H66" s="3">
        <f t="shared" si="36"/>
        <v>81.256230789298584</v>
      </c>
      <c r="I66">
        <f t="shared" si="1"/>
        <v>8.1256230789298584E-5</v>
      </c>
      <c r="J66" s="4">
        <f t="shared" si="37"/>
        <v>330.21958382991437</v>
      </c>
      <c r="K66" s="40">
        <f t="shared" si="38"/>
        <v>4.0639293826733125</v>
      </c>
      <c r="L66" s="40">
        <f t="shared" si="4"/>
        <v>1.9360706173266875</v>
      </c>
      <c r="M66" s="10">
        <f t="shared" si="39"/>
        <v>4.873238387253644</v>
      </c>
      <c r="N66" s="10">
        <f t="shared" si="5"/>
        <v>8.26</v>
      </c>
      <c r="O66" s="10">
        <f t="shared" si="6"/>
        <v>0.31900000000000001</v>
      </c>
      <c r="P66" s="10">
        <f t="shared" si="40"/>
        <v>13.689698385362224</v>
      </c>
      <c r="Q66" s="42">
        <f t="shared" si="41"/>
        <v>2.1034482039221206E-2</v>
      </c>
      <c r="R66" s="4">
        <f t="shared" si="42"/>
        <v>96135.575816206096</v>
      </c>
      <c r="S66">
        <f t="shared" si="9"/>
        <v>9.6135575816206091E-5</v>
      </c>
      <c r="T66" s="41">
        <f t="shared" si="10"/>
        <v>8.3668796225677743E-5</v>
      </c>
      <c r="U66" s="42">
        <f t="shared" si="43"/>
        <v>0.17252009758097261</v>
      </c>
      <c r="V66" s="42">
        <f t="shared" si="44"/>
        <v>0.4392663057993077</v>
      </c>
      <c r="W66" s="42">
        <f t="shared" si="45"/>
        <v>0.4331898649765813</v>
      </c>
      <c r="X66" s="42">
        <f t="shared" si="46"/>
        <v>6.0764408227264033E-3</v>
      </c>
      <c r="Y66" s="42">
        <f t="shared" si="29"/>
        <v>1.2362312849031321E-3</v>
      </c>
      <c r="Z66" s="10">
        <f t="shared" si="47"/>
        <v>14.775296653828704</v>
      </c>
      <c r="AA66">
        <f t="shared" si="14"/>
        <v>4877856.9244361883</v>
      </c>
      <c r="AB66" s="10">
        <f t="shared" si="15"/>
        <v>4.8778569244361885</v>
      </c>
      <c r="AC66" s="10">
        <f t="shared" si="16"/>
        <v>4.7768569244361885</v>
      </c>
      <c r="AD66" s="3">
        <f t="shared" si="17"/>
        <v>692.8001340734138</v>
      </c>
      <c r="AI66" s="94">
        <f t="shared" si="28"/>
        <v>0.4331898649765813</v>
      </c>
    </row>
    <row r="67" spans="2:35">
      <c r="B67" s="39">
        <f t="shared" si="30"/>
        <v>39</v>
      </c>
      <c r="C67" s="42">
        <f t="shared" si="31"/>
        <v>0.25906474820116909</v>
      </c>
      <c r="D67" s="10">
        <f t="shared" si="32"/>
        <v>5.2809352517987964</v>
      </c>
      <c r="E67" s="40">
        <f t="shared" si="33"/>
        <v>20.518129496402405</v>
      </c>
      <c r="F67" s="40">
        <f t="shared" si="34"/>
        <v>31.08</v>
      </c>
      <c r="G67" s="3">
        <f t="shared" si="35"/>
        <v>224.32748201439094</v>
      </c>
      <c r="H67" s="3">
        <f t="shared" si="36"/>
        <v>81.256230789298584</v>
      </c>
      <c r="I67">
        <f t="shared" si="1"/>
        <v>8.1256230789298584E-5</v>
      </c>
      <c r="J67" s="4">
        <f t="shared" si="37"/>
        <v>330.64763011166622</v>
      </c>
      <c r="K67" s="40">
        <f t="shared" si="38"/>
        <v>4.0691972406282524</v>
      </c>
      <c r="L67" s="40">
        <f t="shared" si="4"/>
        <v>1.9308027593717476</v>
      </c>
      <c r="M67" s="10">
        <f t="shared" si="39"/>
        <v>4.8778569244361885</v>
      </c>
      <c r="N67" s="10">
        <f t="shared" si="5"/>
        <v>8.26</v>
      </c>
      <c r="O67" s="10">
        <f t="shared" si="6"/>
        <v>0.31900000000000001</v>
      </c>
      <c r="P67" s="10">
        <f t="shared" si="40"/>
        <v>13.693835821029126</v>
      </c>
      <c r="Q67" s="42">
        <f t="shared" si="41"/>
        <v>2.1519567879166146E-2</v>
      </c>
      <c r="R67" s="4">
        <f t="shared" si="42"/>
        <v>96016.784873212178</v>
      </c>
      <c r="S67">
        <f t="shared" si="9"/>
        <v>9.6016784873212183E-5</v>
      </c>
      <c r="T67" s="41">
        <f t="shared" si="10"/>
        <v>8.3787587168671651E-5</v>
      </c>
      <c r="U67" s="42">
        <f t="shared" si="43"/>
        <v>0.1723069212942229</v>
      </c>
      <c r="V67" s="42">
        <f t="shared" si="44"/>
        <v>0.43946095555770814</v>
      </c>
      <c r="W67" s="42">
        <f t="shared" si="45"/>
        <v>0.43360910293917748</v>
      </c>
      <c r="X67" s="42">
        <f t="shared" si="46"/>
        <v>5.8518526185306619E-3</v>
      </c>
      <c r="Y67" s="42">
        <f t="shared" si="29"/>
        <v>1.2390699357458261E-3</v>
      </c>
      <c r="Z67" s="10">
        <f t="shared" si="47"/>
        <v>14.788227917954854</v>
      </c>
      <c r="AA67">
        <f t="shared" si="14"/>
        <v>4882037.6052055797</v>
      </c>
      <c r="AB67" s="10">
        <f t="shared" si="15"/>
        <v>4.8820376052055794</v>
      </c>
      <c r="AC67" s="10">
        <f t="shared" si="16"/>
        <v>4.7810376052055794</v>
      </c>
      <c r="AD67" s="3">
        <f t="shared" si="17"/>
        <v>693.40646921038137</v>
      </c>
      <c r="AI67" s="94">
        <f t="shared" si="28"/>
        <v>0.43360910293917748</v>
      </c>
    </row>
    <row r="68" spans="2:35">
      <c r="B68" s="39">
        <f t="shared" si="30"/>
        <v>40</v>
      </c>
      <c r="C68" s="42">
        <f t="shared" si="31"/>
        <v>0.2657074340524811</v>
      </c>
      <c r="D68" s="10">
        <f t="shared" si="32"/>
        <v>5.2742925659474835</v>
      </c>
      <c r="E68" s="40">
        <f t="shared" si="33"/>
        <v>20.531414868105031</v>
      </c>
      <c r="F68" s="40">
        <f t="shared" si="34"/>
        <v>31.08</v>
      </c>
      <c r="G68" s="3">
        <f t="shared" si="35"/>
        <v>224.27434052758045</v>
      </c>
      <c r="H68" s="3">
        <f t="shared" si="36"/>
        <v>81.256230789298584</v>
      </c>
      <c r="I68">
        <f t="shared" si="1"/>
        <v>8.1256230789298584E-5</v>
      </c>
      <c r="J68" s="4">
        <f t="shared" si="37"/>
        <v>331.07595364069977</v>
      </c>
      <c r="K68" s="40">
        <f t="shared" si="38"/>
        <v>4.0744685105957723</v>
      </c>
      <c r="L68" s="40">
        <f t="shared" si="4"/>
        <v>1.9255314894042277</v>
      </c>
      <c r="M68" s="10">
        <f t="shared" si="39"/>
        <v>4.8820376052055794</v>
      </c>
      <c r="N68" s="10">
        <f t="shared" si="5"/>
        <v>8.26</v>
      </c>
      <c r="O68" s="10">
        <f t="shared" si="6"/>
        <v>0.31900000000000001</v>
      </c>
      <c r="P68" s="10">
        <f t="shared" si="40"/>
        <v>13.697578710906635</v>
      </c>
      <c r="Q68" s="42">
        <f t="shared" si="41"/>
        <v>2.2004521168467038E-2</v>
      </c>
      <c r="R68" s="4">
        <f t="shared" si="42"/>
        <v>95897.977244798662</v>
      </c>
      <c r="S68">
        <f t="shared" si="9"/>
        <v>9.5897977244798667E-5</v>
      </c>
      <c r="T68" s="41">
        <f t="shared" si="10"/>
        <v>8.3906394797085166E-5</v>
      </c>
      <c r="U68" s="42">
        <f t="shared" si="43"/>
        <v>0.17209371506465343</v>
      </c>
      <c r="V68" s="42">
        <f t="shared" si="44"/>
        <v>0.43964281565514463</v>
      </c>
      <c r="W68" s="42">
        <f t="shared" si="45"/>
        <v>0.43398859541022422</v>
      </c>
      <c r="X68" s="42">
        <f t="shared" si="46"/>
        <v>5.6542202449204049E-3</v>
      </c>
      <c r="Y68" s="42">
        <f t="shared" si="29"/>
        <v>1.2418119684520319E-3</v>
      </c>
      <c r="Z68" s="10">
        <f t="shared" si="47"/>
        <v>14.799968124660403</v>
      </c>
      <c r="AA68">
        <f t="shared" si="14"/>
        <v>4885833.2168274401</v>
      </c>
      <c r="AB68" s="10">
        <f t="shared" si="15"/>
        <v>4.8858332168274403</v>
      </c>
      <c r="AC68" s="10">
        <f t="shared" si="16"/>
        <v>4.7848332168274403</v>
      </c>
      <c r="AD68" s="3">
        <f t="shared" si="17"/>
        <v>693.95695675524871</v>
      </c>
      <c r="AI68" s="94">
        <f t="shared" si="28"/>
        <v>0.43398859541022422</v>
      </c>
    </row>
    <row r="69" spans="2:35">
      <c r="B69" s="39">
        <f t="shared" si="30"/>
        <v>41</v>
      </c>
      <c r="C69" s="42">
        <f t="shared" si="31"/>
        <v>0.2723501199037931</v>
      </c>
      <c r="D69" s="10">
        <f t="shared" si="32"/>
        <v>5.2676498800961706</v>
      </c>
      <c r="E69" s="40">
        <f t="shared" si="33"/>
        <v>20.544700239807657</v>
      </c>
      <c r="F69" s="40">
        <f t="shared" si="34"/>
        <v>31.08</v>
      </c>
      <c r="G69" s="3">
        <f t="shared" si="35"/>
        <v>224.22119904076996</v>
      </c>
      <c r="H69" s="3">
        <f t="shared" si="36"/>
        <v>81.256230789298584</v>
      </c>
      <c r="I69">
        <f t="shared" si="1"/>
        <v>8.1256230789298584E-5</v>
      </c>
      <c r="J69" s="4">
        <f t="shared" si="37"/>
        <v>331.50455441701479</v>
      </c>
      <c r="K69" s="40">
        <f t="shared" si="38"/>
        <v>4.0797431925758714</v>
      </c>
      <c r="L69" s="40">
        <f t="shared" si="4"/>
        <v>1.9202568074241286</v>
      </c>
      <c r="M69" s="10">
        <f t="shared" si="39"/>
        <v>4.8858332168274403</v>
      </c>
      <c r="N69" s="10">
        <f t="shared" si="5"/>
        <v>8.26</v>
      </c>
      <c r="O69" s="10">
        <f t="shared" si="6"/>
        <v>0.31900000000000001</v>
      </c>
      <c r="P69" s="10">
        <f t="shared" si="40"/>
        <v>13.700974965201674</v>
      </c>
      <c r="Q69" s="42">
        <f t="shared" si="41"/>
        <v>2.2489354245542457E-2</v>
      </c>
      <c r="R69" s="4">
        <f t="shared" si="42"/>
        <v>95779.152975165605</v>
      </c>
      <c r="S69">
        <f t="shared" si="9"/>
        <v>9.5779152975165608E-5</v>
      </c>
      <c r="T69" s="41">
        <f t="shared" si="10"/>
        <v>8.4025219066718226E-5</v>
      </c>
      <c r="U69" s="42">
        <f t="shared" si="43"/>
        <v>0.17188047897158343</v>
      </c>
      <c r="V69" s="42">
        <f t="shared" si="44"/>
        <v>0.43981341858165174</v>
      </c>
      <c r="W69" s="42">
        <f t="shared" si="45"/>
        <v>0.43433313404231955</v>
      </c>
      <c r="X69" s="42">
        <f t="shared" si="46"/>
        <v>5.480284539332192E-3</v>
      </c>
      <c r="Y69" s="42">
        <f t="shared" si="29"/>
        <v>1.2444689916684853E-3</v>
      </c>
      <c r="Z69" s="10">
        <f t="shared" si="47"/>
        <v>14.810660483733393</v>
      </c>
      <c r="AA69">
        <f t="shared" si="14"/>
        <v>4889290.0590603258</v>
      </c>
      <c r="AB69" s="10">
        <f t="shared" si="15"/>
        <v>4.8892900590603254</v>
      </c>
      <c r="AC69" s="10">
        <f t="shared" si="16"/>
        <v>4.7882900590603255</v>
      </c>
      <c r="AD69" s="3">
        <f t="shared" si="17"/>
        <v>694.4583116838761</v>
      </c>
      <c r="AI69" s="94">
        <f t="shared" si="28"/>
        <v>0.43433313404231955</v>
      </c>
    </row>
    <row r="70" spans="2:35">
      <c r="B70" s="39">
        <f t="shared" si="30"/>
        <v>42</v>
      </c>
      <c r="C70" s="42">
        <f t="shared" si="31"/>
        <v>0.2789928057551051</v>
      </c>
      <c r="D70" s="10">
        <f t="shared" si="32"/>
        <v>5.2610071942448577</v>
      </c>
      <c r="E70" s="40">
        <f t="shared" si="33"/>
        <v>20.557985611510283</v>
      </c>
      <c r="F70" s="40">
        <f t="shared" si="34"/>
        <v>31.08</v>
      </c>
      <c r="G70" s="3">
        <f t="shared" si="35"/>
        <v>224.16805755395947</v>
      </c>
      <c r="H70" s="3">
        <f t="shared" si="36"/>
        <v>81.256230789298584</v>
      </c>
      <c r="I70">
        <f t="shared" si="1"/>
        <v>8.1256230789298584E-5</v>
      </c>
      <c r="J70" s="4">
        <f t="shared" si="37"/>
        <v>331.93343244061128</v>
      </c>
      <c r="K70" s="40">
        <f t="shared" si="38"/>
        <v>4.0850212865685469</v>
      </c>
      <c r="L70" s="40">
        <f t="shared" si="4"/>
        <v>1.9149787134314531</v>
      </c>
      <c r="M70" s="10">
        <f t="shared" si="39"/>
        <v>4.8892900590603254</v>
      </c>
      <c r="N70" s="10">
        <f t="shared" si="5"/>
        <v>8.26</v>
      </c>
      <c r="O70" s="10">
        <f t="shared" si="6"/>
        <v>0.31900000000000001</v>
      </c>
      <c r="P70" s="10">
        <f t="shared" si="40"/>
        <v>13.704066530895721</v>
      </c>
      <c r="Q70" s="42">
        <f t="shared" si="41"/>
        <v>2.2974077946812891E-2</v>
      </c>
      <c r="R70" s="4">
        <f t="shared" si="42"/>
        <v>95660.312108512997</v>
      </c>
      <c r="S70">
        <f t="shared" si="9"/>
        <v>9.5660312108513E-5</v>
      </c>
      <c r="T70" s="41">
        <f t="shared" si="10"/>
        <v>8.4144059933370833E-5</v>
      </c>
      <c r="U70" s="42">
        <f t="shared" si="43"/>
        <v>0.171667213094332</v>
      </c>
      <c r="V70" s="42">
        <f t="shared" si="44"/>
        <v>0.43997410626398209</v>
      </c>
      <c r="W70" s="42">
        <f t="shared" si="45"/>
        <v>0.43464692159830343</v>
      </c>
      <c r="X70" s="42">
        <f t="shared" si="46"/>
        <v>5.3271846656786637E-3</v>
      </c>
      <c r="Y70" s="42">
        <f t="shared" si="29"/>
        <v>1.2470512043369841E-3</v>
      </c>
      <c r="Z70" s="10">
        <f t="shared" si="47"/>
        <v>14.820430643879758</v>
      </c>
      <c r="AA70">
        <f t="shared" si="14"/>
        <v>4892448.7541607674</v>
      </c>
      <c r="AB70" s="10">
        <f t="shared" si="15"/>
        <v>4.8924487541607675</v>
      </c>
      <c r="AC70" s="10">
        <f t="shared" si="16"/>
        <v>4.7914487541607675</v>
      </c>
      <c r="AD70" s="3">
        <f t="shared" si="17"/>
        <v>694.9164255490598</v>
      </c>
      <c r="AI70" s="94">
        <f t="shared" si="28"/>
        <v>0.43464692159830343</v>
      </c>
    </row>
    <row r="71" spans="2:35">
      <c r="B71" s="39">
        <f t="shared" si="30"/>
        <v>43</v>
      </c>
      <c r="C71" s="42">
        <f t="shared" si="31"/>
        <v>0.2856354916064171</v>
      </c>
      <c r="D71" s="10">
        <f t="shared" si="32"/>
        <v>5.2543645083935449</v>
      </c>
      <c r="E71" s="40">
        <f t="shared" si="33"/>
        <v>20.571270983212909</v>
      </c>
      <c r="F71" s="40">
        <f t="shared" si="34"/>
        <v>31.08</v>
      </c>
      <c r="G71" s="3">
        <f t="shared" si="35"/>
        <v>224.11491606714898</v>
      </c>
      <c r="H71" s="3">
        <f t="shared" si="36"/>
        <v>81.256230789298584</v>
      </c>
      <c r="I71">
        <f t="shared" si="1"/>
        <v>8.1256230789298584E-5</v>
      </c>
      <c r="J71" s="4">
        <f t="shared" si="37"/>
        <v>332.36258771148948</v>
      </c>
      <c r="K71" s="40">
        <f t="shared" si="38"/>
        <v>4.0903027925738034</v>
      </c>
      <c r="L71" s="40">
        <f t="shared" si="4"/>
        <v>1.9096972074261966</v>
      </c>
      <c r="M71" s="10">
        <f t="shared" si="39"/>
        <v>4.8924487541607675</v>
      </c>
      <c r="N71" s="10">
        <f t="shared" si="5"/>
        <v>8.26</v>
      </c>
      <c r="O71" s="10">
        <f t="shared" si="6"/>
        <v>0.31900000000000001</v>
      </c>
      <c r="P71" s="10">
        <f t="shared" si="40"/>
        <v>13.70689015274856</v>
      </c>
      <c r="Q71" s="42">
        <f t="shared" si="41"/>
        <v>2.3458701794913113E-2</v>
      </c>
      <c r="R71" s="4">
        <f t="shared" si="42"/>
        <v>95541.45468904078</v>
      </c>
      <c r="S71">
        <f t="shared" si="9"/>
        <v>9.5541454689040785E-5</v>
      </c>
      <c r="T71" s="41">
        <f t="shared" si="10"/>
        <v>8.4262917352843049E-5</v>
      </c>
      <c r="U71" s="42">
        <f t="shared" si="43"/>
        <v>0.17145391751221811</v>
      </c>
      <c r="V71" s="42">
        <f t="shared" si="44"/>
        <v>0.44012605436160213</v>
      </c>
      <c r="W71" s="42">
        <f t="shared" si="45"/>
        <v>0.43493364547775543</v>
      </c>
      <c r="X71" s="42">
        <f t="shared" si="46"/>
        <v>5.1924088838466997E-3</v>
      </c>
      <c r="Y71" s="42">
        <f t="shared" si="29"/>
        <v>1.2495675695111837E-3</v>
      </c>
      <c r="Z71" s="10">
        <f t="shared" si="47"/>
        <v>14.829388879081137</v>
      </c>
      <c r="AA71">
        <f t="shared" si="14"/>
        <v>4895344.953733271</v>
      </c>
      <c r="AB71" s="10">
        <f t="shared" si="15"/>
        <v>4.8953449537332707</v>
      </c>
      <c r="AC71" s="10">
        <f t="shared" si="16"/>
        <v>4.7943449537332707</v>
      </c>
      <c r="AD71" s="3">
        <f t="shared" si="17"/>
        <v>695.33646899684857</v>
      </c>
      <c r="AI71" s="94">
        <f t="shared" si="28"/>
        <v>0.43493364547775543</v>
      </c>
    </row>
    <row r="72" spans="2:35">
      <c r="B72" s="39">
        <f t="shared" si="30"/>
        <v>44</v>
      </c>
      <c r="C72" s="42">
        <f t="shared" si="31"/>
        <v>0.2922781774577291</v>
      </c>
      <c r="D72" s="10">
        <f t="shared" si="32"/>
        <v>5.247721822542232</v>
      </c>
      <c r="E72" s="40">
        <f t="shared" si="33"/>
        <v>20.584556354915534</v>
      </c>
      <c r="F72" s="40">
        <f t="shared" si="34"/>
        <v>31.08</v>
      </c>
      <c r="G72" s="3">
        <f t="shared" si="35"/>
        <v>224.06177458033849</v>
      </c>
      <c r="H72" s="3">
        <f t="shared" si="36"/>
        <v>81.256230789298584</v>
      </c>
      <c r="I72">
        <f t="shared" si="1"/>
        <v>8.1256230789298584E-5</v>
      </c>
      <c r="J72" s="4">
        <f t="shared" si="37"/>
        <v>332.79202022964915</v>
      </c>
      <c r="K72" s="40">
        <f t="shared" si="38"/>
        <v>4.0955877105916381</v>
      </c>
      <c r="L72" s="40">
        <f t="shared" si="4"/>
        <v>1.9044122894083619</v>
      </c>
      <c r="M72" s="10">
        <f t="shared" si="39"/>
        <v>4.8953449537332707</v>
      </c>
      <c r="N72" s="10">
        <f t="shared" si="5"/>
        <v>8.26</v>
      </c>
      <c r="O72" s="10">
        <f t="shared" si="6"/>
        <v>0.31900000000000001</v>
      </c>
      <c r="P72" s="10">
        <f t="shared" si="40"/>
        <v>13.70947803371223</v>
      </c>
      <c r="Q72" s="42">
        <f t="shared" si="41"/>
        <v>2.3943234162591691E-2</v>
      </c>
      <c r="R72" s="4">
        <f t="shared" si="42"/>
        <v>95422.580760949029</v>
      </c>
      <c r="S72">
        <f t="shared" si="9"/>
        <v>9.5422580760949025E-5</v>
      </c>
      <c r="T72" s="41">
        <f t="shared" si="10"/>
        <v>8.4381791280934809E-5</v>
      </c>
      <c r="U72" s="42">
        <f t="shared" si="43"/>
        <v>0.17124059230456107</v>
      </c>
      <c r="V72" s="42">
        <f t="shared" si="44"/>
        <v>0.4402702933533581</v>
      </c>
      <c r="W72" s="42">
        <f t="shared" si="45"/>
        <v>0.43519654187981038</v>
      </c>
      <c r="X72" s="42">
        <f t="shared" si="46"/>
        <v>5.0737514735477163E-3</v>
      </c>
      <c r="Y72" s="42">
        <f t="shared" si="29"/>
        <v>1.2520259663256744E-3</v>
      </c>
      <c r="Z72" s="10">
        <f t="shared" si="47"/>
        <v>14.837631997610327</v>
      </c>
      <c r="AA72">
        <f t="shared" si="14"/>
        <v>4898009.9559154715</v>
      </c>
      <c r="AB72" s="10">
        <f t="shared" si="15"/>
        <v>4.8980099559154713</v>
      </c>
      <c r="AC72" s="10">
        <f t="shared" si="16"/>
        <v>4.7970099559154713</v>
      </c>
      <c r="AD72" s="3">
        <f t="shared" si="17"/>
        <v>695.72298127853105</v>
      </c>
      <c r="AI72" s="94">
        <f t="shared" si="28"/>
        <v>0.43519654187981038</v>
      </c>
    </row>
    <row r="73" spans="2:35">
      <c r="B73" s="39">
        <f t="shared" si="30"/>
        <v>45</v>
      </c>
      <c r="C73" s="42">
        <f t="shared" si="31"/>
        <v>0.29892086330904111</v>
      </c>
      <c r="D73" s="10">
        <f t="shared" si="32"/>
        <v>5.2410791366909191</v>
      </c>
      <c r="E73" s="40">
        <f t="shared" si="33"/>
        <v>20.59784172661816</v>
      </c>
      <c r="F73" s="40">
        <f t="shared" si="34"/>
        <v>31.08</v>
      </c>
      <c r="G73" s="3">
        <f t="shared" si="35"/>
        <v>224.008633093528</v>
      </c>
      <c r="H73" s="3">
        <f t="shared" si="36"/>
        <v>81.256230789298584</v>
      </c>
      <c r="I73">
        <f t="shared" si="1"/>
        <v>8.1256230789298584E-5</v>
      </c>
      <c r="J73" s="4">
        <f t="shared" si="37"/>
        <v>333.22172999509036</v>
      </c>
      <c r="K73" s="40">
        <f t="shared" si="38"/>
        <v>4.100876040622051</v>
      </c>
      <c r="L73" s="40">
        <f t="shared" si="4"/>
        <v>1.899123959377949</v>
      </c>
      <c r="M73" s="10">
        <f t="shared" si="39"/>
        <v>4.8980099559154713</v>
      </c>
      <c r="N73" s="10">
        <f t="shared" si="5"/>
        <v>8.26</v>
      </c>
      <c r="O73" s="10">
        <f t="shared" si="6"/>
        <v>0.31900000000000001</v>
      </c>
      <c r="P73" s="10">
        <f t="shared" si="40"/>
        <v>13.711858408739689</v>
      </c>
      <c r="Q73" s="42">
        <f t="shared" si="41"/>
        <v>2.4427682415578179E-2</v>
      </c>
      <c r="R73" s="4">
        <f t="shared" si="42"/>
        <v>95303.690368437703</v>
      </c>
      <c r="S73">
        <f t="shared" si="9"/>
        <v>9.5303690368437702E-5</v>
      </c>
      <c r="T73" s="41">
        <f t="shared" si="10"/>
        <v>8.4500681673446132E-5</v>
      </c>
      <c r="U73" s="42">
        <f t="shared" si="43"/>
        <v>0.17102723755067986</v>
      </c>
      <c r="V73" s="42">
        <f t="shared" si="44"/>
        <v>0.44040772686439483</v>
      </c>
      <c r="W73" s="42">
        <f t="shared" si="45"/>
        <v>0.43543845182683938</v>
      </c>
      <c r="X73" s="42">
        <f t="shared" si="46"/>
        <v>4.969275037555454E-3</v>
      </c>
      <c r="Y73" s="42">
        <f t="shared" si="29"/>
        <v>1.2544333229362273E-3</v>
      </c>
      <c r="Z73" s="10">
        <f t="shared" si="47"/>
        <v>14.845245009785833</v>
      </c>
      <c r="AA73">
        <f t="shared" si="14"/>
        <v>4900471.2445635721</v>
      </c>
      <c r="AB73" s="10">
        <f t="shared" si="15"/>
        <v>4.9004712445635725</v>
      </c>
      <c r="AC73" s="10">
        <f t="shared" si="16"/>
        <v>4.7994712445635725</v>
      </c>
      <c r="AD73" s="3">
        <f t="shared" si="17"/>
        <v>696.07994845011922</v>
      </c>
      <c r="AI73" s="94">
        <f t="shared" si="28"/>
        <v>0.43543845182683938</v>
      </c>
    </row>
    <row r="74" spans="2:35">
      <c r="B74" s="39">
        <f t="shared" si="30"/>
        <v>46</v>
      </c>
      <c r="C74" s="42">
        <f t="shared" si="31"/>
        <v>0.30556354916035311</v>
      </c>
      <c r="D74" s="10">
        <f t="shared" si="32"/>
        <v>5.2344364508396062</v>
      </c>
      <c r="E74" s="40">
        <f t="shared" si="33"/>
        <v>20.611127098320786</v>
      </c>
      <c r="F74" s="40">
        <f t="shared" si="34"/>
        <v>31.08</v>
      </c>
      <c r="G74" s="3">
        <f t="shared" si="35"/>
        <v>223.95549160671752</v>
      </c>
      <c r="H74" s="3">
        <f t="shared" si="36"/>
        <v>81.256230789298584</v>
      </c>
      <c r="I74">
        <f t="shared" si="1"/>
        <v>8.1256230789298584E-5</v>
      </c>
      <c r="J74" s="4">
        <f t="shared" si="37"/>
        <v>333.6517170078132</v>
      </c>
      <c r="K74" s="40">
        <f t="shared" si="38"/>
        <v>4.1061677826650431</v>
      </c>
      <c r="L74" s="40">
        <f t="shared" si="4"/>
        <v>1.8938322173349569</v>
      </c>
      <c r="M74" s="10">
        <f t="shared" si="39"/>
        <v>4.9004712445635725</v>
      </c>
      <c r="N74" s="10">
        <f t="shared" si="5"/>
        <v>8.26</v>
      </c>
      <c r="O74" s="10">
        <f t="shared" si="6"/>
        <v>0.31900000000000001</v>
      </c>
      <c r="P74" s="10">
        <f t="shared" si="40"/>
        <v>13.71405604389194</v>
      </c>
      <c r="Q74" s="42">
        <f t="shared" si="41"/>
        <v>2.4912053037227388E-2</v>
      </c>
      <c r="R74" s="4">
        <f t="shared" si="42"/>
        <v>95184.783555706788</v>
      </c>
      <c r="S74">
        <f t="shared" si="9"/>
        <v>9.5184783555706784E-5</v>
      </c>
      <c r="T74" s="41">
        <f t="shared" si="10"/>
        <v>8.461958848617705E-5</v>
      </c>
      <c r="U74" s="42">
        <f t="shared" si="43"/>
        <v>0.1708138533298936</v>
      </c>
      <c r="V74" s="42">
        <f t="shared" si="44"/>
        <v>0.44053914760503043</v>
      </c>
      <c r="W74" s="42">
        <f t="shared" si="45"/>
        <v>0.43566187010786805</v>
      </c>
      <c r="X74" s="42">
        <f t="shared" si="46"/>
        <v>4.87727749716238E-3</v>
      </c>
      <c r="Y74" s="42">
        <f t="shared" si="29"/>
        <v>1.2567957328694836E-3</v>
      </c>
      <c r="Z74" s="10">
        <f t="shared" si="47"/>
        <v>14.852302585645241</v>
      </c>
      <c r="AA74">
        <f t="shared" si="14"/>
        <v>4902752.9605184942</v>
      </c>
      <c r="AB74" s="10">
        <f t="shared" si="15"/>
        <v>4.9027529605184945</v>
      </c>
      <c r="AC74" s="10">
        <f t="shared" si="16"/>
        <v>4.8017529605184945</v>
      </c>
      <c r="AD74" s="3">
        <f t="shared" si="17"/>
        <v>696.41087172131893</v>
      </c>
      <c r="AI74" s="94">
        <f t="shared" si="28"/>
        <v>0.43566187010786805</v>
      </c>
    </row>
    <row r="75" spans="2:35">
      <c r="B75" s="39">
        <f t="shared" si="30"/>
        <v>47</v>
      </c>
      <c r="C75" s="42">
        <f t="shared" si="31"/>
        <v>0.31220623501166511</v>
      </c>
      <c r="D75" s="10">
        <f t="shared" si="32"/>
        <v>5.2277937649882933</v>
      </c>
      <c r="E75" s="40">
        <f t="shared" si="33"/>
        <v>20.624412470023412</v>
      </c>
      <c r="F75" s="40">
        <f t="shared" si="34"/>
        <v>31.08</v>
      </c>
      <c r="G75" s="3">
        <f t="shared" si="35"/>
        <v>223.90235011990703</v>
      </c>
      <c r="H75" s="3">
        <f t="shared" si="36"/>
        <v>81.256230789298584</v>
      </c>
      <c r="I75">
        <f t="shared" si="1"/>
        <v>8.1256230789298584E-5</v>
      </c>
      <c r="J75" s="4">
        <f t="shared" si="37"/>
        <v>334.08198126781758</v>
      </c>
      <c r="K75" s="40">
        <f t="shared" si="38"/>
        <v>4.1114629367206144</v>
      </c>
      <c r="L75" s="40">
        <f t="shared" si="4"/>
        <v>1.8885370632793856</v>
      </c>
      <c r="M75" s="10">
        <f t="shared" si="39"/>
        <v>4.9027529605184945</v>
      </c>
      <c r="N75" s="10">
        <f t="shared" si="5"/>
        <v>8.26</v>
      </c>
      <c r="O75" s="10">
        <f t="shared" si="6"/>
        <v>0.31900000000000001</v>
      </c>
      <c r="P75" s="10">
        <f t="shared" si="40"/>
        <v>13.716092670888127</v>
      </c>
      <c r="Q75" s="42">
        <f t="shared" si="41"/>
        <v>2.5396351737352888E-2</v>
      </c>
      <c r="R75" s="4">
        <f t="shared" si="42"/>
        <v>95065.860366956302</v>
      </c>
      <c r="S75">
        <f t="shared" si="9"/>
        <v>9.5065860366956307E-5</v>
      </c>
      <c r="T75" s="41">
        <f t="shared" si="10"/>
        <v>8.4738511674927526E-5</v>
      </c>
      <c r="U75" s="42">
        <f t="shared" si="43"/>
        <v>0.17060043972152142</v>
      </c>
      <c r="V75" s="42">
        <f t="shared" si="44"/>
        <v>0.44066525125274542</v>
      </c>
      <c r="W75" s="42">
        <f t="shared" si="45"/>
        <v>0.43586898805676755</v>
      </c>
      <c r="X75" s="42">
        <f t="shared" si="46"/>
        <v>4.7962631959778679E-3</v>
      </c>
      <c r="Y75" s="42">
        <f t="shared" si="29"/>
        <v>1.2591185569007556E-3</v>
      </c>
      <c r="Z75" s="10">
        <f t="shared" si="47"/>
        <v>14.858870329596598</v>
      </c>
      <c r="AA75">
        <f t="shared" si="14"/>
        <v>4904876.3137009712</v>
      </c>
      <c r="AB75" s="10">
        <f t="shared" si="15"/>
        <v>4.9048763137009708</v>
      </c>
      <c r="AC75" s="10">
        <f t="shared" si="16"/>
        <v>4.8038763137009708</v>
      </c>
      <c r="AD75" s="3">
        <f t="shared" si="17"/>
        <v>696.71882722276598</v>
      </c>
      <c r="AI75" s="94">
        <f t="shared" si="28"/>
        <v>0.43586898805676755</v>
      </c>
    </row>
    <row r="76" spans="2:35">
      <c r="B76" s="39">
        <f t="shared" si="30"/>
        <v>48</v>
      </c>
      <c r="C76" s="42">
        <f t="shared" si="31"/>
        <v>0.31884892086297711</v>
      </c>
      <c r="D76" s="10">
        <f t="shared" si="32"/>
        <v>5.2211510791369804</v>
      </c>
      <c r="E76" s="40">
        <f t="shared" si="33"/>
        <v>20.637697841726037</v>
      </c>
      <c r="F76" s="40">
        <f t="shared" si="34"/>
        <v>31.08</v>
      </c>
      <c r="G76" s="3">
        <f t="shared" si="35"/>
        <v>223.84920863309654</v>
      </c>
      <c r="H76" s="3">
        <f t="shared" si="36"/>
        <v>81.256230789298584</v>
      </c>
      <c r="I76">
        <f t="shared" si="1"/>
        <v>8.1256230789298584E-5</v>
      </c>
      <c r="J76" s="4">
        <f t="shared" si="37"/>
        <v>334.51252277510343</v>
      </c>
      <c r="K76" s="40">
        <f t="shared" si="38"/>
        <v>4.1167615027887638</v>
      </c>
      <c r="L76" s="40">
        <f t="shared" si="4"/>
        <v>1.8832384972112362</v>
      </c>
      <c r="M76" s="10">
        <f t="shared" si="39"/>
        <v>4.9048763137009708</v>
      </c>
      <c r="N76" s="10">
        <f t="shared" si="5"/>
        <v>8.26</v>
      </c>
      <c r="O76" s="10">
        <f t="shared" si="6"/>
        <v>0.31900000000000001</v>
      </c>
      <c r="P76" s="10">
        <f t="shared" si="40"/>
        <v>13.717987365790373</v>
      </c>
      <c r="Q76" s="42">
        <f t="shared" si="41"/>
        <v>2.5880583547325059E-2</v>
      </c>
      <c r="R76" s="4">
        <f t="shared" si="42"/>
        <v>94946.92084638626</v>
      </c>
      <c r="S76">
        <f t="shared" si="9"/>
        <v>9.4946920846386253E-5</v>
      </c>
      <c r="T76" s="41">
        <f t="shared" si="10"/>
        <v>8.4857451195497581E-5</v>
      </c>
      <c r="U76" s="42">
        <f t="shared" si="43"/>
        <v>0.17038699680488245</v>
      </c>
      <c r="V76" s="42">
        <f t="shared" si="44"/>
        <v>0.44078664855006949</v>
      </c>
      <c r="W76" s="42">
        <f t="shared" si="45"/>
        <v>0.4360617309593165</v>
      </c>
      <c r="X76" s="42">
        <f t="shared" si="46"/>
        <v>4.7249175907529972E-3</v>
      </c>
      <c r="Y76" s="42">
        <f t="shared" si="29"/>
        <v>1.2614065122976952E-3</v>
      </c>
      <c r="Z76" s="10">
        <f t="shared" si="47"/>
        <v>14.865005895494345</v>
      </c>
      <c r="AA76">
        <f t="shared" si="14"/>
        <v>4906859.9436158678</v>
      </c>
      <c r="AB76" s="10">
        <f t="shared" si="15"/>
        <v>4.906859943615868</v>
      </c>
      <c r="AC76" s="10">
        <f t="shared" si="16"/>
        <v>4.805859943615868</v>
      </c>
      <c r="AD76" s="3">
        <f t="shared" si="17"/>
        <v>697.00651829091623</v>
      </c>
      <c r="AI76" s="94">
        <f t="shared" si="28"/>
        <v>0.4360617309593165</v>
      </c>
    </row>
    <row r="77" spans="2:35">
      <c r="B77" s="39">
        <f t="shared" si="30"/>
        <v>49</v>
      </c>
      <c r="C77" s="42">
        <f t="shared" si="31"/>
        <v>0.32549160671428912</v>
      </c>
      <c r="D77" s="10">
        <f t="shared" si="32"/>
        <v>5.2145083932856675</v>
      </c>
      <c r="E77" s="40">
        <f t="shared" si="33"/>
        <v>20.650983213428663</v>
      </c>
      <c r="F77" s="40">
        <f t="shared" si="34"/>
        <v>31.08</v>
      </c>
      <c r="G77" s="3">
        <f t="shared" si="35"/>
        <v>223.79606714628605</v>
      </c>
      <c r="H77" s="3">
        <f t="shared" si="36"/>
        <v>81.256230789298584</v>
      </c>
      <c r="I77">
        <f t="shared" si="1"/>
        <v>8.1256230789298584E-5</v>
      </c>
      <c r="J77" s="4">
        <f t="shared" si="37"/>
        <v>334.94334152967099</v>
      </c>
      <c r="K77" s="40">
        <f t="shared" si="38"/>
        <v>4.1220634808694934</v>
      </c>
      <c r="L77" s="40">
        <f t="shared" si="4"/>
        <v>1.8779365191305066</v>
      </c>
      <c r="M77" s="10">
        <f t="shared" si="39"/>
        <v>4.906859943615868</v>
      </c>
      <c r="N77" s="10">
        <f t="shared" si="5"/>
        <v>8.26</v>
      </c>
      <c r="O77" s="10">
        <f t="shared" si="6"/>
        <v>0.31900000000000001</v>
      </c>
      <c r="P77" s="10">
        <f t="shared" si="40"/>
        <v>13.719756879270664</v>
      </c>
      <c r="Q77" s="42">
        <f t="shared" si="41"/>
        <v>2.6364752903222943E-2</v>
      </c>
      <c r="R77" s="4">
        <f t="shared" si="42"/>
        <v>94827.965038196606</v>
      </c>
      <c r="S77">
        <f t="shared" si="9"/>
        <v>9.4827965038196603E-5</v>
      </c>
      <c r="T77" s="41">
        <f t="shared" si="10"/>
        <v>8.497640700368723E-5</v>
      </c>
      <c r="U77" s="42">
        <f t="shared" si="43"/>
        <v>0.17017352465929572</v>
      </c>
      <c r="V77" s="42">
        <f t="shared" si="44"/>
        <v>0.44090387585734142</v>
      </c>
      <c r="W77" s="42">
        <f t="shared" si="45"/>
        <v>0.43624179077721925</v>
      </c>
      <c r="X77" s="42">
        <f t="shared" si="46"/>
        <v>4.6620850801221692E-3</v>
      </c>
      <c r="Y77" s="42">
        <f t="shared" si="29"/>
        <v>1.2636637510280791E-3</v>
      </c>
      <c r="Z77" s="10">
        <f t="shared" si="47"/>
        <v>14.870759962506384</v>
      </c>
      <c r="AA77">
        <f t="shared" si="14"/>
        <v>4908720.2348502222</v>
      </c>
      <c r="AB77" s="10">
        <f t="shared" si="15"/>
        <v>4.9087202348502226</v>
      </c>
      <c r="AC77" s="10">
        <f t="shared" si="16"/>
        <v>4.8077202348502226</v>
      </c>
      <c r="AD77" s="3">
        <f t="shared" si="17"/>
        <v>697.27632122555792</v>
      </c>
      <c r="AI77" s="94">
        <f t="shared" si="28"/>
        <v>0.43624179077721925</v>
      </c>
    </row>
    <row r="78" spans="2:35">
      <c r="B78" s="39">
        <f t="shared" si="30"/>
        <v>50</v>
      </c>
      <c r="C78" s="42">
        <f t="shared" si="31"/>
        <v>0.33213429256560112</v>
      </c>
      <c r="D78" s="10">
        <f t="shared" si="32"/>
        <v>5.2078657074343546</v>
      </c>
      <c r="E78" s="40">
        <f t="shared" si="33"/>
        <v>20.664268585131289</v>
      </c>
      <c r="F78" s="40">
        <f t="shared" si="34"/>
        <v>31.08</v>
      </c>
      <c r="G78" s="3">
        <f t="shared" si="35"/>
        <v>223.74292565947556</v>
      </c>
      <c r="H78" s="3">
        <f t="shared" si="36"/>
        <v>81.256230789298584</v>
      </c>
      <c r="I78">
        <f t="shared" si="1"/>
        <v>8.1256230789298584E-5</v>
      </c>
      <c r="J78" s="4">
        <f t="shared" si="37"/>
        <v>335.37443753152002</v>
      </c>
      <c r="K78" s="40">
        <f t="shared" si="38"/>
        <v>4.1273688709628003</v>
      </c>
      <c r="L78" s="40">
        <f t="shared" si="4"/>
        <v>1.8726311290371997</v>
      </c>
      <c r="M78" s="10">
        <f t="shared" si="39"/>
        <v>4.9087202348502226</v>
      </c>
      <c r="N78" s="10">
        <f t="shared" si="5"/>
        <v>8.26</v>
      </c>
      <c r="O78" s="10">
        <f t="shared" si="6"/>
        <v>0.31900000000000001</v>
      </c>
      <c r="P78" s="10">
        <f t="shared" si="40"/>
        <v>13.72141592486336</v>
      </c>
      <c r="Q78" s="42">
        <f t="shared" si="41"/>
        <v>2.6848863718585327E-2</v>
      </c>
      <c r="R78" s="4">
        <f t="shared" si="42"/>
        <v>94708.992986587386</v>
      </c>
      <c r="S78">
        <f t="shared" si="9"/>
        <v>9.4708992986587381E-5</v>
      </c>
      <c r="T78" s="41">
        <f t="shared" si="10"/>
        <v>8.5095379055296453E-5</v>
      </c>
      <c r="U78" s="42">
        <f t="shared" si="43"/>
        <v>0.16996002336408036</v>
      </c>
      <c r="V78" s="42">
        <f t="shared" si="44"/>
        <v>0.44101740436337711</v>
      </c>
      <c r="W78" s="42">
        <f t="shared" si="45"/>
        <v>0.43641065478677488</v>
      </c>
      <c r="X78" s="42">
        <f t="shared" si="46"/>
        <v>4.6067495766022315E-3</v>
      </c>
      <c r="Y78" s="42">
        <f t="shared" si="29"/>
        <v>1.2658939283217783E-3</v>
      </c>
      <c r="Z78" s="10">
        <f t="shared" si="47"/>
        <v>14.87617708946544</v>
      </c>
      <c r="AA78">
        <f t="shared" si="14"/>
        <v>4910471.5932852635</v>
      </c>
      <c r="AB78" s="10">
        <f t="shared" si="15"/>
        <v>4.9104715932852638</v>
      </c>
      <c r="AC78" s="10">
        <f t="shared" si="16"/>
        <v>4.8094715932852639</v>
      </c>
      <c r="AD78" s="3">
        <f t="shared" si="17"/>
        <v>697.53032534956685</v>
      </c>
      <c r="AI78" s="94">
        <f t="shared" si="28"/>
        <v>0.43641065478677488</v>
      </c>
    </row>
    <row r="79" spans="2:35">
      <c r="B79" s="39">
        <f t="shared" si="30"/>
        <v>51</v>
      </c>
      <c r="C79" s="42">
        <f t="shared" si="31"/>
        <v>0.33877697841691312</v>
      </c>
      <c r="D79" s="10">
        <f t="shared" si="32"/>
        <v>5.2012230215830417</v>
      </c>
      <c r="E79" s="40">
        <f t="shared" si="33"/>
        <v>20.677553956833915</v>
      </c>
      <c r="F79" s="40">
        <f t="shared" si="34"/>
        <v>31.08</v>
      </c>
      <c r="G79" s="3">
        <f t="shared" si="35"/>
        <v>223.68978417266507</v>
      </c>
      <c r="H79" s="3">
        <f t="shared" si="36"/>
        <v>81.256230789298584</v>
      </c>
      <c r="I79">
        <f t="shared" si="1"/>
        <v>8.1256230789298584E-5</v>
      </c>
      <c r="J79" s="4">
        <f t="shared" si="37"/>
        <v>335.80581078065075</v>
      </c>
      <c r="K79" s="40">
        <f t="shared" si="38"/>
        <v>4.1326776730686881</v>
      </c>
      <c r="L79" s="40">
        <f t="shared" si="4"/>
        <v>1.8673223269313119</v>
      </c>
      <c r="M79" s="10">
        <f t="shared" si="39"/>
        <v>4.9104715932852638</v>
      </c>
      <c r="N79" s="10">
        <f t="shared" si="5"/>
        <v>8.26</v>
      </c>
      <c r="O79" s="10">
        <f t="shared" si="6"/>
        <v>0.31900000000000001</v>
      </c>
      <c r="P79" s="10">
        <f t="shared" si="40"/>
        <v>13.722977430716382</v>
      </c>
      <c r="Q79" s="42">
        <f t="shared" si="41"/>
        <v>2.7332919448098049E-2</v>
      </c>
      <c r="R79" s="4">
        <f t="shared" si="42"/>
        <v>94590.004735758557</v>
      </c>
      <c r="S79">
        <f t="shared" si="9"/>
        <v>9.4590004735758552E-5</v>
      </c>
      <c r="T79" s="41">
        <f t="shared" si="10"/>
        <v>8.5214367306125281E-5</v>
      </c>
      <c r="U79" s="42">
        <f t="shared" si="43"/>
        <v>0.16974649299855551</v>
      </c>
      <c r="V79" s="42">
        <f t="shared" si="44"/>
        <v>0.44112764813217248</v>
      </c>
      <c r="W79" s="42">
        <f t="shared" si="45"/>
        <v>0.43656963065144</v>
      </c>
      <c r="X79" s="42">
        <f t="shared" si="46"/>
        <v>4.5580174807324791E-3</v>
      </c>
      <c r="Y79" s="42">
        <f t="shared" si="29"/>
        <v>1.268100262798546E-3</v>
      </c>
      <c r="Z79" s="10">
        <f t="shared" si="47"/>
        <v>14.881296463107036</v>
      </c>
      <c r="AA79">
        <f t="shared" si="14"/>
        <v>4912126.6880019102</v>
      </c>
      <c r="AB79" s="10">
        <f t="shared" si="15"/>
        <v>4.9121266880019103</v>
      </c>
      <c r="AC79" s="10">
        <f t="shared" si="16"/>
        <v>4.8111266880019103</v>
      </c>
      <c r="AD79" s="3">
        <f t="shared" si="17"/>
        <v>697.77036809309789</v>
      </c>
      <c r="AI79" s="94">
        <f t="shared" si="28"/>
        <v>0.43656963065144</v>
      </c>
    </row>
    <row r="80" spans="2:35">
      <c r="B80" s="39">
        <f t="shared" si="30"/>
        <v>52</v>
      </c>
      <c r="C80" s="42">
        <f t="shared" si="31"/>
        <v>0.34541966426822512</v>
      </c>
      <c r="D80" s="10">
        <f t="shared" si="32"/>
        <v>5.1945803357317288</v>
      </c>
      <c r="E80" s="40">
        <f t="shared" si="33"/>
        <v>20.690839328536541</v>
      </c>
      <c r="F80" s="40">
        <f t="shared" si="34"/>
        <v>31.08</v>
      </c>
      <c r="G80" s="3">
        <f t="shared" si="35"/>
        <v>223.63664268585458</v>
      </c>
      <c r="H80" s="3">
        <f t="shared" si="36"/>
        <v>81.256230789298584</v>
      </c>
      <c r="I80">
        <f t="shared" si="1"/>
        <v>8.1256230789298584E-5</v>
      </c>
      <c r="J80" s="4">
        <f t="shared" si="37"/>
        <v>336.23746127706295</v>
      </c>
      <c r="K80" s="40">
        <f t="shared" si="38"/>
        <v>4.1379898871871532</v>
      </c>
      <c r="L80" s="40">
        <f t="shared" si="4"/>
        <v>1.8620101128128468</v>
      </c>
      <c r="M80" s="10">
        <f t="shared" si="39"/>
        <v>4.9121266880019103</v>
      </c>
      <c r="N80" s="10">
        <f t="shared" si="5"/>
        <v>8.26</v>
      </c>
      <c r="O80" s="10">
        <f t="shared" si="6"/>
        <v>0.31900000000000001</v>
      </c>
      <c r="P80" s="10">
        <f t="shared" si="40"/>
        <v>13.724452759601206</v>
      </c>
      <c r="Q80" s="42">
        <f t="shared" si="41"/>
        <v>2.7816923143375808E-2</v>
      </c>
      <c r="R80" s="4">
        <f t="shared" si="42"/>
        <v>94471.000329910166</v>
      </c>
      <c r="S80">
        <f t="shared" si="9"/>
        <v>9.4471000329910169E-5</v>
      </c>
      <c r="T80" s="41">
        <f t="shared" si="10"/>
        <v>8.5333371711973665E-5</v>
      </c>
      <c r="U80" s="42">
        <f t="shared" si="43"/>
        <v>0.16953293364204028</v>
      </c>
      <c r="V80" s="42">
        <f t="shared" si="44"/>
        <v>0.44123497113524929</v>
      </c>
      <c r="W80" s="42">
        <f t="shared" si="45"/>
        <v>0.43671986838028898</v>
      </c>
      <c r="X80" s="42">
        <f t="shared" si="46"/>
        <v>4.5151027549603096E-3</v>
      </c>
      <c r="Y80" s="42">
        <f t="shared" si="29"/>
        <v>1.2702855892165056E-3</v>
      </c>
      <c r="Z80" s="10">
        <f t="shared" si="47"/>
        <v>14.886152553588408</v>
      </c>
      <c r="AA80">
        <f t="shared" si="14"/>
        <v>4913696.6632101992</v>
      </c>
      <c r="AB80" s="10">
        <f t="shared" si="15"/>
        <v>4.9136966632101995</v>
      </c>
      <c r="AC80" s="10">
        <f t="shared" si="16"/>
        <v>4.8126966632101995</v>
      </c>
      <c r="AD80" s="3">
        <f t="shared" si="17"/>
        <v>697.99806573026819</v>
      </c>
      <c r="AI80" s="94">
        <f t="shared" si="28"/>
        <v>0.43671986838028898</v>
      </c>
    </row>
    <row r="81" spans="2:35">
      <c r="B81" s="39">
        <f t="shared" si="30"/>
        <v>53</v>
      </c>
      <c r="C81" s="42">
        <f t="shared" si="31"/>
        <v>0.35206235011953713</v>
      </c>
      <c r="D81" s="10">
        <f t="shared" si="32"/>
        <v>5.1879376498804159</v>
      </c>
      <c r="E81" s="40">
        <f t="shared" si="33"/>
        <v>20.704124700239166</v>
      </c>
      <c r="F81" s="40">
        <f t="shared" si="34"/>
        <v>31.08</v>
      </c>
      <c r="G81" s="3">
        <f t="shared" si="35"/>
        <v>223.58350119904409</v>
      </c>
      <c r="H81" s="3">
        <f t="shared" si="36"/>
        <v>81.256230789298584</v>
      </c>
      <c r="I81">
        <f t="shared" si="1"/>
        <v>8.1256230789298584E-5</v>
      </c>
      <c r="J81" s="4">
        <f t="shared" si="37"/>
        <v>336.66938902075663</v>
      </c>
      <c r="K81" s="40">
        <f t="shared" si="38"/>
        <v>4.1433055133181966</v>
      </c>
      <c r="L81" s="40">
        <f t="shared" si="4"/>
        <v>1.8566944866818034</v>
      </c>
      <c r="M81" s="10">
        <f t="shared" si="39"/>
        <v>4.9136966632101995</v>
      </c>
      <c r="N81" s="10">
        <f t="shared" si="5"/>
        <v>8.26</v>
      </c>
      <c r="O81" s="10">
        <f t="shared" si="6"/>
        <v>0.31900000000000001</v>
      </c>
      <c r="P81" s="10">
        <f t="shared" si="40"/>
        <v>13.725851901291909</v>
      </c>
      <c r="Q81" s="42">
        <f t="shared" si="41"/>
        <v>2.8300877501843482E-2</v>
      </c>
      <c r="R81" s="4">
        <f t="shared" si="42"/>
        <v>94351.979813242215</v>
      </c>
      <c r="S81">
        <f t="shared" si="9"/>
        <v>9.4351979813242211E-5</v>
      </c>
      <c r="T81" s="41">
        <f t="shared" si="10"/>
        <v>8.5452392228641623E-5</v>
      </c>
      <c r="U81" s="42">
        <f t="shared" si="43"/>
        <v>0.16931934537385382</v>
      </c>
      <c r="V81" s="42">
        <f t="shared" si="44"/>
        <v>0.44133969340153506</v>
      </c>
      <c r="W81" s="42">
        <f t="shared" si="45"/>
        <v>0.43686237956546203</v>
      </c>
      <c r="X81" s="42">
        <f t="shared" si="46"/>
        <v>4.4773138360730269E-3</v>
      </c>
      <c r="Y81" s="42">
        <f t="shared" si="29"/>
        <v>1.2724524047617008E-3</v>
      </c>
      <c r="Z81" s="10">
        <f t="shared" si="47"/>
        <v>14.890775688959645</v>
      </c>
      <c r="AA81">
        <f t="shared" si="14"/>
        <v>4915191.323975943</v>
      </c>
      <c r="AB81" s="10">
        <f t="shared" si="15"/>
        <v>4.915191323975943</v>
      </c>
      <c r="AC81" s="10">
        <f t="shared" si="16"/>
        <v>4.8141913239759431</v>
      </c>
      <c r="AD81" s="3">
        <f t="shared" si="17"/>
        <v>698.21484031558271</v>
      </c>
      <c r="AI81" s="94">
        <f t="shared" si="28"/>
        <v>0.43686237956546203</v>
      </c>
    </row>
    <row r="82" spans="2:35">
      <c r="B82" s="39">
        <f t="shared" si="30"/>
        <v>54</v>
      </c>
      <c r="C82" s="42">
        <f t="shared" si="31"/>
        <v>0.35870503597084913</v>
      </c>
      <c r="D82" s="10">
        <f t="shared" si="32"/>
        <v>5.1812949640291031</v>
      </c>
      <c r="E82" s="40">
        <f t="shared" si="33"/>
        <v>20.717410071941792</v>
      </c>
      <c r="F82" s="40">
        <f t="shared" si="34"/>
        <v>31.08</v>
      </c>
      <c r="G82" s="3">
        <f t="shared" si="35"/>
        <v>223.5303597122336</v>
      </c>
      <c r="H82" s="3">
        <f t="shared" si="36"/>
        <v>81.256230789298584</v>
      </c>
      <c r="I82">
        <f t="shared" si="1"/>
        <v>8.1256230789298584E-5</v>
      </c>
      <c r="J82" s="4">
        <f t="shared" si="37"/>
        <v>337.10159401173195</v>
      </c>
      <c r="K82" s="40">
        <f t="shared" si="38"/>
        <v>4.1486245514618201</v>
      </c>
      <c r="L82" s="40">
        <f t="shared" si="4"/>
        <v>1.8513754485381799</v>
      </c>
      <c r="M82" s="10">
        <f t="shared" si="39"/>
        <v>4.915191323975943</v>
      </c>
      <c r="N82" s="10">
        <f t="shared" si="5"/>
        <v>8.26</v>
      </c>
      <c r="O82" s="10">
        <f t="shared" si="6"/>
        <v>0.31900000000000001</v>
      </c>
      <c r="P82" s="10">
        <f t="shared" si="40"/>
        <v>13.727183640871473</v>
      </c>
      <c r="Q82" s="42">
        <f t="shared" si="41"/>
        <v>2.8784784909589817E-2</v>
      </c>
      <c r="R82" s="4">
        <f t="shared" si="42"/>
        <v>94232.943229954646</v>
      </c>
      <c r="S82">
        <f t="shared" si="9"/>
        <v>9.4232943229954647E-5</v>
      </c>
      <c r="T82" s="41">
        <f t="shared" si="10"/>
        <v>8.5571428811929187E-5</v>
      </c>
      <c r="U82" s="42">
        <f t="shared" si="43"/>
        <v>0.1691057282733151</v>
      </c>
      <c r="V82" s="42">
        <f t="shared" si="44"/>
        <v>0.44144209639934623</v>
      </c>
      <c r="W82" s="42">
        <f t="shared" si="45"/>
        <v>0.43699805424110844</v>
      </c>
      <c r="X82" s="42">
        <f t="shared" si="46"/>
        <v>4.4440421582377931E-3</v>
      </c>
      <c r="Y82" s="42">
        <f t="shared" si="29"/>
        <v>1.2746029096824092E-3</v>
      </c>
      <c r="Z82" s="10">
        <f t="shared" si="47"/>
        <v>14.895192558765849</v>
      </c>
      <c r="AA82">
        <f t="shared" si="14"/>
        <v>4916619.2990354244</v>
      </c>
      <c r="AB82" s="10">
        <f t="shared" si="15"/>
        <v>4.9166192990354247</v>
      </c>
      <c r="AC82" s="10">
        <f t="shared" si="16"/>
        <v>4.8156192990354247</v>
      </c>
      <c r="AD82" s="3">
        <f t="shared" si="17"/>
        <v>698.42194329737845</v>
      </c>
      <c r="AI82" s="94">
        <f t="shared" si="28"/>
        <v>0.43699805424110844</v>
      </c>
    </row>
    <row r="83" spans="2:35">
      <c r="B83" s="39">
        <f t="shared" si="30"/>
        <v>55</v>
      </c>
      <c r="C83" s="42">
        <f t="shared" si="31"/>
        <v>0.36534772182216113</v>
      </c>
      <c r="D83" s="10">
        <f t="shared" si="32"/>
        <v>5.1746522781777902</v>
      </c>
      <c r="E83" s="40">
        <f t="shared" si="33"/>
        <v>20.730695443644418</v>
      </c>
      <c r="F83" s="40">
        <f t="shared" si="34"/>
        <v>31.08</v>
      </c>
      <c r="G83" s="3">
        <f t="shared" si="35"/>
        <v>223.47721822542312</v>
      </c>
      <c r="H83" s="3">
        <f t="shared" si="36"/>
        <v>81.256230789298584</v>
      </c>
      <c r="I83">
        <f t="shared" si="1"/>
        <v>8.1256230789298584E-5</v>
      </c>
      <c r="J83" s="4">
        <f t="shared" si="37"/>
        <v>337.53407624998874</v>
      </c>
      <c r="K83" s="40">
        <f t="shared" si="38"/>
        <v>4.1539470016180209</v>
      </c>
      <c r="L83" s="40">
        <f t="shared" si="4"/>
        <v>1.8460529983819791</v>
      </c>
      <c r="M83" s="10">
        <f t="shared" si="39"/>
        <v>4.9166192990354247</v>
      </c>
      <c r="N83" s="10">
        <f t="shared" si="5"/>
        <v>8.26</v>
      </c>
      <c r="O83" s="10">
        <f t="shared" si="6"/>
        <v>0.31900000000000001</v>
      </c>
      <c r="P83" s="10">
        <f t="shared" si="40"/>
        <v>13.728455706050894</v>
      </c>
      <c r="Q83" s="42">
        <f t="shared" si="41"/>
        <v>2.9268647478952532E-2</v>
      </c>
      <c r="R83" s="4">
        <f t="shared" si="42"/>
        <v>94113.89062424752</v>
      </c>
      <c r="S83">
        <f t="shared" si="9"/>
        <v>9.4113890624247527E-5</v>
      </c>
      <c r="T83" s="41">
        <f t="shared" si="10"/>
        <v>8.5690481417636307E-5</v>
      </c>
      <c r="U83" s="42">
        <f t="shared" si="43"/>
        <v>0.16889208241974338</v>
      </c>
      <c r="V83" s="42">
        <f t="shared" si="44"/>
        <v>0.44154242774578339</v>
      </c>
      <c r="W83" s="42">
        <f t="shared" si="45"/>
        <v>0.43712767566254856</v>
      </c>
      <c r="X83" s="42">
        <f t="shared" si="46"/>
        <v>4.4147520832348297E-3</v>
      </c>
      <c r="Y83" s="42">
        <f t="shared" si="29"/>
        <v>1.2767390429685025E-3</v>
      </c>
      <c r="Z83" s="10">
        <f t="shared" si="47"/>
        <v>14.899426655639394</v>
      </c>
      <c r="AA83">
        <f t="shared" si="14"/>
        <v>4917988.1835622797</v>
      </c>
      <c r="AB83" s="10">
        <f t="shared" si="15"/>
        <v>4.9179881835622794</v>
      </c>
      <c r="AC83" s="10">
        <f t="shared" si="16"/>
        <v>4.8169881835622794</v>
      </c>
      <c r="AD83" s="3">
        <f t="shared" si="17"/>
        <v>698.62047622368084</v>
      </c>
      <c r="AI83" s="94">
        <f t="shared" si="28"/>
        <v>0.43712767566254856</v>
      </c>
    </row>
    <row r="84" spans="2:35">
      <c r="B84" s="39">
        <f t="shared" si="30"/>
        <v>56</v>
      </c>
      <c r="C84" s="42">
        <f t="shared" si="31"/>
        <v>0.37199040767347313</v>
      </c>
      <c r="D84" s="10">
        <f t="shared" si="32"/>
        <v>5.1680095923264773</v>
      </c>
      <c r="E84" s="40">
        <f t="shared" si="33"/>
        <v>20.743980815347044</v>
      </c>
      <c r="F84" s="40">
        <f t="shared" si="34"/>
        <v>31.08</v>
      </c>
      <c r="G84" s="3">
        <f t="shared" si="35"/>
        <v>223.42407673861263</v>
      </c>
      <c r="H84" s="3">
        <f t="shared" si="36"/>
        <v>81.256230789298584</v>
      </c>
      <c r="I84">
        <f t="shared" si="1"/>
        <v>8.1256230789298584E-5</v>
      </c>
      <c r="J84" s="4">
        <f t="shared" si="37"/>
        <v>337.96683573552718</v>
      </c>
      <c r="K84" s="40">
        <f t="shared" si="38"/>
        <v>4.1592728637868017</v>
      </c>
      <c r="L84" s="40">
        <f t="shared" si="4"/>
        <v>1.8407271362131983</v>
      </c>
      <c r="M84" s="10">
        <f t="shared" si="39"/>
        <v>4.9179881835622794</v>
      </c>
      <c r="N84" s="10">
        <f t="shared" si="5"/>
        <v>8.26</v>
      </c>
      <c r="O84" s="10">
        <f t="shared" si="6"/>
        <v>0.31900000000000001</v>
      </c>
      <c r="P84" s="10">
        <f t="shared" si="40"/>
        <v>13.729674896172954</v>
      </c>
      <c r="Q84" s="42">
        <f t="shared" si="41"/>
        <v>2.9752467081495607E-2</v>
      </c>
      <c r="R84" s="4">
        <f t="shared" si="42"/>
        <v>93994.822040320767</v>
      </c>
      <c r="S84">
        <f t="shared" si="9"/>
        <v>9.3994822040320764E-5</v>
      </c>
      <c r="T84" s="41">
        <f t="shared" si="10"/>
        <v>8.580955000156307E-5</v>
      </c>
      <c r="U84" s="42">
        <f t="shared" si="43"/>
        <v>0.16867840789245761</v>
      </c>
      <c r="V84" s="42">
        <f t="shared" si="44"/>
        <v>0.44164090533463707</v>
      </c>
      <c r="W84" s="42">
        <f t="shared" si="45"/>
        <v>0.437251933265635</v>
      </c>
      <c r="X84" s="42">
        <f t="shared" si="46"/>
        <v>4.3889720690020728E-3</v>
      </c>
      <c r="Y84" s="42">
        <f t="shared" si="29"/>
        <v>1.2788625136904998E-3</v>
      </c>
      <c r="Z84" s="10">
        <f t="shared" si="47"/>
        <v>14.903498662645411</v>
      </c>
      <c r="AA84">
        <f t="shared" si="14"/>
        <v>4919304.6643963894</v>
      </c>
      <c r="AB84" s="10">
        <f t="shared" si="15"/>
        <v>4.9193046643963898</v>
      </c>
      <c r="AC84" s="10">
        <f t="shared" si="16"/>
        <v>4.8183046643963898</v>
      </c>
      <c r="AD84" s="3">
        <f t="shared" si="17"/>
        <v>698.81140890448</v>
      </c>
      <c r="AI84" s="94">
        <f t="shared" si="28"/>
        <v>0.437251933265635</v>
      </c>
    </row>
    <row r="85" spans="2:35">
      <c r="B85" s="39">
        <f t="shared" si="30"/>
        <v>57</v>
      </c>
      <c r="C85" s="42">
        <f t="shared" si="31"/>
        <v>0.37863309352478514</v>
      </c>
      <c r="D85" s="10">
        <f t="shared" si="32"/>
        <v>5.1613669064751644</v>
      </c>
      <c r="E85" s="40">
        <f t="shared" si="33"/>
        <v>20.75726618704967</v>
      </c>
      <c r="F85" s="40">
        <f t="shared" si="34"/>
        <v>31.08</v>
      </c>
      <c r="G85" s="3">
        <f t="shared" si="35"/>
        <v>223.37093525180214</v>
      </c>
      <c r="H85" s="3">
        <f t="shared" si="36"/>
        <v>81.256230789298584</v>
      </c>
      <c r="I85">
        <f t="shared" si="1"/>
        <v>8.1256230789298584E-5</v>
      </c>
      <c r="J85" s="4">
        <f t="shared" si="37"/>
        <v>338.39987246834716</v>
      </c>
      <c r="K85" s="40">
        <f t="shared" si="38"/>
        <v>4.1646021379681608</v>
      </c>
      <c r="L85" s="40">
        <f t="shared" si="4"/>
        <v>1.8353978620318392</v>
      </c>
      <c r="M85" s="10">
        <f t="shared" si="39"/>
        <v>4.9193046643963898</v>
      </c>
      <c r="N85" s="10">
        <f t="shared" si="5"/>
        <v>8.26</v>
      </c>
      <c r="O85" s="10">
        <f t="shared" si="6"/>
        <v>0.31900000000000001</v>
      </c>
      <c r="P85" s="10">
        <f t="shared" si="40"/>
        <v>13.730847195231041</v>
      </c>
      <c r="Q85" s="42">
        <f t="shared" si="41"/>
        <v>3.0236245376954254E-2</v>
      </c>
      <c r="R85" s="4">
        <f t="shared" si="42"/>
        <v>93875.737522374446</v>
      </c>
      <c r="S85">
        <f t="shared" si="9"/>
        <v>9.3875737522374449E-5</v>
      </c>
      <c r="T85" s="41">
        <f t="shared" si="10"/>
        <v>8.5928634519509385E-5</v>
      </c>
      <c r="U85" s="42">
        <f t="shared" si="43"/>
        <v>0.16846470477077705</v>
      </c>
      <c r="V85" s="42">
        <f t="shared" si="44"/>
        <v>0.44173772094914265</v>
      </c>
      <c r="W85" s="42">
        <f t="shared" si="45"/>
        <v>0.43737143403414125</v>
      </c>
      <c r="X85" s="42">
        <f t="shared" si="46"/>
        <v>4.366286915001405E-3</v>
      </c>
      <c r="Y85" s="42">
        <f t="shared" si="29"/>
        <v>1.2809748285317227E-3</v>
      </c>
      <c r="Z85" s="10">
        <f t="shared" si="47"/>
        <v>14.907426793112695</v>
      </c>
      <c r="AA85">
        <f t="shared" si="14"/>
        <v>4920574.6299112858</v>
      </c>
      <c r="AB85" s="10">
        <f t="shared" si="15"/>
        <v>4.920574629911286</v>
      </c>
      <c r="AC85" s="10">
        <f t="shared" si="16"/>
        <v>4.819574629911286</v>
      </c>
      <c r="AD85" s="3">
        <f t="shared" si="17"/>
        <v>698.99559534608932</v>
      </c>
      <c r="AI85" s="94">
        <f t="shared" si="28"/>
        <v>0.43737143403414125</v>
      </c>
    </row>
    <row r="86" spans="2:35">
      <c r="B86" s="39">
        <f t="shared" si="30"/>
        <v>58</v>
      </c>
      <c r="C86" s="42">
        <f t="shared" si="31"/>
        <v>0.38527577937609714</v>
      </c>
      <c r="D86" s="10">
        <f t="shared" si="32"/>
        <v>5.1547242206238515</v>
      </c>
      <c r="E86" s="40">
        <f t="shared" si="33"/>
        <v>20.770551558752295</v>
      </c>
      <c r="F86" s="40">
        <f t="shared" si="34"/>
        <v>31.08</v>
      </c>
      <c r="G86" s="3">
        <f t="shared" si="35"/>
        <v>223.31779376499165</v>
      </c>
      <c r="H86" s="3">
        <f t="shared" si="36"/>
        <v>81.256230789298584</v>
      </c>
      <c r="I86">
        <f t="shared" si="1"/>
        <v>8.1256230789298584E-5</v>
      </c>
      <c r="J86" s="4">
        <f t="shared" si="37"/>
        <v>338.83318644844871</v>
      </c>
      <c r="K86" s="40">
        <f t="shared" si="38"/>
        <v>4.169934824162099</v>
      </c>
      <c r="L86" s="40">
        <f t="shared" si="4"/>
        <v>1.830065175837901</v>
      </c>
      <c r="M86" s="10">
        <f t="shared" si="39"/>
        <v>4.920574629911286</v>
      </c>
      <c r="N86" s="10">
        <f t="shared" si="5"/>
        <v>8.26</v>
      </c>
      <c r="O86" s="10">
        <f t="shared" si="6"/>
        <v>0.31900000000000001</v>
      </c>
      <c r="P86" s="10">
        <f t="shared" si="40"/>
        <v>13.731977870916193</v>
      </c>
      <c r="Q86" s="42">
        <f t="shared" si="41"/>
        <v>3.0719983838649635E-2</v>
      </c>
      <c r="R86" s="4">
        <f t="shared" si="42"/>
        <v>93756.637114608515</v>
      </c>
      <c r="S86">
        <f t="shared" si="9"/>
        <v>9.3756637114608509E-5</v>
      </c>
      <c r="T86" s="41">
        <f t="shared" si="10"/>
        <v>8.6047734927275325E-5</v>
      </c>
      <c r="U86" s="42">
        <f t="shared" si="43"/>
        <v>0.16825097313402068</v>
      </c>
      <c r="V86" s="42">
        <f t="shared" si="44"/>
        <v>0.44183304343278679</v>
      </c>
      <c r="W86" s="42">
        <f t="shared" si="45"/>
        <v>0.43748671247274412</v>
      </c>
      <c r="X86" s="42">
        <f t="shared" si="46"/>
        <v>4.3463309600426658E-3</v>
      </c>
      <c r="Y86" s="42">
        <f t="shared" si="29"/>
        <v>1.2830773159843527E-3</v>
      </c>
      <c r="Z86" s="10">
        <f t="shared" si="47"/>
        <v>14.91122708887999</v>
      </c>
      <c r="AA86">
        <f t="shared" si="14"/>
        <v>4921803.2664372539</v>
      </c>
      <c r="AB86" s="10">
        <f t="shared" si="15"/>
        <v>4.9218032664372542</v>
      </c>
      <c r="AC86" s="10">
        <f t="shared" si="16"/>
        <v>4.8208032664372542</v>
      </c>
      <c r="AD86" s="3">
        <f t="shared" si="17"/>
        <v>699.17378773564235</v>
      </c>
      <c r="AI86" s="94">
        <f t="shared" si="28"/>
        <v>0.43748671247274412</v>
      </c>
    </row>
    <row r="87" spans="2:35">
      <c r="B87" s="39">
        <f t="shared" si="30"/>
        <v>59</v>
      </c>
      <c r="C87" s="42">
        <f t="shared" si="31"/>
        <v>0.39191846522740914</v>
      </c>
      <c r="D87" s="10">
        <f t="shared" si="32"/>
        <v>5.1480815347725386</v>
      </c>
      <c r="E87" s="40">
        <f t="shared" si="33"/>
        <v>20.783836930454921</v>
      </c>
      <c r="F87" s="40">
        <f t="shared" si="34"/>
        <v>31.08</v>
      </c>
      <c r="G87" s="3">
        <f t="shared" si="35"/>
        <v>223.26465227818116</v>
      </c>
      <c r="H87" s="3">
        <f t="shared" si="36"/>
        <v>81.256230789298584</v>
      </c>
      <c r="I87">
        <f t="shared" si="1"/>
        <v>8.1256230789298584E-5</v>
      </c>
      <c r="J87" s="4">
        <f t="shared" si="37"/>
        <v>339.26677767583186</v>
      </c>
      <c r="K87" s="40">
        <f t="shared" si="38"/>
        <v>4.1752709223686164</v>
      </c>
      <c r="L87" s="40">
        <f t="shared" si="4"/>
        <v>1.8247290776313836</v>
      </c>
      <c r="M87" s="10">
        <f t="shared" si="39"/>
        <v>4.9218032664372542</v>
      </c>
      <c r="N87" s="10">
        <f t="shared" si="5"/>
        <v>8.26</v>
      </c>
      <c r="O87" s="10">
        <f t="shared" si="6"/>
        <v>0.31900000000000001</v>
      </c>
      <c r="P87" s="10">
        <f t="shared" si="40"/>
        <v>13.733071561458775</v>
      </c>
      <c r="Q87" s="42">
        <f t="shared" si="41"/>
        <v>3.1203683775811137E-2</v>
      </c>
      <c r="R87" s="4">
        <f t="shared" si="42"/>
        <v>93637.520861222976</v>
      </c>
      <c r="S87">
        <f t="shared" si="9"/>
        <v>9.3637520861222979E-5</v>
      </c>
      <c r="T87" s="41">
        <f t="shared" si="10"/>
        <v>8.6166851180660855E-5</v>
      </c>
      <c r="U87" s="42">
        <f t="shared" si="43"/>
        <v>0.16803721306150768</v>
      </c>
      <c r="V87" s="42">
        <f t="shared" si="44"/>
        <v>0.44192702146585328</v>
      </c>
      <c r="W87" s="42">
        <f t="shared" si="45"/>
        <v>0.43759823935962611</v>
      </c>
      <c r="X87" s="42">
        <f t="shared" si="46"/>
        <v>4.3287821062271692E-3</v>
      </c>
      <c r="Y87" s="42">
        <f t="shared" si="29"/>
        <v>1.2851711476171207E-3</v>
      </c>
      <c r="Z87" s="10">
        <f t="shared" si="47"/>
        <v>14.914913682090804</v>
      </c>
      <c r="AA87">
        <f t="shared" si="14"/>
        <v>4922995.1428996529</v>
      </c>
      <c r="AB87" s="10">
        <f t="shared" si="15"/>
        <v>4.9229951428996532</v>
      </c>
      <c r="AC87" s="10">
        <f t="shared" si="16"/>
        <v>4.8219951428996533</v>
      </c>
      <c r="AD87" s="3">
        <f t="shared" si="17"/>
        <v>699.34664871641087</v>
      </c>
      <c r="AI87" s="94">
        <f t="shared" si="28"/>
        <v>0.43759823935962611</v>
      </c>
    </row>
    <row r="88" spans="2:35">
      <c r="B88" s="39">
        <f t="shared" si="30"/>
        <v>60</v>
      </c>
      <c r="C88" s="42">
        <f t="shared" si="31"/>
        <v>0.39856115107872114</v>
      </c>
      <c r="D88" s="10">
        <f t="shared" si="32"/>
        <v>5.1414388489212257</v>
      </c>
      <c r="E88" s="40">
        <f t="shared" si="33"/>
        <v>20.797122302157547</v>
      </c>
      <c r="F88" s="40">
        <f t="shared" si="34"/>
        <v>31.08</v>
      </c>
      <c r="G88" s="3">
        <f t="shared" si="35"/>
        <v>223.21151079137067</v>
      </c>
      <c r="H88" s="3">
        <f t="shared" si="36"/>
        <v>81.256230789298584</v>
      </c>
      <c r="I88">
        <f t="shared" si="1"/>
        <v>8.1256230789298584E-5</v>
      </c>
      <c r="J88" s="4">
        <f t="shared" si="37"/>
        <v>339.70064615049648</v>
      </c>
      <c r="K88" s="40">
        <f t="shared" si="38"/>
        <v>4.1806104325877111</v>
      </c>
      <c r="L88" s="40">
        <f t="shared" si="4"/>
        <v>1.8193895674122889</v>
      </c>
      <c r="M88" s="10">
        <f t="shared" si="39"/>
        <v>4.9229951428996532</v>
      </c>
      <c r="N88" s="10">
        <f t="shared" si="5"/>
        <v>8.26</v>
      </c>
      <c r="O88" s="10">
        <f t="shared" si="6"/>
        <v>0.31900000000000001</v>
      </c>
      <c r="P88" s="10">
        <f t="shared" si="40"/>
        <v>13.734132351789267</v>
      </c>
      <c r="Q88" s="42">
        <f t="shared" si="41"/>
        <v>3.1687346353188775E-2</v>
      </c>
      <c r="R88" s="4">
        <f t="shared" si="42"/>
        <v>93518.388806417875</v>
      </c>
      <c r="S88">
        <f t="shared" si="9"/>
        <v>9.3518388806417869E-5</v>
      </c>
      <c r="T88" s="41">
        <f t="shared" si="10"/>
        <v>8.6285983235465964E-5</v>
      </c>
      <c r="U88" s="42">
        <f t="shared" si="43"/>
        <v>0.16782342463255717</v>
      </c>
      <c r="V88" s="42">
        <f t="shared" si="44"/>
        <v>0.44201978600379299</v>
      </c>
      <c r="W88" s="42">
        <f t="shared" si="45"/>
        <v>0.43770642942934146</v>
      </c>
      <c r="X88" s="42">
        <f t="shared" si="46"/>
        <v>4.3133565744515323E-3</v>
      </c>
      <c r="Y88" s="42">
        <f t="shared" si="29"/>
        <v>1.2872573567750687E-3</v>
      </c>
      <c r="Z88" s="10">
        <f t="shared" si="47"/>
        <v>14.918499025064939</v>
      </c>
      <c r="AA88">
        <f t="shared" si="14"/>
        <v>4924154.285136438</v>
      </c>
      <c r="AB88" s="10">
        <f t="shared" si="15"/>
        <v>4.9241542851364377</v>
      </c>
      <c r="AC88" s="10">
        <f t="shared" si="16"/>
        <v>4.8231542851364377</v>
      </c>
      <c r="AD88" s="3">
        <f t="shared" si="17"/>
        <v>699.51476216627088</v>
      </c>
      <c r="AI88" s="94">
        <f t="shared" si="28"/>
        <v>0.43770642942934146</v>
      </c>
    </row>
    <row r="89" spans="2:35">
      <c r="B89" s="39">
        <f t="shared" si="30"/>
        <v>61</v>
      </c>
      <c r="C89" s="42">
        <f t="shared" si="31"/>
        <v>0.40520383693003315</v>
      </c>
      <c r="D89" s="10">
        <f t="shared" si="32"/>
        <v>5.1347961630699128</v>
      </c>
      <c r="E89" s="40">
        <f t="shared" si="33"/>
        <v>20.810407673860173</v>
      </c>
      <c r="F89" s="40">
        <f t="shared" si="34"/>
        <v>31.08</v>
      </c>
      <c r="G89" s="3">
        <f t="shared" si="35"/>
        <v>223.15836930456018</v>
      </c>
      <c r="H89" s="3">
        <f t="shared" si="36"/>
        <v>81.256230789298584</v>
      </c>
      <c r="I89">
        <f t="shared" si="1"/>
        <v>8.1256230789298584E-5</v>
      </c>
      <c r="J89" s="4">
        <f t="shared" si="37"/>
        <v>340.13479187244269</v>
      </c>
      <c r="K89" s="40">
        <f t="shared" si="38"/>
        <v>4.1859533548193859</v>
      </c>
      <c r="L89" s="40">
        <f t="shared" si="4"/>
        <v>1.8140466451806141</v>
      </c>
      <c r="M89" s="10">
        <f t="shared" si="39"/>
        <v>4.9241542851364377</v>
      </c>
      <c r="N89" s="10">
        <f t="shared" si="5"/>
        <v>8.26</v>
      </c>
      <c r="O89" s="10">
        <f t="shared" si="6"/>
        <v>0.31900000000000001</v>
      </c>
      <c r="P89" s="10">
        <f t="shared" si="40"/>
        <v>13.735163840358917</v>
      </c>
      <c r="Q89" s="42">
        <f t="shared" si="41"/>
        <v>3.2170972608289813E-2</v>
      </c>
      <c r="R89" s="4">
        <f t="shared" si="42"/>
        <v>93399.240994393156</v>
      </c>
      <c r="S89">
        <f t="shared" si="9"/>
        <v>9.3399240994393161E-5</v>
      </c>
      <c r="T89" s="41">
        <f t="shared" si="10"/>
        <v>8.6405131047490673E-5</v>
      </c>
      <c r="U89" s="42">
        <f t="shared" si="43"/>
        <v>0.16760960792648821</v>
      </c>
      <c r="V89" s="42">
        <f t="shared" si="44"/>
        <v>0.44211145241543726</v>
      </c>
      <c r="W89" s="42">
        <f t="shared" si="45"/>
        <v>0.43781164811883166</v>
      </c>
      <c r="X89" s="42">
        <f t="shared" si="46"/>
        <v>4.2998042966055916E-3</v>
      </c>
      <c r="Y89" s="42">
        <f t="shared" si="29"/>
        <v>1.2893368550247035E-3</v>
      </c>
      <c r="Z89" s="10">
        <f t="shared" si="47"/>
        <v>14.921994092180103</v>
      </c>
      <c r="AA89">
        <f t="shared" si="14"/>
        <v>4925284.241166533</v>
      </c>
      <c r="AB89" s="10">
        <f t="shared" si="15"/>
        <v>4.9252842411665334</v>
      </c>
      <c r="AC89" s="10">
        <f t="shared" si="16"/>
        <v>4.8242842411665334</v>
      </c>
      <c r="AD89" s="3">
        <f t="shared" si="17"/>
        <v>699.67864266374659</v>
      </c>
      <c r="AI89" s="94">
        <f t="shared" si="28"/>
        <v>0.43781164811883166</v>
      </c>
    </row>
    <row r="90" spans="2:35">
      <c r="B90" s="39">
        <f t="shared" si="30"/>
        <v>62</v>
      </c>
      <c r="C90" s="42">
        <f t="shared" si="31"/>
        <v>0.41184652278134515</v>
      </c>
      <c r="D90" s="10">
        <f t="shared" si="32"/>
        <v>5.1281534772185999</v>
      </c>
      <c r="E90" s="40">
        <f t="shared" si="33"/>
        <v>20.823693045562798</v>
      </c>
      <c r="F90" s="40">
        <f t="shared" si="34"/>
        <v>31.08</v>
      </c>
      <c r="G90" s="3">
        <f t="shared" si="35"/>
        <v>223.10522781774969</v>
      </c>
      <c r="H90" s="3">
        <f t="shared" si="36"/>
        <v>81.256230789298584</v>
      </c>
      <c r="I90">
        <f t="shared" si="1"/>
        <v>8.1256230789298584E-5</v>
      </c>
      <c r="J90" s="4">
        <f t="shared" si="37"/>
        <v>340.5692148416706</v>
      </c>
      <c r="K90" s="40">
        <f t="shared" si="38"/>
        <v>4.1912996890636407</v>
      </c>
      <c r="L90" s="40">
        <f t="shared" si="4"/>
        <v>1.8087003109363593</v>
      </c>
      <c r="M90" s="10">
        <f t="shared" si="39"/>
        <v>4.9252842411665334</v>
      </c>
      <c r="N90" s="10">
        <f t="shared" si="5"/>
        <v>8.26</v>
      </c>
      <c r="O90" s="10">
        <f t="shared" si="6"/>
        <v>0.31900000000000001</v>
      </c>
      <c r="P90" s="10">
        <f t="shared" si="40"/>
        <v>13.736169197781978</v>
      </c>
      <c r="Q90" s="42">
        <f t="shared" si="41"/>
        <v>3.2654563466531762E-2</v>
      </c>
      <c r="R90" s="4">
        <f t="shared" si="42"/>
        <v>93280.077469348806</v>
      </c>
      <c r="S90">
        <f t="shared" si="9"/>
        <v>9.3280077469348808E-5</v>
      </c>
      <c r="T90" s="41">
        <f t="shared" si="10"/>
        <v>8.6524294572535025E-5</v>
      </c>
      <c r="U90" s="42">
        <f t="shared" si="43"/>
        <v>0.16739576302261988</v>
      </c>
      <c r="V90" s="42">
        <f t="shared" si="44"/>
        <v>0.44220212235968664</v>
      </c>
      <c r="W90" s="42">
        <f t="shared" si="45"/>
        <v>0.43791421749202425</v>
      </c>
      <c r="X90" s="42">
        <f t="shared" si="46"/>
        <v>4.2879048676623954E-3</v>
      </c>
      <c r="Y90" s="42">
        <f t="shared" si="29"/>
        <v>1.2914104466197163E-3</v>
      </c>
      <c r="Z90" s="10">
        <f t="shared" si="47"/>
        <v>14.925408557212812</v>
      </c>
      <c r="AA90">
        <f t="shared" si="14"/>
        <v>4926388.1385241887</v>
      </c>
      <c r="AB90" s="10">
        <f t="shared" si="15"/>
        <v>4.9263881385241888</v>
      </c>
      <c r="AC90" s="10">
        <f t="shared" si="16"/>
        <v>4.8253881385241888</v>
      </c>
      <c r="AD90" s="3">
        <f t="shared" si="17"/>
        <v>699.83874380336306</v>
      </c>
      <c r="AI90" s="94">
        <f t="shared" si="28"/>
        <v>0.43791421749202425</v>
      </c>
    </row>
    <row r="91" spans="2:35">
      <c r="B91" s="39">
        <f t="shared" si="30"/>
        <v>63</v>
      </c>
      <c r="C91" s="42">
        <f t="shared" si="31"/>
        <v>0.41848920863265715</v>
      </c>
      <c r="D91" s="10">
        <f t="shared" si="32"/>
        <v>5.121510791367287</v>
      </c>
      <c r="E91" s="40">
        <f t="shared" si="33"/>
        <v>20.836978417265424</v>
      </c>
      <c r="F91" s="40">
        <f t="shared" si="34"/>
        <v>31.08</v>
      </c>
      <c r="G91" s="3">
        <f t="shared" si="35"/>
        <v>223.0520863309392</v>
      </c>
      <c r="H91" s="3">
        <f t="shared" si="36"/>
        <v>81.256230789298584</v>
      </c>
      <c r="I91">
        <f t="shared" si="1"/>
        <v>8.1256230789298584E-5</v>
      </c>
      <c r="J91" s="4">
        <f t="shared" si="37"/>
        <v>341.00391505817993</v>
      </c>
      <c r="K91" s="40">
        <f t="shared" si="38"/>
        <v>4.1966494353204729</v>
      </c>
      <c r="L91" s="40">
        <f t="shared" si="4"/>
        <v>1.8033505646795271</v>
      </c>
      <c r="M91" s="10">
        <f t="shared" si="39"/>
        <v>4.9263881385241888</v>
      </c>
      <c r="N91" s="10">
        <f t="shared" si="5"/>
        <v>8.26</v>
      </c>
      <c r="O91" s="10">
        <f t="shared" si="6"/>
        <v>0.31900000000000001</v>
      </c>
      <c r="P91" s="10">
        <f t="shared" si="40"/>
        <v>13.737151218315949</v>
      </c>
      <c r="Q91" s="42">
        <f t="shared" si="41"/>
        <v>3.3138119754567319E-2</v>
      </c>
      <c r="R91" s="4">
        <f t="shared" si="42"/>
        <v>93160.898275484884</v>
      </c>
      <c r="S91">
        <f t="shared" si="9"/>
        <v>9.3160898275484888E-5</v>
      </c>
      <c r="T91" s="41">
        <f t="shared" si="10"/>
        <v>8.6643473766398945E-5</v>
      </c>
      <c r="U91" s="42">
        <f t="shared" si="43"/>
        <v>0.16718189000027137</v>
      </c>
      <c r="V91" s="42">
        <f t="shared" si="44"/>
        <v>0.44229188543359149</v>
      </c>
      <c r="W91" s="42">
        <f t="shared" si="45"/>
        <v>0.43801442144423847</v>
      </c>
      <c r="X91" s="42">
        <f t="shared" si="46"/>
        <v>4.2774639893530253E-3</v>
      </c>
      <c r="Y91" s="42">
        <f t="shared" si="29"/>
        <v>1.2934788412286135E-3</v>
      </c>
      <c r="Z91" s="10">
        <f t="shared" si="47"/>
        <v>14.928750949159603</v>
      </c>
      <c r="AA91">
        <f t="shared" si="14"/>
        <v>4927468.7346360143</v>
      </c>
      <c r="AB91" s="10">
        <f t="shared" si="15"/>
        <v>4.9274687346360144</v>
      </c>
      <c r="AC91" s="10">
        <f t="shared" si="16"/>
        <v>4.8264687346360144</v>
      </c>
      <c r="AD91" s="3">
        <f t="shared" si="17"/>
        <v>699.99546550195998</v>
      </c>
      <c r="AI91" s="94">
        <f t="shared" si="28"/>
        <v>0.43801442144423847</v>
      </c>
    </row>
    <row r="92" spans="2:35">
      <c r="B92" s="39">
        <f t="shared" si="30"/>
        <v>64</v>
      </c>
      <c r="C92" s="42">
        <f t="shared" si="31"/>
        <v>0.42513189448396915</v>
      </c>
      <c r="D92" s="10">
        <f t="shared" si="32"/>
        <v>5.1148681055159742</v>
      </c>
      <c r="E92" s="40">
        <f t="shared" si="33"/>
        <v>20.85026378896805</v>
      </c>
      <c r="F92" s="40">
        <f t="shared" si="34"/>
        <v>31.08</v>
      </c>
      <c r="G92" s="3">
        <f t="shared" si="35"/>
        <v>222.99894484412872</v>
      </c>
      <c r="H92" s="3">
        <f t="shared" si="36"/>
        <v>81.256230789298584</v>
      </c>
      <c r="I92">
        <f t="shared" ref="I92:I155" si="48">H92/1000^2</f>
        <v>8.1256230789298584E-5</v>
      </c>
      <c r="J92" s="4">
        <f t="shared" si="37"/>
        <v>341.43889252197084</v>
      </c>
      <c r="K92" s="40">
        <f t="shared" si="38"/>
        <v>4.2020025935898841</v>
      </c>
      <c r="L92" s="40">
        <f t="shared" ref="L92:L155" si="49">IF((gstar-K92)&lt;0,0,gstar-K92)</f>
        <v>1.7979974064101159</v>
      </c>
      <c r="M92" s="10">
        <f t="shared" si="39"/>
        <v>4.9274687346360144</v>
      </c>
      <c r="N92" s="10">
        <f t="shared" ref="N92:N155" si="50">IF(fueltype=1,VLOOKUP($M92,kndxbn_,4),IF(fueltype=2,VLOOKUP($M92,knsobn_,4),IF(fueltype=3,VLOOKUP($M92,knsbcobn_,4),IF(fueltype=4,VLOOKUP($M92,knsubn_,4),IF(fueltype=5,am_1,IF(fueltype=6,am_0,IF(fueltype=7,am_3,am_4)))))))</f>
        <v>8.26</v>
      </c>
      <c r="O92" s="10">
        <f t="shared" ref="O92:O155" si="51">IF(fueltype=1,VLOOKUP($M92,kndxbn_,5),IF(fueltype=2,VLOOKUP($M92,knsobn_,5),IF(fueltype=3,VLOOKUP($M92,knsbcobn_,5),IF(fueltype=4,VLOOKUP($M92,knsubn_,5),IF(fueltype=5,nm_1,IF(fueltype=6,an_0,IF(fueltype=7,nm_3,nm_4)))))))</f>
        <v>0.31900000000000001</v>
      </c>
      <c r="P92" s="10">
        <f t="shared" si="40"/>
        <v>13.738112365068218</v>
      </c>
      <c r="Q92" s="42">
        <f t="shared" si="41"/>
        <v>3.3621642212004949E-2</v>
      </c>
      <c r="R92" s="4">
        <f t="shared" si="42"/>
        <v>93041.703457001364</v>
      </c>
      <c r="S92">
        <f t="shared" ref="S92:S155" si="52">R92/1000^3</f>
        <v>9.3041703457001369E-5</v>
      </c>
      <c r="T92" s="41">
        <f t="shared" ref="T92:T155" si="53">(vc/1000^3-S92)</f>
        <v>8.6762668584882465E-5</v>
      </c>
      <c r="U92" s="42">
        <f t="shared" si="43"/>
        <v>0.16696798893876177</v>
      </c>
      <c r="V92" s="42">
        <f t="shared" si="44"/>
        <v>0.44238082062027706</v>
      </c>
      <c r="W92" s="42">
        <f t="shared" si="45"/>
        <v>0.43811251027505344</v>
      </c>
      <c r="X92" s="42">
        <f t="shared" si="46"/>
        <v>4.2683103452236248E-3</v>
      </c>
      <c r="Y92" s="42">
        <f t="shared" si="29"/>
        <v>1.2955426651358425E-3</v>
      </c>
      <c r="Z92" s="10">
        <f t="shared" si="47"/>
        <v>14.932028789183391</v>
      </c>
      <c r="AA92">
        <f t="shared" ref="AA92:AA155" si="54">Z92*rat*to+patm*1000000</f>
        <v>4928528.4610957718</v>
      </c>
      <c r="AB92" s="10">
        <f t="shared" ref="AB92:AB155" si="55">AA92/1000000</f>
        <v>4.9285284610957714</v>
      </c>
      <c r="AC92" s="10">
        <f t="shared" ref="AC92:AC155" si="56">AB92-patm</f>
        <v>4.8275284610957714</v>
      </c>
      <c r="AD92" s="3">
        <f t="shared" ref="AD92:AD155" si="57">AC92*1000000/6895</f>
        <v>700.1491604199814</v>
      </c>
      <c r="AI92" s="94">
        <f t="shared" si="28"/>
        <v>0.43811251027505344</v>
      </c>
    </row>
    <row r="93" spans="2:35">
      <c r="B93" s="39">
        <f t="shared" si="30"/>
        <v>65</v>
      </c>
      <c r="C93" s="42">
        <f t="shared" si="31"/>
        <v>0.43177458033528116</v>
      </c>
      <c r="D93" s="10">
        <f t="shared" si="32"/>
        <v>5.1082254196646613</v>
      </c>
      <c r="E93" s="40">
        <f t="shared" si="33"/>
        <v>20.863549160670676</v>
      </c>
      <c r="F93" s="40">
        <f t="shared" si="34"/>
        <v>31.08</v>
      </c>
      <c r="G93" s="3">
        <f t="shared" si="35"/>
        <v>222.94580335731823</v>
      </c>
      <c r="H93" s="3">
        <f t="shared" si="36"/>
        <v>81.256230789298584</v>
      </c>
      <c r="I93">
        <f t="shared" si="48"/>
        <v>8.1256230789298584E-5</v>
      </c>
      <c r="J93" s="4">
        <f t="shared" si="37"/>
        <v>341.87414723304329</v>
      </c>
      <c r="K93" s="40">
        <f t="shared" si="38"/>
        <v>4.2073591638718737</v>
      </c>
      <c r="L93" s="40">
        <f t="shared" si="49"/>
        <v>1.7926408361281263</v>
      </c>
      <c r="M93" s="10">
        <f t="shared" si="39"/>
        <v>4.9285284610957714</v>
      </c>
      <c r="N93" s="10">
        <f t="shared" si="50"/>
        <v>8.26</v>
      </c>
      <c r="O93" s="10">
        <f t="shared" si="51"/>
        <v>0.31900000000000001</v>
      </c>
      <c r="P93" s="10">
        <f t="shared" si="40"/>
        <v>13.739054809705403</v>
      </c>
      <c r="Q93" s="42">
        <f t="shared" si="41"/>
        <v>3.4105131501720828E-2</v>
      </c>
      <c r="R93" s="4">
        <f t="shared" si="42"/>
        <v>92922.493058098233</v>
      </c>
      <c r="S93">
        <f t="shared" si="52"/>
        <v>9.2922493058098231E-5</v>
      </c>
      <c r="T93" s="41">
        <f t="shared" si="53"/>
        <v>8.6881878983785602E-5</v>
      </c>
      <c r="U93" s="42">
        <f t="shared" si="43"/>
        <v>0.16675405991741016</v>
      </c>
      <c r="V93" s="42">
        <f t="shared" si="44"/>
        <v>0.4424689975600718</v>
      </c>
      <c r="W93" s="42">
        <f t="shared" si="45"/>
        <v>0.43820870470725959</v>
      </c>
      <c r="X93" s="42">
        <f t="shared" si="46"/>
        <v>4.2602928528122086E-3</v>
      </c>
      <c r="Y93" s="42">
        <f t="shared" si="29"/>
        <v>1.2976024711012302E-3</v>
      </c>
      <c r="Z93" s="10">
        <f t="shared" si="47"/>
        <v>14.93524871099296</v>
      </c>
      <c r="AA93">
        <f t="shared" si="54"/>
        <v>4929569.4625830892</v>
      </c>
      <c r="AB93" s="10">
        <f t="shared" si="55"/>
        <v>4.929569462583089</v>
      </c>
      <c r="AC93" s="10">
        <f t="shared" si="56"/>
        <v>4.8285694625830891</v>
      </c>
      <c r="AD93" s="3">
        <f t="shared" si="57"/>
        <v>700.30013960595932</v>
      </c>
      <c r="AI93" s="94">
        <f t="shared" ref="AI93:AI156" si="58">($M93-patm)*1000000*$I93/SQRT(rat*to)*SQRT(k)*(2/(k+1))^((k+1)/2/(k-1))</f>
        <v>0.43820870470725959</v>
      </c>
    </row>
    <row r="94" spans="2:35">
      <c r="B94" s="39">
        <f t="shared" si="30"/>
        <v>66</v>
      </c>
      <c r="C94" s="42">
        <f t="shared" si="31"/>
        <v>0.43841726618659316</v>
      </c>
      <c r="D94" s="10">
        <f t="shared" si="32"/>
        <v>5.1015827338133484</v>
      </c>
      <c r="E94" s="40">
        <f t="shared" si="33"/>
        <v>20.876834532373302</v>
      </c>
      <c r="F94" s="40">
        <f t="shared" si="34"/>
        <v>31.08</v>
      </c>
      <c r="G94" s="3">
        <f t="shared" si="35"/>
        <v>222.89266187050774</v>
      </c>
      <c r="H94" s="3">
        <f t="shared" si="36"/>
        <v>81.256230789298584</v>
      </c>
      <c r="I94">
        <f t="shared" si="48"/>
        <v>8.1256230789298584E-5</v>
      </c>
      <c r="J94" s="4">
        <f t="shared" si="37"/>
        <v>342.30967919139738</v>
      </c>
      <c r="K94" s="40">
        <f t="shared" si="38"/>
        <v>4.2127191461664433</v>
      </c>
      <c r="L94" s="40">
        <f t="shared" si="49"/>
        <v>1.7872808538335567</v>
      </c>
      <c r="M94" s="10">
        <f t="shared" si="39"/>
        <v>4.929569462583089</v>
      </c>
      <c r="N94" s="10">
        <f t="shared" si="50"/>
        <v>8.26</v>
      </c>
      <c r="O94" s="10">
        <f t="shared" si="51"/>
        <v>0.31900000000000001</v>
      </c>
      <c r="P94" s="10">
        <f t="shared" si="40"/>
        <v>13.739980467341839</v>
      </c>
      <c r="Q94" s="42">
        <f t="shared" si="41"/>
        <v>3.458858821893384E-2</v>
      </c>
      <c r="R94" s="4">
        <f t="shared" si="42"/>
        <v>92803.267122975478</v>
      </c>
      <c r="S94">
        <f t="shared" si="52"/>
        <v>9.2803267122975472E-5</v>
      </c>
      <c r="T94" s="41">
        <f t="shared" si="53"/>
        <v>8.7001104918908362E-5</v>
      </c>
      <c r="U94" s="42">
        <f t="shared" si="43"/>
        <v>0.16654010301553562</v>
      </c>
      <c r="V94" s="42">
        <f t="shared" si="44"/>
        <v>0.44255647766760697</v>
      </c>
      <c r="W94" s="42">
        <f t="shared" si="45"/>
        <v>0.43830319941962265</v>
      </c>
      <c r="X94" s="42">
        <f t="shared" si="46"/>
        <v>4.2532782479843267E-3</v>
      </c>
      <c r="Y94" s="42">
        <f t="shared" ref="Y94:Y157" si="59">IF((X94*(Q94-Q93)+Y93)&lt;0,0,X94*(Q94-Q93)+Y93)</f>
        <v>1.2996587470403941E-3</v>
      </c>
      <c r="Z94" s="10">
        <f t="shared" si="47"/>
        <v>14.938416566683548</v>
      </c>
      <c r="AA94">
        <f t="shared" si="54"/>
        <v>4930593.6310817488</v>
      </c>
      <c r="AB94" s="10">
        <f t="shared" si="55"/>
        <v>4.9305936310817486</v>
      </c>
      <c r="AC94" s="10">
        <f t="shared" si="56"/>
        <v>4.8295936310817487</v>
      </c>
      <c r="AD94" s="3">
        <f t="shared" si="57"/>
        <v>700.44867745928195</v>
      </c>
      <c r="AI94" s="94">
        <f t="shared" si="58"/>
        <v>0.43830319941962265</v>
      </c>
    </row>
    <row r="95" spans="2:35">
      <c r="B95" s="39">
        <f t="shared" si="30"/>
        <v>67</v>
      </c>
      <c r="C95" s="42">
        <f t="shared" si="31"/>
        <v>0.44505995203790516</v>
      </c>
      <c r="D95" s="10">
        <f t="shared" si="32"/>
        <v>5.0949400479620355</v>
      </c>
      <c r="E95" s="40">
        <f t="shared" si="33"/>
        <v>20.890119904075927</v>
      </c>
      <c r="F95" s="40">
        <f t="shared" si="34"/>
        <v>31.08</v>
      </c>
      <c r="G95" s="3">
        <f t="shared" si="35"/>
        <v>222.83952038369725</v>
      </c>
      <c r="H95" s="3">
        <f t="shared" si="36"/>
        <v>81.256230789298584</v>
      </c>
      <c r="I95">
        <f t="shared" si="48"/>
        <v>8.1256230789298584E-5</v>
      </c>
      <c r="J95" s="4">
        <f t="shared" si="37"/>
        <v>342.74548839703294</v>
      </c>
      <c r="K95" s="40">
        <f t="shared" si="38"/>
        <v>4.2180825404735902</v>
      </c>
      <c r="L95" s="40">
        <f t="shared" si="49"/>
        <v>1.7819174595264098</v>
      </c>
      <c r="M95" s="10">
        <f t="shared" si="39"/>
        <v>4.9305936310817486</v>
      </c>
      <c r="N95" s="10">
        <f t="shared" si="50"/>
        <v>8.26</v>
      </c>
      <c r="O95" s="10">
        <f t="shared" si="51"/>
        <v>0.31900000000000001</v>
      </c>
      <c r="P95" s="10">
        <f t="shared" si="40"/>
        <v>13.740891027200631</v>
      </c>
      <c r="Q95" s="42">
        <f t="shared" si="41"/>
        <v>3.5072012899193844E-2</v>
      </c>
      <c r="R95" s="4">
        <f t="shared" si="42"/>
        <v>92684.02569583313</v>
      </c>
      <c r="S95">
        <f t="shared" si="52"/>
        <v>9.2684025695833125E-5</v>
      </c>
      <c r="T95" s="41">
        <f t="shared" si="53"/>
        <v>8.7120346346050709E-5</v>
      </c>
      <c r="U95" s="42">
        <f t="shared" si="43"/>
        <v>0.16632611831245733</v>
      </c>
      <c r="V95" s="42">
        <f t="shared" si="44"/>
        <v>0.44264331511415861</v>
      </c>
      <c r="W95" s="42">
        <f t="shared" si="45"/>
        <v>0.43839616615297622</v>
      </c>
      <c r="X95" s="42">
        <f t="shared" si="46"/>
        <v>4.2471489611823898E-3</v>
      </c>
      <c r="Y95" s="42">
        <f t="shared" si="59"/>
        <v>1.3017119236689704E-3</v>
      </c>
      <c r="Z95" s="10">
        <f t="shared" si="47"/>
        <v>14.941537519817022</v>
      </c>
      <c r="AA95">
        <f t="shared" si="54"/>
        <v>4931602.6359725306</v>
      </c>
      <c r="AB95" s="10">
        <f t="shared" si="55"/>
        <v>4.9316026359725305</v>
      </c>
      <c r="AC95" s="10">
        <f t="shared" si="56"/>
        <v>4.8306026359725305</v>
      </c>
      <c r="AD95" s="3">
        <f t="shared" si="57"/>
        <v>700.59501609463825</v>
      </c>
      <c r="AI95" s="94">
        <f t="shared" si="58"/>
        <v>0.43839616615297622</v>
      </c>
    </row>
    <row r="96" spans="2:35">
      <c r="B96" s="39">
        <f t="shared" si="30"/>
        <v>68</v>
      </c>
      <c r="C96" s="42">
        <f t="shared" si="31"/>
        <v>0.45170263788921716</v>
      </c>
      <c r="D96" s="10">
        <f t="shared" si="32"/>
        <v>5.0882973621107226</v>
      </c>
      <c r="E96" s="40">
        <f t="shared" si="33"/>
        <v>20.903405275778553</v>
      </c>
      <c r="F96" s="40">
        <f t="shared" si="34"/>
        <v>31.08</v>
      </c>
      <c r="G96" s="3">
        <f t="shared" si="35"/>
        <v>222.78637889688676</v>
      </c>
      <c r="H96" s="3">
        <f t="shared" si="36"/>
        <v>81.256230789298584</v>
      </c>
      <c r="I96">
        <f t="shared" si="48"/>
        <v>8.1256230789298584E-5</v>
      </c>
      <c r="J96" s="4">
        <f t="shared" si="37"/>
        <v>343.1815748499501</v>
      </c>
      <c r="K96" s="40">
        <f t="shared" si="38"/>
        <v>4.2234493467933163</v>
      </c>
      <c r="L96" s="40">
        <f t="shared" si="49"/>
        <v>1.7765506532066837</v>
      </c>
      <c r="M96" s="10">
        <f t="shared" si="39"/>
        <v>4.9316026359725305</v>
      </c>
      <c r="N96" s="10">
        <f t="shared" si="50"/>
        <v>8.26</v>
      </c>
      <c r="O96" s="10">
        <f t="shared" si="51"/>
        <v>0.31900000000000001</v>
      </c>
      <c r="P96" s="10">
        <f t="shared" si="40"/>
        <v>13.741787979567036</v>
      </c>
      <c r="Q96" s="42">
        <f t="shared" si="41"/>
        <v>3.5555406025415057E-2</v>
      </c>
      <c r="R96" s="4">
        <f t="shared" si="42"/>
        <v>92564.768820871162</v>
      </c>
      <c r="S96">
        <f t="shared" si="52"/>
        <v>9.256476882087116E-5</v>
      </c>
      <c r="T96" s="41">
        <f t="shared" si="53"/>
        <v>8.7239603221012674E-5</v>
      </c>
      <c r="U96" s="42">
        <f t="shared" si="43"/>
        <v>0.16611210588749434</v>
      </c>
      <c r="V96" s="42">
        <f t="shared" si="44"/>
        <v>0.44272955769142958</v>
      </c>
      <c r="W96" s="42">
        <f t="shared" si="45"/>
        <v>0.43848775644183641</v>
      </c>
      <c r="X96" s="42">
        <f t="shared" si="46"/>
        <v>4.241801249593169E-3</v>
      </c>
      <c r="Y96" s="42">
        <f t="shared" si="59"/>
        <v>1.3037623812358202E-3</v>
      </c>
      <c r="Z96" s="10">
        <f t="shared" si="47"/>
        <v>14.94461612729795</v>
      </c>
      <c r="AA96">
        <f t="shared" si="54"/>
        <v>4932597.9505037675</v>
      </c>
      <c r="AB96" s="10">
        <f t="shared" si="55"/>
        <v>4.9325979505037676</v>
      </c>
      <c r="AC96" s="10">
        <f t="shared" si="56"/>
        <v>4.8315979505037676</v>
      </c>
      <c r="AD96" s="3">
        <f t="shared" si="57"/>
        <v>700.73936918111201</v>
      </c>
      <c r="AI96" s="94">
        <f t="shared" si="58"/>
        <v>0.43848775644183641</v>
      </c>
    </row>
    <row r="97" spans="2:35">
      <c r="B97" s="39">
        <f t="shared" si="30"/>
        <v>69</v>
      </c>
      <c r="C97" s="42">
        <f t="shared" si="31"/>
        <v>0.45834532374052916</v>
      </c>
      <c r="D97" s="10">
        <f t="shared" si="32"/>
        <v>5.0816546762594097</v>
      </c>
      <c r="E97" s="40">
        <f t="shared" si="33"/>
        <v>20.916690647481179</v>
      </c>
      <c r="F97" s="40">
        <f t="shared" si="34"/>
        <v>31.08</v>
      </c>
      <c r="G97" s="3">
        <f t="shared" si="35"/>
        <v>222.73323741007627</v>
      </c>
      <c r="H97" s="3">
        <f t="shared" si="36"/>
        <v>81.256230789298584</v>
      </c>
      <c r="I97">
        <f t="shared" si="48"/>
        <v>8.1256230789298584E-5</v>
      </c>
      <c r="J97" s="4">
        <f t="shared" si="37"/>
        <v>343.61793855014884</v>
      </c>
      <c r="K97" s="40">
        <f t="shared" si="38"/>
        <v>4.2288195651256224</v>
      </c>
      <c r="L97" s="40">
        <f t="shared" si="49"/>
        <v>1.7711804348743776</v>
      </c>
      <c r="M97" s="10">
        <f t="shared" si="39"/>
        <v>4.9325979505037676</v>
      </c>
      <c r="N97" s="10">
        <f t="shared" si="50"/>
        <v>8.26</v>
      </c>
      <c r="O97" s="10">
        <f t="shared" si="51"/>
        <v>0.31900000000000001</v>
      </c>
      <c r="P97" s="10">
        <f t="shared" si="40"/>
        <v>13.742672639488436</v>
      </c>
      <c r="Q97" s="42">
        <f t="shared" si="41"/>
        <v>3.6038768034070114E-2</v>
      </c>
      <c r="R97" s="4">
        <f t="shared" si="42"/>
        <v>92445.496542289577</v>
      </c>
      <c r="S97">
        <f t="shared" si="52"/>
        <v>9.2445496542289572E-5</v>
      </c>
      <c r="T97" s="41">
        <f t="shared" si="53"/>
        <v>8.7358875499594262E-5</v>
      </c>
      <c r="U97" s="42">
        <f t="shared" si="43"/>
        <v>0.16589806581996575</v>
      </c>
      <c r="V97" s="42">
        <f t="shared" si="44"/>
        <v>0.4428152475701469</v>
      </c>
      <c r="W97" s="42">
        <f t="shared" si="45"/>
        <v>0.43857810401721059</v>
      </c>
      <c r="X97" s="42">
        <f t="shared" si="46"/>
        <v>4.2371435529363066E-3</v>
      </c>
      <c r="Y97" s="42">
        <f t="shared" si="59"/>
        <v>1.3058104554545273E-3</v>
      </c>
      <c r="Z97" s="10">
        <f t="shared" si="47"/>
        <v>14.947656411403695</v>
      </c>
      <c r="AA97">
        <f t="shared" si="54"/>
        <v>4933580.8750786884</v>
      </c>
      <c r="AB97" s="10">
        <f t="shared" si="55"/>
        <v>4.9335808750786887</v>
      </c>
      <c r="AC97" s="10">
        <f t="shared" si="56"/>
        <v>4.8325808750786887</v>
      </c>
      <c r="AD97" s="3">
        <f t="shared" si="57"/>
        <v>700.88192531960669</v>
      </c>
      <c r="AI97" s="94">
        <f t="shared" si="58"/>
        <v>0.43857810401721059</v>
      </c>
    </row>
    <row r="98" spans="2:35">
      <c r="B98" s="39">
        <f t="shared" si="30"/>
        <v>70</v>
      </c>
      <c r="C98" s="42">
        <f t="shared" si="31"/>
        <v>0.46498800959184117</v>
      </c>
      <c r="D98" s="10">
        <f t="shared" si="32"/>
        <v>5.0750119904080968</v>
      </c>
      <c r="E98" s="40">
        <f t="shared" si="33"/>
        <v>20.929976019183805</v>
      </c>
      <c r="F98" s="40">
        <f t="shared" si="34"/>
        <v>31.08</v>
      </c>
      <c r="G98" s="3">
        <f t="shared" si="35"/>
        <v>222.68009592326578</v>
      </c>
      <c r="H98" s="3">
        <f t="shared" si="36"/>
        <v>81.256230789298584</v>
      </c>
      <c r="I98">
        <f t="shared" si="48"/>
        <v>8.1256230789298584E-5</v>
      </c>
      <c r="J98" s="4">
        <f t="shared" si="37"/>
        <v>344.05457949762911</v>
      </c>
      <c r="K98" s="40">
        <f t="shared" si="38"/>
        <v>4.2341931954705059</v>
      </c>
      <c r="L98" s="40">
        <f t="shared" si="49"/>
        <v>1.7658068045294941</v>
      </c>
      <c r="M98" s="10">
        <f t="shared" si="39"/>
        <v>4.9335808750786887</v>
      </c>
      <c r="N98" s="10">
        <f t="shared" si="50"/>
        <v>8.26</v>
      </c>
      <c r="O98" s="10">
        <f t="shared" si="51"/>
        <v>0.31900000000000001</v>
      </c>
      <c r="P98" s="10">
        <f t="shared" si="40"/>
        <v>13.743546167616998</v>
      </c>
      <c r="Q98" s="42">
        <f t="shared" si="41"/>
        <v>3.6522099320646192E-2</v>
      </c>
      <c r="R98" s="4">
        <f t="shared" si="42"/>
        <v>92326.208904288389</v>
      </c>
      <c r="S98">
        <f t="shared" si="52"/>
        <v>9.2326208904288396E-5</v>
      </c>
      <c r="T98" s="41">
        <f t="shared" si="53"/>
        <v>8.7478163137595438E-5</v>
      </c>
      <c r="U98" s="42">
        <f t="shared" si="43"/>
        <v>0.16568399818919072</v>
      </c>
      <c r="V98" s="42">
        <f t="shared" si="44"/>
        <v>0.44290042196830226</v>
      </c>
      <c r="W98" s="42">
        <f t="shared" si="45"/>
        <v>0.4386673269204564</v>
      </c>
      <c r="X98" s="42">
        <f t="shared" si="46"/>
        <v>4.2330950478458584E-3</v>
      </c>
      <c r="Y98" s="42">
        <f t="shared" si="59"/>
        <v>1.3078564427302015E-3</v>
      </c>
      <c r="Z98" s="10">
        <f t="shared" si="47"/>
        <v>14.950661923171142</v>
      </c>
      <c r="AA98">
        <f t="shared" si="54"/>
        <v>4934552.5577483606</v>
      </c>
      <c r="AB98" s="10">
        <f t="shared" si="55"/>
        <v>4.9345525577483604</v>
      </c>
      <c r="AC98" s="10">
        <f t="shared" si="56"/>
        <v>4.8335525577483605</v>
      </c>
      <c r="AD98" s="3">
        <f t="shared" si="57"/>
        <v>701.02285101499069</v>
      </c>
      <c r="AI98" s="94">
        <f t="shared" si="58"/>
        <v>0.4386673269204564</v>
      </c>
    </row>
    <row r="99" spans="2:35">
      <c r="B99" s="39">
        <f t="shared" si="30"/>
        <v>71</v>
      </c>
      <c r="C99" s="42">
        <f t="shared" si="31"/>
        <v>0.47163069544315317</v>
      </c>
      <c r="D99" s="10">
        <f t="shared" si="32"/>
        <v>5.0683693045567839</v>
      </c>
      <c r="E99" s="40">
        <f t="shared" si="33"/>
        <v>20.94326139088643</v>
      </c>
      <c r="F99" s="40">
        <f t="shared" si="34"/>
        <v>31.08</v>
      </c>
      <c r="G99" s="3">
        <f t="shared" si="35"/>
        <v>222.62695443645529</v>
      </c>
      <c r="H99" s="3">
        <f t="shared" si="36"/>
        <v>81.256230789298584</v>
      </c>
      <c r="I99">
        <f t="shared" si="48"/>
        <v>8.1256230789298584E-5</v>
      </c>
      <c r="J99" s="4">
        <f t="shared" si="37"/>
        <v>344.49149769239091</v>
      </c>
      <c r="K99" s="40">
        <f t="shared" si="38"/>
        <v>4.2395702378279685</v>
      </c>
      <c r="L99" s="40">
        <f t="shared" si="49"/>
        <v>1.7604297621720315</v>
      </c>
      <c r="M99" s="10">
        <f t="shared" si="39"/>
        <v>4.9345525577483604</v>
      </c>
      <c r="N99" s="10">
        <f t="shared" si="50"/>
        <v>8.26</v>
      </c>
      <c r="O99" s="10">
        <f t="shared" si="51"/>
        <v>0.31900000000000001</v>
      </c>
      <c r="P99" s="10">
        <f t="shared" si="40"/>
        <v>13.744409588545285</v>
      </c>
      <c r="Q99" s="42">
        <f t="shared" si="41"/>
        <v>3.7005400244452195E-2</v>
      </c>
      <c r="R99" s="4">
        <f t="shared" si="42"/>
        <v>92206.905951067587</v>
      </c>
      <c r="S99">
        <f t="shared" si="52"/>
        <v>9.2206905951067587E-5</v>
      </c>
      <c r="T99" s="41">
        <f t="shared" si="53"/>
        <v>8.7597466090816247E-5</v>
      </c>
      <c r="U99" s="42">
        <f t="shared" si="43"/>
        <v>0.16546990307448833</v>
      </c>
      <c r="V99" s="42">
        <f t="shared" si="44"/>
        <v>0.44298511373903721</v>
      </c>
      <c r="W99" s="42">
        <f t="shared" si="45"/>
        <v>0.43875552936348605</v>
      </c>
      <c r="X99" s="42">
        <f t="shared" si="46"/>
        <v>4.2295843755511542E-3</v>
      </c>
      <c r="Y99" s="42">
        <f t="shared" si="59"/>
        <v>1.3099006047662207E-3</v>
      </c>
      <c r="Z99" s="10">
        <f t="shared" si="47"/>
        <v>14.95363579818836</v>
      </c>
      <c r="AA99">
        <f t="shared" si="54"/>
        <v>4935514.0122491559</v>
      </c>
      <c r="AB99" s="10">
        <f t="shared" si="55"/>
        <v>4.9355140122491559</v>
      </c>
      <c r="AC99" s="10">
        <f t="shared" si="56"/>
        <v>4.8345140122491559</v>
      </c>
      <c r="AD99" s="3">
        <f t="shared" si="57"/>
        <v>701.16229329211831</v>
      </c>
      <c r="AI99" s="94">
        <f t="shared" si="58"/>
        <v>0.43875552936348605</v>
      </c>
    </row>
    <row r="100" spans="2:35">
      <c r="B100" s="39">
        <f t="shared" si="30"/>
        <v>72</v>
      </c>
      <c r="C100" s="42">
        <f t="shared" si="31"/>
        <v>0.47827338129446517</v>
      </c>
      <c r="D100" s="10">
        <f t="shared" si="32"/>
        <v>5.061726618705471</v>
      </c>
      <c r="E100" s="40">
        <f t="shared" si="33"/>
        <v>20.956546762589056</v>
      </c>
      <c r="F100" s="40">
        <f t="shared" si="34"/>
        <v>31.08</v>
      </c>
      <c r="G100" s="3">
        <f t="shared" si="35"/>
        <v>222.5738129496448</v>
      </c>
      <c r="H100" s="3">
        <f t="shared" si="36"/>
        <v>81.256230789298584</v>
      </c>
      <c r="I100">
        <f t="shared" si="48"/>
        <v>8.1256230789298584E-5</v>
      </c>
      <c r="J100" s="4">
        <f t="shared" si="37"/>
        <v>344.9286931344343</v>
      </c>
      <c r="K100" s="40">
        <f t="shared" si="38"/>
        <v>4.2449506921980102</v>
      </c>
      <c r="L100" s="40">
        <f t="shared" si="49"/>
        <v>1.7550493078019898</v>
      </c>
      <c r="M100" s="10">
        <f t="shared" si="39"/>
        <v>4.9355140122491559</v>
      </c>
      <c r="N100" s="10">
        <f t="shared" si="50"/>
        <v>8.26</v>
      </c>
      <c r="O100" s="10">
        <f t="shared" si="51"/>
        <v>0.31900000000000001</v>
      </c>
      <c r="P100" s="10">
        <f t="shared" si="40"/>
        <v>13.745263806940029</v>
      </c>
      <c r="Q100" s="42">
        <f t="shared" si="41"/>
        <v>3.7488671132855089E-2</v>
      </c>
      <c r="R100" s="4">
        <f t="shared" si="42"/>
        <v>92087.587726827158</v>
      </c>
      <c r="S100">
        <f t="shared" si="52"/>
        <v>9.2087587726827154E-5</v>
      </c>
      <c r="T100" s="41">
        <f t="shared" si="53"/>
        <v>8.7716784315056679E-5</v>
      </c>
      <c r="U100" s="42">
        <f t="shared" si="43"/>
        <v>0.16525578055517764</v>
      </c>
      <c r="V100" s="42">
        <f t="shared" si="44"/>
        <v>0.44306935188733926</v>
      </c>
      <c r="W100" s="42">
        <f t="shared" si="45"/>
        <v>0.4388428033660785</v>
      </c>
      <c r="X100" s="42">
        <f t="shared" si="46"/>
        <v>4.2265485212607534E-3</v>
      </c>
      <c r="Y100" s="42">
        <f t="shared" si="59"/>
        <v>1.3119431726249684E-3</v>
      </c>
      <c r="Z100" s="10">
        <f t="shared" si="47"/>
        <v>14.95658080570758</v>
      </c>
      <c r="AA100">
        <f t="shared" si="54"/>
        <v>4936466.1338809775</v>
      </c>
      <c r="AB100" s="10">
        <f t="shared" si="55"/>
        <v>4.9364661338809777</v>
      </c>
      <c r="AC100" s="10">
        <f t="shared" si="56"/>
        <v>4.8354661338809777</v>
      </c>
      <c r="AD100" s="3">
        <f t="shared" si="57"/>
        <v>701.30038199869148</v>
      </c>
      <c r="AI100" s="94">
        <f t="shared" si="58"/>
        <v>0.4388428033660785</v>
      </c>
    </row>
    <row r="101" spans="2:35">
      <c r="B101" s="39">
        <f t="shared" si="30"/>
        <v>73</v>
      </c>
      <c r="C101" s="42">
        <f t="shared" si="31"/>
        <v>0.48491606714577717</v>
      </c>
      <c r="D101" s="10">
        <f t="shared" si="32"/>
        <v>5.0550839328541581</v>
      </c>
      <c r="E101" s="40">
        <f t="shared" si="33"/>
        <v>20.969832134291682</v>
      </c>
      <c r="F101" s="40">
        <f t="shared" si="34"/>
        <v>31.08</v>
      </c>
      <c r="G101" s="3">
        <f t="shared" si="35"/>
        <v>222.52067146283431</v>
      </c>
      <c r="H101" s="3">
        <f t="shared" si="36"/>
        <v>81.256230789298584</v>
      </c>
      <c r="I101">
        <f t="shared" si="48"/>
        <v>8.1256230789298584E-5</v>
      </c>
      <c r="J101" s="4">
        <f t="shared" si="37"/>
        <v>345.36616582375933</v>
      </c>
      <c r="K101" s="40">
        <f t="shared" si="38"/>
        <v>4.250334558580632</v>
      </c>
      <c r="L101" s="40">
        <f t="shared" si="49"/>
        <v>1.749665441419368</v>
      </c>
      <c r="M101" s="10">
        <f t="shared" si="39"/>
        <v>4.9364661338809777</v>
      </c>
      <c r="N101" s="10">
        <f t="shared" si="50"/>
        <v>8.26</v>
      </c>
      <c r="O101" s="10">
        <f t="shared" si="51"/>
        <v>0.31900000000000001</v>
      </c>
      <c r="P101" s="10">
        <f t="shared" si="40"/>
        <v>13.746109621740494</v>
      </c>
      <c r="Q101" s="42">
        <f t="shared" si="41"/>
        <v>3.797191228501396E-2</v>
      </c>
      <c r="R101" s="4">
        <f t="shared" si="42"/>
        <v>91968.254275767089</v>
      </c>
      <c r="S101">
        <f t="shared" si="52"/>
        <v>9.1968254275767093E-5</v>
      </c>
      <c r="T101" s="41">
        <f t="shared" si="53"/>
        <v>8.7836117766116741E-5</v>
      </c>
      <c r="U101" s="42">
        <f t="shared" si="43"/>
        <v>0.16504163071057781</v>
      </c>
      <c r="V101" s="42">
        <f t="shared" si="44"/>
        <v>0.44315316202504845</v>
      </c>
      <c r="W101" s="42">
        <f t="shared" si="45"/>
        <v>0.43892923019719232</v>
      </c>
      <c r="X101" s="42">
        <f t="shared" si="46"/>
        <v>4.2239318278561311E-3</v>
      </c>
      <c r="Y101" s="42">
        <f t="shared" si="59"/>
        <v>1.3139843503081022E-3</v>
      </c>
      <c r="Z101" s="10">
        <f t="shared" si="47"/>
        <v>14.959499391888865</v>
      </c>
      <c r="AA101">
        <f t="shared" si="54"/>
        <v>4937409.7134879585</v>
      </c>
      <c r="AB101" s="10">
        <f t="shared" si="55"/>
        <v>4.9374097134879582</v>
      </c>
      <c r="AC101" s="10">
        <f t="shared" si="56"/>
        <v>4.8364097134879582</v>
      </c>
      <c r="AD101" s="3">
        <f t="shared" si="57"/>
        <v>701.43723183291638</v>
      </c>
      <c r="AI101" s="94">
        <f t="shared" si="58"/>
        <v>0.43892923019719232</v>
      </c>
    </row>
    <row r="102" spans="2:35">
      <c r="B102" s="39">
        <f t="shared" si="30"/>
        <v>74</v>
      </c>
      <c r="C102" s="42">
        <f t="shared" si="31"/>
        <v>0.49155875299708918</v>
      </c>
      <c r="D102" s="10">
        <f t="shared" si="32"/>
        <v>5.0484412470028452</v>
      </c>
      <c r="E102" s="40">
        <f t="shared" si="33"/>
        <v>20.983117505994308</v>
      </c>
      <c r="F102" s="40">
        <f t="shared" si="34"/>
        <v>31.08</v>
      </c>
      <c r="G102" s="3">
        <f t="shared" si="35"/>
        <v>222.46752997602383</v>
      </c>
      <c r="H102" s="3">
        <f t="shared" si="36"/>
        <v>81.256230789298584</v>
      </c>
      <c r="I102">
        <f t="shared" si="48"/>
        <v>8.1256230789298584E-5</v>
      </c>
      <c r="J102" s="4">
        <f t="shared" si="37"/>
        <v>345.80391576036584</v>
      </c>
      <c r="K102" s="40">
        <f t="shared" si="38"/>
        <v>4.2557218369758312</v>
      </c>
      <c r="L102" s="40">
        <f t="shared" si="49"/>
        <v>1.7442781630241688</v>
      </c>
      <c r="M102" s="10">
        <f t="shared" si="39"/>
        <v>4.9374097134879582</v>
      </c>
      <c r="N102" s="10">
        <f t="shared" si="50"/>
        <v>8.26</v>
      </c>
      <c r="O102" s="10">
        <f t="shared" si="51"/>
        <v>0.31900000000000001</v>
      </c>
      <c r="P102" s="10">
        <f t="shared" si="40"/>
        <v>13.746947738656802</v>
      </c>
      <c r="Q102" s="42">
        <f t="shared" si="41"/>
        <v>3.8455123975172104E-2</v>
      </c>
      <c r="R102" s="4">
        <f t="shared" si="42"/>
        <v>91848.905642087426</v>
      </c>
      <c r="S102">
        <f t="shared" si="52"/>
        <v>9.1848905642087425E-5</v>
      </c>
      <c r="T102" s="41">
        <f t="shared" si="53"/>
        <v>8.7955466399796409E-5</v>
      </c>
      <c r="U102" s="42">
        <f t="shared" si="43"/>
        <v>0.164827453620008</v>
      </c>
      <c r="V102" s="42">
        <f t="shared" si="44"/>
        <v>0.44323656677204282</v>
      </c>
      <c r="W102" s="42">
        <f t="shared" si="45"/>
        <v>0.43901488164403418</v>
      </c>
      <c r="X102" s="42">
        <f t="shared" si="46"/>
        <v>4.2216851280086343E-3</v>
      </c>
      <c r="Y102" s="42">
        <f t="shared" si="59"/>
        <v>1.3160243179141228E-3</v>
      </c>
      <c r="Z102" s="10">
        <f t="shared" si="47"/>
        <v>14.962393717886863</v>
      </c>
      <c r="AA102">
        <f t="shared" si="54"/>
        <v>4938345.449771909</v>
      </c>
      <c r="AB102" s="10">
        <f t="shared" si="55"/>
        <v>4.9383454497719095</v>
      </c>
      <c r="AC102" s="10">
        <f t="shared" si="56"/>
        <v>4.8373454497719095</v>
      </c>
      <c r="AD102" s="3">
        <f t="shared" si="57"/>
        <v>701.57294412935596</v>
      </c>
      <c r="AI102" s="94">
        <f t="shared" si="58"/>
        <v>0.43901488164403418</v>
      </c>
    </row>
    <row r="103" spans="2:35">
      <c r="B103" s="39">
        <f t="shared" si="30"/>
        <v>75</v>
      </c>
      <c r="C103" s="42">
        <f t="shared" si="31"/>
        <v>0.49820143884840118</v>
      </c>
      <c r="D103" s="10">
        <f t="shared" si="32"/>
        <v>5.0417985611515324</v>
      </c>
      <c r="E103" s="40">
        <f t="shared" si="33"/>
        <v>20.996402877696934</v>
      </c>
      <c r="F103" s="40">
        <f t="shared" si="34"/>
        <v>31.08</v>
      </c>
      <c r="G103" s="3">
        <f t="shared" si="35"/>
        <v>222.41438848921334</v>
      </c>
      <c r="H103" s="3">
        <f t="shared" si="36"/>
        <v>81.256230789298584</v>
      </c>
      <c r="I103">
        <f t="shared" si="48"/>
        <v>8.1256230789298584E-5</v>
      </c>
      <c r="J103" s="4">
        <f t="shared" si="37"/>
        <v>346.24194294425394</v>
      </c>
      <c r="K103" s="40">
        <f t="shared" si="38"/>
        <v>4.2611125273836095</v>
      </c>
      <c r="L103" s="40">
        <f t="shared" si="49"/>
        <v>1.7388874726163905</v>
      </c>
      <c r="M103" s="10">
        <f t="shared" si="39"/>
        <v>4.9383454497719095</v>
      </c>
      <c r="N103" s="10">
        <f t="shared" si="50"/>
        <v>8.26</v>
      </c>
      <c r="O103" s="10">
        <f t="shared" si="51"/>
        <v>0.31900000000000001</v>
      </c>
      <c r="P103" s="10">
        <f t="shared" si="40"/>
        <v>13.747778781174985</v>
      </c>
      <c r="Q103" s="42">
        <f t="shared" si="41"/>
        <v>3.8938306455559984E-2</v>
      </c>
      <c r="R103" s="4">
        <f t="shared" si="42"/>
        <v>91729.541869988127</v>
      </c>
      <c r="S103">
        <f t="shared" si="52"/>
        <v>9.1729541869988132E-5</v>
      </c>
      <c r="T103" s="41">
        <f t="shared" si="53"/>
        <v>8.8074830171895702E-5</v>
      </c>
      <c r="U103" s="42">
        <f t="shared" si="43"/>
        <v>0.16461324936278718</v>
      </c>
      <c r="V103" s="42">
        <f t="shared" si="44"/>
        <v>0.44331958610930672</v>
      </c>
      <c r="W103" s="42">
        <f t="shared" si="45"/>
        <v>0.43909982112978591</v>
      </c>
      <c r="X103" s="42">
        <f t="shared" si="46"/>
        <v>4.2197649795208125E-3</v>
      </c>
      <c r="Y103" s="42">
        <f t="shared" si="59"/>
        <v>1.3180632344235816E-3</v>
      </c>
      <c r="Z103" s="10">
        <f t="shared" si="47"/>
        <v>14.965265693400905</v>
      </c>
      <c r="AA103">
        <f t="shared" si="54"/>
        <v>4939273.9601390762</v>
      </c>
      <c r="AB103" s="10">
        <f t="shared" si="55"/>
        <v>4.9392739601390758</v>
      </c>
      <c r="AC103" s="10">
        <f t="shared" si="56"/>
        <v>4.8382739601390758</v>
      </c>
      <c r="AD103" s="3">
        <f t="shared" si="57"/>
        <v>701.70760843206324</v>
      </c>
      <c r="AI103" s="94">
        <f t="shared" si="58"/>
        <v>0.43909982112978591</v>
      </c>
    </row>
    <row r="104" spans="2:35">
      <c r="B104" s="39">
        <f t="shared" ref="B104:B167" si="60">1+B103</f>
        <v>76</v>
      </c>
      <c r="C104" s="42">
        <f t="shared" ref="C104:C167" si="61">xincp+C103</f>
        <v>0.50484412469971318</v>
      </c>
      <c r="D104" s="10">
        <f t="shared" ref="D104:D167" si="62">(F104-E104)/2</f>
        <v>5.0351558753002195</v>
      </c>
      <c r="E104" s="40">
        <f t="shared" ref="E104:E167" si="63">E103+ci*2*xincp</f>
        <v>21.009688249399559</v>
      </c>
      <c r="F104" s="40">
        <f t="shared" ref="F104:F167" si="64">F103-osi*2*xincp</f>
        <v>31.08</v>
      </c>
      <c r="G104" s="3">
        <f t="shared" ref="G104:G167" si="65">G103-ei*n*2*xincp</f>
        <v>222.36124700240285</v>
      </c>
      <c r="H104" s="3">
        <f t="shared" ref="H104:H167" si="66">PI()/4*(dto+erate*(two-D104)/two)^2</f>
        <v>81.256230789298584</v>
      </c>
      <c r="I104">
        <f t="shared" si="48"/>
        <v>8.1256230789298584E-5</v>
      </c>
      <c r="J104" s="4">
        <f t="shared" ref="J104:J167" si="67">PI()/4*dc^2-PI()/4*(F104^2-E104^2)</f>
        <v>346.68024737542356</v>
      </c>
      <c r="K104" s="40">
        <f t="shared" ref="K104:K167" si="68">J104/H104</f>
        <v>4.266506629803966</v>
      </c>
      <c r="L104" s="40">
        <f t="shared" si="49"/>
        <v>1.733493370196034</v>
      </c>
      <c r="M104" s="10">
        <f t="shared" ref="M104:M167" si="69">AB103</f>
        <v>4.9392739601390758</v>
      </c>
      <c r="N104" s="10">
        <f t="shared" si="50"/>
        <v>8.26</v>
      </c>
      <c r="O104" s="10">
        <f t="shared" si="51"/>
        <v>0.31900000000000001</v>
      </c>
      <c r="P104" s="10">
        <f t="shared" ref="P104:P167" si="70">(1+kv*L104)*N104*M104^O104</f>
        <v>13.748603300248948</v>
      </c>
      <c r="Q104" s="42">
        <f t="shared" ref="Q104:Q167" si="71">xincp/P104+Q103</f>
        <v>3.9421459958955615E-2</v>
      </c>
      <c r="R104" s="4">
        <f t="shared" ref="R104:R167" si="72">PI()/4*(F104^2-E104^2)*G104</f>
        <v>91610.163003669208</v>
      </c>
      <c r="S104">
        <f t="shared" si="52"/>
        <v>9.1610163003669209E-5</v>
      </c>
      <c r="T104" s="41">
        <f t="shared" si="53"/>
        <v>8.8194209038214625E-5</v>
      </c>
      <c r="U104" s="42">
        <f t="shared" ref="U104:U167" si="73">rhopgrain*R104/1000^2</f>
        <v>0.16439901801823456</v>
      </c>
      <c r="V104" s="42">
        <f t="shared" ref="V104:V167" si="74">(U103-U104)/(Q104-Q103)</f>
        <v>0.44340223768841069</v>
      </c>
      <c r="W104" s="42">
        <f t="shared" ref="W104:W167" si="75">IF(V104&lt;AI104,IF(AB103&gt;pbd,AI104,0),AI104)</f>
        <v>0.4391841046981963</v>
      </c>
      <c r="X104" s="42">
        <f t="shared" ref="X104:X167" si="76">V104-W104</f>
        <v>4.218132990214396E-3</v>
      </c>
      <c r="Y104" s="42">
        <f t="shared" si="59"/>
        <v>1.3201012401555924E-3</v>
      </c>
      <c r="Z104" s="10">
        <f t="shared" ref="Z104:Z167" si="77">Y104/T104</f>
        <v>14.968117006226468</v>
      </c>
      <c r="AA104">
        <f t="shared" si="54"/>
        <v>4940195.7902541421</v>
      </c>
      <c r="AB104" s="10">
        <f t="shared" si="55"/>
        <v>4.9401957902541422</v>
      </c>
      <c r="AC104" s="10">
        <f t="shared" si="56"/>
        <v>4.8391957902541423</v>
      </c>
      <c r="AD104" s="3">
        <f t="shared" si="57"/>
        <v>701.84130388022368</v>
      </c>
      <c r="AI104" s="94">
        <f t="shared" si="58"/>
        <v>0.4391841046981963</v>
      </c>
    </row>
    <row r="105" spans="2:35">
      <c r="B105" s="39">
        <f t="shared" si="60"/>
        <v>77</v>
      </c>
      <c r="C105" s="42">
        <f t="shared" si="61"/>
        <v>0.51148681055102518</v>
      </c>
      <c r="D105" s="10">
        <f t="shared" si="62"/>
        <v>5.0285131894489066</v>
      </c>
      <c r="E105" s="40">
        <f t="shared" si="63"/>
        <v>21.022973621102185</v>
      </c>
      <c r="F105" s="40">
        <f t="shared" si="64"/>
        <v>31.08</v>
      </c>
      <c r="G105" s="3">
        <f t="shared" si="65"/>
        <v>222.30810551559236</v>
      </c>
      <c r="H105" s="3">
        <f t="shared" si="66"/>
        <v>81.256230789298584</v>
      </c>
      <c r="I105">
        <f t="shared" si="48"/>
        <v>8.1256230789298584E-5</v>
      </c>
      <c r="J105" s="4">
        <f t="shared" si="67"/>
        <v>347.11882905387478</v>
      </c>
      <c r="K105" s="40">
        <f t="shared" si="68"/>
        <v>4.2719041442369017</v>
      </c>
      <c r="L105" s="40">
        <f t="shared" si="49"/>
        <v>1.7280958557630983</v>
      </c>
      <c r="M105" s="10">
        <f t="shared" si="69"/>
        <v>4.9401957902541422</v>
      </c>
      <c r="N105" s="10">
        <f t="shared" si="50"/>
        <v>8.26</v>
      </c>
      <c r="O105" s="10">
        <f t="shared" si="51"/>
        <v>0.31900000000000001</v>
      </c>
      <c r="P105" s="10">
        <f t="shared" si="70"/>
        <v>13.749421782835386</v>
      </c>
      <c r="Q105" s="42">
        <f t="shared" si="71"/>
        <v>3.9904584700943289E-2</v>
      </c>
      <c r="R105" s="4">
        <f t="shared" si="72"/>
        <v>91490.769087330656</v>
      </c>
      <c r="S105">
        <f t="shared" si="52"/>
        <v>9.1490769087330652E-5</v>
      </c>
      <c r="T105" s="41">
        <f t="shared" si="53"/>
        <v>8.8313602954553182E-5</v>
      </c>
      <c r="U105" s="42">
        <f t="shared" si="73"/>
        <v>0.1641847596656692</v>
      </c>
      <c r="V105" s="42">
        <f t="shared" si="74"/>
        <v>0.44348453710703784</v>
      </c>
      <c r="W105" s="42">
        <f t="shared" si="75"/>
        <v>0.43926778188082477</v>
      </c>
      <c r="X105" s="42">
        <f t="shared" si="76"/>
        <v>4.2167552262130648E-3</v>
      </c>
      <c r="Y105" s="42">
        <f t="shared" si="59"/>
        <v>1.3221384589362818E-3</v>
      </c>
      <c r="Z105" s="10">
        <f t="shared" si="77"/>
        <v>14.970949148305769</v>
      </c>
      <c r="AA105">
        <f t="shared" si="54"/>
        <v>4941111.4224623786</v>
      </c>
      <c r="AB105" s="10">
        <f t="shared" si="55"/>
        <v>4.9411114224623782</v>
      </c>
      <c r="AC105" s="10">
        <f t="shared" si="56"/>
        <v>4.8401114224623782</v>
      </c>
      <c r="AD105" s="3">
        <f t="shared" si="57"/>
        <v>701.97410042964157</v>
      </c>
      <c r="AI105" s="94">
        <f t="shared" si="58"/>
        <v>0.43926778188082477</v>
      </c>
    </row>
    <row r="106" spans="2:35">
      <c r="B106" s="39">
        <f t="shared" si="60"/>
        <v>78</v>
      </c>
      <c r="C106" s="42">
        <f t="shared" si="61"/>
        <v>0.51812949640233719</v>
      </c>
      <c r="D106" s="10">
        <f t="shared" si="62"/>
        <v>5.0218705035975937</v>
      </c>
      <c r="E106" s="40">
        <f t="shared" si="63"/>
        <v>21.036258992804811</v>
      </c>
      <c r="F106" s="40">
        <f t="shared" si="64"/>
        <v>31.08</v>
      </c>
      <c r="G106" s="3">
        <f t="shared" si="65"/>
        <v>222.25496402878187</v>
      </c>
      <c r="H106" s="3">
        <f t="shared" si="66"/>
        <v>81.256230789298584</v>
      </c>
      <c r="I106">
        <f t="shared" si="48"/>
        <v>8.1256230789298584E-5</v>
      </c>
      <c r="J106" s="4">
        <f t="shared" si="67"/>
        <v>347.55768797960752</v>
      </c>
      <c r="K106" s="40">
        <f t="shared" si="68"/>
        <v>4.2773050706824165</v>
      </c>
      <c r="L106" s="40">
        <f t="shared" si="49"/>
        <v>1.7226949293175835</v>
      </c>
      <c r="M106" s="10">
        <f t="shared" si="69"/>
        <v>4.9411114224623782</v>
      </c>
      <c r="N106" s="10">
        <f t="shared" si="50"/>
        <v>8.26</v>
      </c>
      <c r="O106" s="10">
        <f t="shared" si="51"/>
        <v>0.31900000000000001</v>
      </c>
      <c r="P106" s="10">
        <f t="shared" si="70"/>
        <v>13.750234659415968</v>
      </c>
      <c r="Q106" s="42">
        <f t="shared" si="71"/>
        <v>4.0387680881906515E-2</v>
      </c>
      <c r="R106" s="4">
        <f t="shared" si="72"/>
        <v>91371.360165172489</v>
      </c>
      <c r="S106">
        <f t="shared" si="52"/>
        <v>9.1371360165172483E-5</v>
      </c>
      <c r="T106" s="41">
        <f t="shared" si="53"/>
        <v>8.8433011876711351E-5</v>
      </c>
      <c r="U106" s="42">
        <f t="shared" si="73"/>
        <v>0.16397047438441029</v>
      </c>
      <c r="V106" s="42">
        <f t="shared" si="74"/>
        <v>0.44356649814879268</v>
      </c>
      <c r="W106" s="42">
        <f t="shared" si="75"/>
        <v>0.43935089646154507</v>
      </c>
      <c r="X106" s="42">
        <f t="shared" si="76"/>
        <v>4.2156016872476054E-3</v>
      </c>
      <c r="Y106" s="42">
        <f t="shared" si="59"/>
        <v>1.3241750000118533E-3</v>
      </c>
      <c r="Z106" s="10">
        <f t="shared" si="77"/>
        <v>14.973763438679985</v>
      </c>
      <c r="AA106">
        <f t="shared" si="54"/>
        <v>4942021.2832101127</v>
      </c>
      <c r="AB106" s="10">
        <f t="shared" si="55"/>
        <v>4.9420212832101127</v>
      </c>
      <c r="AC106" s="10">
        <f t="shared" si="56"/>
        <v>4.8410212832101127</v>
      </c>
      <c r="AD106" s="3">
        <f t="shared" si="57"/>
        <v>702.10605992895034</v>
      </c>
      <c r="AI106" s="94">
        <f t="shared" si="58"/>
        <v>0.43935089646154507</v>
      </c>
    </row>
    <row r="107" spans="2:35">
      <c r="B107" s="39">
        <f t="shared" si="60"/>
        <v>79</v>
      </c>
      <c r="C107" s="42">
        <f t="shared" si="61"/>
        <v>0.52477218225364919</v>
      </c>
      <c r="D107" s="10">
        <f t="shared" si="62"/>
        <v>5.0152278177462808</v>
      </c>
      <c r="E107" s="40">
        <f t="shared" si="63"/>
        <v>21.049544364507437</v>
      </c>
      <c r="F107" s="40">
        <f t="shared" si="64"/>
        <v>31.08</v>
      </c>
      <c r="G107" s="3">
        <f t="shared" si="65"/>
        <v>222.20182254197138</v>
      </c>
      <c r="H107" s="3">
        <f t="shared" si="66"/>
        <v>81.256230789298584</v>
      </c>
      <c r="I107">
        <f t="shared" si="48"/>
        <v>8.1256230789298584E-5</v>
      </c>
      <c r="J107" s="4">
        <f t="shared" si="67"/>
        <v>347.99682415262197</v>
      </c>
      <c r="K107" s="40">
        <f t="shared" si="68"/>
        <v>4.2827094091405113</v>
      </c>
      <c r="L107" s="40">
        <f t="shared" si="49"/>
        <v>1.7172905908594887</v>
      </c>
      <c r="M107" s="10">
        <f t="shared" si="69"/>
        <v>4.9420212832101127</v>
      </c>
      <c r="N107" s="10">
        <f t="shared" si="50"/>
        <v>8.26</v>
      </c>
      <c r="O107" s="10">
        <f t="shared" si="51"/>
        <v>0.31900000000000001</v>
      </c>
      <c r="P107" s="10">
        <f t="shared" si="70"/>
        <v>13.751042310623575</v>
      </c>
      <c r="Q107" s="42">
        <f t="shared" si="71"/>
        <v>4.087074868878688E-2</v>
      </c>
      <c r="R107" s="4">
        <f t="shared" si="72"/>
        <v>91251.93628139465</v>
      </c>
      <c r="S107">
        <f t="shared" si="52"/>
        <v>9.1251936281394657E-5</v>
      </c>
      <c r="T107" s="41">
        <f t="shared" si="53"/>
        <v>8.8552435760489177E-5</v>
      </c>
      <c r="U107" s="42">
        <f t="shared" si="73"/>
        <v>0.16375616225377676</v>
      </c>
      <c r="V107" s="42">
        <f t="shared" si="74"/>
        <v>0.44364813299720046</v>
      </c>
      <c r="W107" s="42">
        <f t="shared" si="75"/>
        <v>0.43943348715012237</v>
      </c>
      <c r="X107" s="42">
        <f t="shared" si="76"/>
        <v>4.2146458470780912E-3</v>
      </c>
      <c r="Y107" s="42">
        <f t="shared" si="59"/>
        <v>1.3262109597379787E-3</v>
      </c>
      <c r="Z107" s="10">
        <f t="shared" si="77"/>
        <v>14.976561043730374</v>
      </c>
      <c r="AA107">
        <f t="shared" si="54"/>
        <v>4942925.7495886832</v>
      </c>
      <c r="AB107" s="10">
        <f t="shared" si="55"/>
        <v>4.9429257495886834</v>
      </c>
      <c r="AC107" s="10">
        <f t="shared" si="56"/>
        <v>4.8419257495886834</v>
      </c>
      <c r="AD107" s="3">
        <f t="shared" si="57"/>
        <v>702.23723706869953</v>
      </c>
      <c r="AI107" s="94">
        <f t="shared" si="58"/>
        <v>0.43943348715012237</v>
      </c>
    </row>
    <row r="108" spans="2:35">
      <c r="B108" s="39">
        <f t="shared" si="60"/>
        <v>80</v>
      </c>
      <c r="C108" s="42">
        <f t="shared" si="61"/>
        <v>0.53141486810496119</v>
      </c>
      <c r="D108" s="10">
        <f t="shared" si="62"/>
        <v>5.0085851318949679</v>
      </c>
      <c r="E108" s="40">
        <f t="shared" si="63"/>
        <v>21.062829736210062</v>
      </c>
      <c r="F108" s="40">
        <f t="shared" si="64"/>
        <v>31.08</v>
      </c>
      <c r="G108" s="3">
        <f t="shared" si="65"/>
        <v>222.14868105516089</v>
      </c>
      <c r="H108" s="3">
        <f t="shared" si="66"/>
        <v>81.256230789298584</v>
      </c>
      <c r="I108">
        <f t="shared" si="48"/>
        <v>8.1256230789298584E-5</v>
      </c>
      <c r="J108" s="4">
        <f t="shared" si="67"/>
        <v>348.43623757291778</v>
      </c>
      <c r="K108" s="40">
        <f t="shared" si="68"/>
        <v>4.2881171596111827</v>
      </c>
      <c r="L108" s="40">
        <f t="shared" si="49"/>
        <v>1.7118828403888173</v>
      </c>
      <c r="M108" s="10">
        <f t="shared" si="69"/>
        <v>4.9429257495886834</v>
      </c>
      <c r="N108" s="10">
        <f t="shared" si="50"/>
        <v>8.26</v>
      </c>
      <c r="O108" s="10">
        <f t="shared" si="51"/>
        <v>0.31900000000000001</v>
      </c>
      <c r="P108" s="10">
        <f t="shared" si="70"/>
        <v>13.751845073084647</v>
      </c>
      <c r="Q108" s="42">
        <f t="shared" si="71"/>
        <v>4.1353788296636537E-2</v>
      </c>
      <c r="R108" s="4">
        <f t="shared" si="72"/>
        <v>91132.497480197242</v>
      </c>
      <c r="S108">
        <f t="shared" si="52"/>
        <v>9.1132497480197236E-5</v>
      </c>
      <c r="T108" s="41">
        <f t="shared" si="53"/>
        <v>8.8671874561686598E-5</v>
      </c>
      <c r="U108" s="42">
        <f t="shared" si="73"/>
        <v>0.16354182335308795</v>
      </c>
      <c r="V108" s="42">
        <f t="shared" si="74"/>
        <v>0.44372945242105538</v>
      </c>
      <c r="W108" s="42">
        <f t="shared" si="75"/>
        <v>0.43951558817622682</v>
      </c>
      <c r="X108" s="42">
        <f t="shared" si="76"/>
        <v>4.2138642448285579E-3</v>
      </c>
      <c r="Y108" s="42">
        <f t="shared" si="59"/>
        <v>1.3282464230703324E-3</v>
      </c>
      <c r="Z108" s="10">
        <f t="shared" si="77"/>
        <v>14.979342995013686</v>
      </c>
      <c r="AA108">
        <f t="shared" si="54"/>
        <v>4943825.1551006315</v>
      </c>
      <c r="AB108" s="10">
        <f t="shared" si="55"/>
        <v>4.9438251551006314</v>
      </c>
      <c r="AC108" s="10">
        <f t="shared" si="56"/>
        <v>4.8428251551006314</v>
      </c>
      <c r="AD108" s="3">
        <f t="shared" si="57"/>
        <v>702.36768021764055</v>
      </c>
      <c r="AI108" s="94">
        <f t="shared" si="58"/>
        <v>0.43951558817622682</v>
      </c>
    </row>
    <row r="109" spans="2:35">
      <c r="B109" s="39">
        <f t="shared" si="60"/>
        <v>81</v>
      </c>
      <c r="C109" s="42">
        <f t="shared" si="61"/>
        <v>0.53805755395627319</v>
      </c>
      <c r="D109" s="10">
        <f t="shared" si="62"/>
        <v>5.001942446043655</v>
      </c>
      <c r="E109" s="40">
        <f t="shared" si="63"/>
        <v>21.076115107912688</v>
      </c>
      <c r="F109" s="40">
        <f t="shared" si="64"/>
        <v>31.08</v>
      </c>
      <c r="G109" s="3">
        <f t="shared" si="65"/>
        <v>222.0955395683504</v>
      </c>
      <c r="H109" s="3">
        <f t="shared" si="66"/>
        <v>81.256230789298584</v>
      </c>
      <c r="I109">
        <f t="shared" si="48"/>
        <v>8.1256230789298584E-5</v>
      </c>
      <c r="J109" s="4">
        <f t="shared" si="67"/>
        <v>348.87592824049523</v>
      </c>
      <c r="K109" s="40">
        <f t="shared" si="68"/>
        <v>4.293528322094434</v>
      </c>
      <c r="L109" s="40">
        <f t="shared" si="49"/>
        <v>1.706471677905566</v>
      </c>
      <c r="M109" s="10">
        <f t="shared" si="69"/>
        <v>4.9438251551006314</v>
      </c>
      <c r="N109" s="10">
        <f t="shared" si="50"/>
        <v>8.26</v>
      </c>
      <c r="O109" s="10">
        <f t="shared" si="51"/>
        <v>0.31900000000000001</v>
      </c>
      <c r="P109" s="10">
        <f t="shared" si="70"/>
        <v>13.752643244566261</v>
      </c>
      <c r="Q109" s="42">
        <f t="shared" si="71"/>
        <v>4.1836799869988922E-2</v>
      </c>
      <c r="R109" s="4">
        <f t="shared" si="72"/>
        <v>91013.043805780166</v>
      </c>
      <c r="S109">
        <f t="shared" si="52"/>
        <v>9.1013043805780161E-5</v>
      </c>
      <c r="T109" s="41">
        <f t="shared" si="53"/>
        <v>8.8791328236103673E-5</v>
      </c>
      <c r="U109" s="42">
        <f t="shared" si="73"/>
        <v>0.16332745776166277</v>
      </c>
      <c r="V109" s="42">
        <f t="shared" si="74"/>
        <v>0.44381046594258033</v>
      </c>
      <c r="W109" s="42">
        <f t="shared" si="75"/>
        <v>0.43959722981284782</v>
      </c>
      <c r="X109" s="42">
        <f t="shared" si="76"/>
        <v>4.2132361297325116E-3</v>
      </c>
      <c r="Y109" s="42">
        <f t="shared" si="59"/>
        <v>1.3302814648822596E-3</v>
      </c>
      <c r="Z109" s="10">
        <f t="shared" si="77"/>
        <v>14.982110205007052</v>
      </c>
      <c r="AA109">
        <f t="shared" si="54"/>
        <v>4944719.7947500329</v>
      </c>
      <c r="AB109" s="10">
        <f t="shared" si="55"/>
        <v>4.944719794750033</v>
      </c>
      <c r="AC109" s="10">
        <f t="shared" si="56"/>
        <v>4.843719794750033</v>
      </c>
      <c r="AD109" s="3">
        <f t="shared" si="57"/>
        <v>702.49743216099102</v>
      </c>
      <c r="AI109" s="94">
        <f t="shared" si="58"/>
        <v>0.43959722981284782</v>
      </c>
    </row>
    <row r="110" spans="2:35">
      <c r="B110" s="39">
        <f t="shared" si="60"/>
        <v>82</v>
      </c>
      <c r="C110" s="42">
        <f t="shared" si="61"/>
        <v>0.5447002398075852</v>
      </c>
      <c r="D110" s="10">
        <f t="shared" si="62"/>
        <v>4.9952997601923421</v>
      </c>
      <c r="E110" s="40">
        <f t="shared" si="63"/>
        <v>21.089400479615314</v>
      </c>
      <c r="F110" s="40">
        <f t="shared" si="64"/>
        <v>31.08</v>
      </c>
      <c r="G110" s="3">
        <f t="shared" si="65"/>
        <v>222.04239808153991</v>
      </c>
      <c r="H110" s="3">
        <f t="shared" si="66"/>
        <v>81.256230789298584</v>
      </c>
      <c r="I110">
        <f t="shared" si="48"/>
        <v>8.1256230789298584E-5</v>
      </c>
      <c r="J110" s="4">
        <f t="shared" si="67"/>
        <v>349.31589615535427</v>
      </c>
      <c r="K110" s="40">
        <f t="shared" si="68"/>
        <v>4.2989428965902645</v>
      </c>
      <c r="L110" s="40">
        <f t="shared" si="49"/>
        <v>1.7010571034097355</v>
      </c>
      <c r="M110" s="10">
        <f t="shared" si="69"/>
        <v>4.944719794750033</v>
      </c>
      <c r="N110" s="10">
        <f t="shared" si="50"/>
        <v>8.26</v>
      </c>
      <c r="O110" s="10">
        <f t="shared" si="51"/>
        <v>0.31900000000000001</v>
      </c>
      <c r="P110" s="10">
        <f t="shared" si="70"/>
        <v>13.753437088519036</v>
      </c>
      <c r="Q110" s="42">
        <f t="shared" si="71"/>
        <v>4.2319783564069083E-2</v>
      </c>
      <c r="R110" s="4">
        <f t="shared" si="72"/>
        <v>90893.575302343452</v>
      </c>
      <c r="S110">
        <f t="shared" si="52"/>
        <v>9.0893575302343455E-5</v>
      </c>
      <c r="T110" s="41">
        <f t="shared" si="53"/>
        <v>8.8910796739540378E-5</v>
      </c>
      <c r="U110" s="42">
        <f t="shared" si="73"/>
        <v>0.16311306555882044</v>
      </c>
      <c r="V110" s="42">
        <f t="shared" si="74"/>
        <v>0.44389118198005112</v>
      </c>
      <c r="W110" s="42">
        <f t="shared" si="75"/>
        <v>0.43967843883835706</v>
      </c>
      <c r="X110" s="42">
        <f t="shared" si="76"/>
        <v>4.2127431416940642E-3</v>
      </c>
      <c r="Y110" s="42">
        <f t="shared" si="59"/>
        <v>1.3323161511270458E-3</v>
      </c>
      <c r="Z110" s="10">
        <f t="shared" si="77"/>
        <v>14.984863480978555</v>
      </c>
      <c r="AA110">
        <f t="shared" si="54"/>
        <v>4945609.9295268496</v>
      </c>
      <c r="AB110" s="10">
        <f t="shared" si="55"/>
        <v>4.9456099295268494</v>
      </c>
      <c r="AC110" s="10">
        <f t="shared" si="56"/>
        <v>4.8446099295268494</v>
      </c>
      <c r="AD110" s="3">
        <f t="shared" si="57"/>
        <v>702.62653075081209</v>
      </c>
      <c r="AI110" s="94">
        <f t="shared" si="58"/>
        <v>0.43967843883835706</v>
      </c>
    </row>
    <row r="111" spans="2:35">
      <c r="B111" s="39">
        <f t="shared" si="60"/>
        <v>83</v>
      </c>
      <c r="C111" s="42">
        <f t="shared" si="61"/>
        <v>0.5513429256588972</v>
      </c>
      <c r="D111" s="10">
        <f t="shared" si="62"/>
        <v>4.9886570743410292</v>
      </c>
      <c r="E111" s="40">
        <f t="shared" si="63"/>
        <v>21.10268585131794</v>
      </c>
      <c r="F111" s="40">
        <f t="shared" si="64"/>
        <v>31.08</v>
      </c>
      <c r="G111" s="3">
        <f t="shared" si="65"/>
        <v>221.98925659472943</v>
      </c>
      <c r="H111" s="3">
        <f t="shared" si="66"/>
        <v>81.256230789298584</v>
      </c>
      <c r="I111">
        <f t="shared" si="48"/>
        <v>8.1256230789298584E-5</v>
      </c>
      <c r="J111" s="4">
        <f t="shared" si="67"/>
        <v>349.75614131749484</v>
      </c>
      <c r="K111" s="40">
        <f t="shared" si="68"/>
        <v>4.3043608830986733</v>
      </c>
      <c r="L111" s="40">
        <f t="shared" si="49"/>
        <v>1.6956391169013267</v>
      </c>
      <c r="M111" s="10">
        <f t="shared" si="69"/>
        <v>4.9456099295268494</v>
      </c>
      <c r="N111" s="10">
        <f t="shared" si="50"/>
        <v>8.26</v>
      </c>
      <c r="O111" s="10">
        <f t="shared" si="51"/>
        <v>0.31900000000000001</v>
      </c>
      <c r="P111" s="10">
        <f t="shared" si="70"/>
        <v>13.754226838078576</v>
      </c>
      <c r="Q111" s="42">
        <f t="shared" si="71"/>
        <v>4.2802739525862714E-2</v>
      </c>
      <c r="R111" s="4">
        <f t="shared" si="72"/>
        <v>90774.092014087102</v>
      </c>
      <c r="S111">
        <f t="shared" si="52"/>
        <v>9.07740920140871E-5</v>
      </c>
      <c r="T111" s="41">
        <f t="shared" si="53"/>
        <v>8.9030280027796734E-5</v>
      </c>
      <c r="U111" s="42">
        <f t="shared" si="73"/>
        <v>0.16289864682388</v>
      </c>
      <c r="V111" s="42">
        <f t="shared" si="74"/>
        <v>0.44397160797873697</v>
      </c>
      <c r="W111" s="42">
        <f t="shared" si="75"/>
        <v>0.43975923894356761</v>
      </c>
      <c r="X111" s="42">
        <f t="shared" si="76"/>
        <v>4.212369035169361E-3</v>
      </c>
      <c r="Y111" s="42">
        <f t="shared" si="59"/>
        <v>1.3343505398658558E-3</v>
      </c>
      <c r="Z111" s="10">
        <f t="shared" si="77"/>
        <v>14.987603537237549</v>
      </c>
      <c r="AA111">
        <f t="shared" si="54"/>
        <v>4946495.7903674664</v>
      </c>
      <c r="AB111" s="10">
        <f t="shared" si="55"/>
        <v>4.9464957903674662</v>
      </c>
      <c r="AC111" s="10">
        <f t="shared" si="56"/>
        <v>4.8454957903674662</v>
      </c>
      <c r="AD111" s="3">
        <f t="shared" si="57"/>
        <v>702.75500948041577</v>
      </c>
      <c r="AI111" s="94">
        <f t="shared" si="58"/>
        <v>0.43975923894356761</v>
      </c>
    </row>
    <row r="112" spans="2:35">
      <c r="B112" s="39">
        <f t="shared" si="60"/>
        <v>84</v>
      </c>
      <c r="C112" s="42">
        <f t="shared" si="61"/>
        <v>0.5579856115102092</v>
      </c>
      <c r="D112" s="10">
        <f t="shared" si="62"/>
        <v>4.9820143884897163</v>
      </c>
      <c r="E112" s="40">
        <f t="shared" si="63"/>
        <v>21.115971223020566</v>
      </c>
      <c r="F112" s="40">
        <f t="shared" si="64"/>
        <v>31.08</v>
      </c>
      <c r="G112" s="3">
        <f t="shared" si="65"/>
        <v>221.93611510791894</v>
      </c>
      <c r="H112" s="3">
        <f t="shared" si="66"/>
        <v>81.256230789298584</v>
      </c>
      <c r="I112">
        <f t="shared" si="48"/>
        <v>8.1256230789298584E-5</v>
      </c>
      <c r="J112" s="4">
        <f t="shared" si="67"/>
        <v>350.19666372691694</v>
      </c>
      <c r="K112" s="40">
        <f t="shared" si="68"/>
        <v>4.3097822816196603</v>
      </c>
      <c r="L112" s="40">
        <f t="shared" si="49"/>
        <v>1.6902177183803397</v>
      </c>
      <c r="M112" s="10">
        <f t="shared" si="69"/>
        <v>4.9464957903674662</v>
      </c>
      <c r="N112" s="10">
        <f t="shared" si="50"/>
        <v>8.26</v>
      </c>
      <c r="O112" s="10">
        <f t="shared" si="51"/>
        <v>0.31900000000000001</v>
      </c>
      <c r="P112" s="10">
        <f t="shared" si="70"/>
        <v>13.755012699598906</v>
      </c>
      <c r="Q112" s="42">
        <f t="shared" si="71"/>
        <v>4.3285667895060491E-2</v>
      </c>
      <c r="R112" s="4">
        <f t="shared" si="72"/>
        <v>90654.593985211119</v>
      </c>
      <c r="S112">
        <f t="shared" si="52"/>
        <v>9.0654593985211118E-5</v>
      </c>
      <c r="T112" s="41">
        <f t="shared" si="53"/>
        <v>8.9149778056672716E-5</v>
      </c>
      <c r="U112" s="42">
        <f t="shared" si="73"/>
        <v>0.1626842016361606</v>
      </c>
      <c r="V112" s="42">
        <f t="shared" si="74"/>
        <v>0.44405175052281903</v>
      </c>
      <c r="W112" s="42">
        <f t="shared" si="75"/>
        <v>0.43983965109124235</v>
      </c>
      <c r="X112" s="42">
        <f t="shared" si="76"/>
        <v>4.212099431576688E-3</v>
      </c>
      <c r="Y112" s="42">
        <f t="shared" si="59"/>
        <v>1.3363846821752459E-3</v>
      </c>
      <c r="Z112" s="10">
        <f t="shared" si="77"/>
        <v>14.990331005935911</v>
      </c>
      <c r="AA112">
        <f t="shared" si="54"/>
        <v>4947377.5816467348</v>
      </c>
      <c r="AB112" s="10">
        <f t="shared" si="55"/>
        <v>4.9473775816467347</v>
      </c>
      <c r="AC112" s="10">
        <f t="shared" si="56"/>
        <v>4.8463775816467347</v>
      </c>
      <c r="AD112" s="3">
        <f t="shared" si="57"/>
        <v>702.88289799082452</v>
      </c>
      <c r="AI112" s="94">
        <f t="shared" si="58"/>
        <v>0.43983965109124235</v>
      </c>
    </row>
    <row r="113" spans="2:35">
      <c r="B113" s="39">
        <f t="shared" si="60"/>
        <v>85</v>
      </c>
      <c r="C113" s="42">
        <f t="shared" si="61"/>
        <v>0.5646282973615212</v>
      </c>
      <c r="D113" s="10">
        <f t="shared" si="62"/>
        <v>4.9753717026384034</v>
      </c>
      <c r="E113" s="40">
        <f t="shared" si="63"/>
        <v>21.129256594723191</v>
      </c>
      <c r="F113" s="40">
        <f t="shared" si="64"/>
        <v>31.08</v>
      </c>
      <c r="G113" s="3">
        <f t="shared" si="65"/>
        <v>221.88297362110845</v>
      </c>
      <c r="H113" s="3">
        <f t="shared" si="66"/>
        <v>81.256230789298584</v>
      </c>
      <c r="I113">
        <f t="shared" si="48"/>
        <v>8.1256230789298584E-5</v>
      </c>
      <c r="J113" s="4">
        <f t="shared" si="67"/>
        <v>350.63746338362063</v>
      </c>
      <c r="K113" s="40">
        <f t="shared" si="68"/>
        <v>4.3152070921532264</v>
      </c>
      <c r="L113" s="40">
        <f t="shared" si="49"/>
        <v>1.6847929078467736</v>
      </c>
      <c r="M113" s="10">
        <f t="shared" si="69"/>
        <v>4.9473775816467347</v>
      </c>
      <c r="N113" s="10">
        <f t="shared" si="50"/>
        <v>8.26</v>
      </c>
      <c r="O113" s="10">
        <f t="shared" si="51"/>
        <v>0.31900000000000001</v>
      </c>
      <c r="P113" s="10">
        <f t="shared" si="70"/>
        <v>13.755794855767416</v>
      </c>
      <c r="Q113" s="42">
        <f t="shared" si="71"/>
        <v>4.3768568804892459E-2</v>
      </c>
      <c r="R113" s="4">
        <f t="shared" si="72"/>
        <v>90535.081259915489</v>
      </c>
      <c r="S113">
        <f t="shared" si="52"/>
        <v>9.053508125991549E-5</v>
      </c>
      <c r="T113" s="41">
        <f t="shared" si="53"/>
        <v>8.9269290781968344E-5</v>
      </c>
      <c r="U113" s="42">
        <f t="shared" si="73"/>
        <v>0.16246973007498131</v>
      </c>
      <c r="V113" s="42">
        <f t="shared" si="74"/>
        <v>0.44413161543621776</v>
      </c>
      <c r="W113" s="42">
        <f t="shared" si="75"/>
        <v>0.43991969383307689</v>
      </c>
      <c r="X113" s="42">
        <f t="shared" si="76"/>
        <v>4.2119216031408779E-3</v>
      </c>
      <c r="Y113" s="42">
        <f t="shared" si="59"/>
        <v>1.3384186229495436E-3</v>
      </c>
      <c r="Z113" s="10">
        <f t="shared" si="77"/>
        <v>14.993046446605051</v>
      </c>
      <c r="AA113">
        <f t="shared" si="54"/>
        <v>4948255.4842612939</v>
      </c>
      <c r="AB113" s="10">
        <f t="shared" si="55"/>
        <v>4.9482554842612938</v>
      </c>
      <c r="AC113" s="10">
        <f t="shared" si="56"/>
        <v>4.8472554842612938</v>
      </c>
      <c r="AD113" s="3">
        <f t="shared" si="57"/>
        <v>703.01022251795416</v>
      </c>
      <c r="AI113" s="94">
        <f t="shared" si="58"/>
        <v>0.43991969383307689</v>
      </c>
    </row>
    <row r="114" spans="2:35">
      <c r="B114" s="39">
        <f t="shared" si="60"/>
        <v>86</v>
      </c>
      <c r="C114" s="42">
        <f t="shared" si="61"/>
        <v>0.57127098321283321</v>
      </c>
      <c r="D114" s="10">
        <f t="shared" si="62"/>
        <v>4.9687290167870906</v>
      </c>
      <c r="E114" s="40">
        <f t="shared" si="63"/>
        <v>21.142541966425817</v>
      </c>
      <c r="F114" s="40">
        <f t="shared" si="64"/>
        <v>31.08</v>
      </c>
      <c r="G114" s="3">
        <f t="shared" si="65"/>
        <v>221.82983213429796</v>
      </c>
      <c r="H114" s="3">
        <f t="shared" si="66"/>
        <v>81.256230789298584</v>
      </c>
      <c r="I114">
        <f t="shared" si="48"/>
        <v>8.1256230789298584E-5</v>
      </c>
      <c r="J114" s="4">
        <f t="shared" si="67"/>
        <v>351.0785402876059</v>
      </c>
      <c r="K114" s="40">
        <f t="shared" si="68"/>
        <v>4.3206353146993726</v>
      </c>
      <c r="L114" s="40">
        <f t="shared" si="49"/>
        <v>1.6793646853006274</v>
      </c>
      <c r="M114" s="10">
        <f t="shared" si="69"/>
        <v>4.9482554842612938</v>
      </c>
      <c r="N114" s="10">
        <f t="shared" si="50"/>
        <v>8.26</v>
      </c>
      <c r="O114" s="10">
        <f t="shared" si="51"/>
        <v>0.31900000000000001</v>
      </c>
      <c r="P114" s="10">
        <f t="shared" si="70"/>
        <v>13.756573468354786</v>
      </c>
      <c r="Q114" s="42">
        <f t="shared" si="71"/>
        <v>4.4251442382865394E-2</v>
      </c>
      <c r="R114" s="4">
        <f t="shared" si="72"/>
        <v>90415.553882400214</v>
      </c>
      <c r="S114">
        <f t="shared" si="52"/>
        <v>9.0415553882400212E-5</v>
      </c>
      <c r="T114" s="41">
        <f t="shared" si="53"/>
        <v>8.9388818159483622E-5</v>
      </c>
      <c r="U114" s="42">
        <f t="shared" si="73"/>
        <v>0.16225523221966129</v>
      </c>
      <c r="V114" s="42">
        <f t="shared" si="74"/>
        <v>0.44421120787031282</v>
      </c>
      <c r="W114" s="42">
        <f t="shared" si="75"/>
        <v>0.43999938358958174</v>
      </c>
      <c r="X114" s="42">
        <f t="shared" si="76"/>
        <v>4.2118242807310802E-3</v>
      </c>
      <c r="Y114" s="42">
        <f t="shared" si="59"/>
        <v>1.3404524016097734E-3</v>
      </c>
      <c r="Z114" s="10">
        <f t="shared" si="77"/>
        <v>14.995750354571159</v>
      </c>
      <c r="AA114">
        <f t="shared" si="54"/>
        <v>4949129.6583502181</v>
      </c>
      <c r="AB114" s="10">
        <f t="shared" si="55"/>
        <v>4.949129658350218</v>
      </c>
      <c r="AC114" s="10">
        <f t="shared" si="56"/>
        <v>4.848129658350218</v>
      </c>
      <c r="AD114" s="3">
        <f t="shared" si="57"/>
        <v>703.13700628719619</v>
      </c>
      <c r="AI114" s="94">
        <f t="shared" si="58"/>
        <v>0.43999938358958174</v>
      </c>
    </row>
    <row r="115" spans="2:35">
      <c r="B115" s="39">
        <f t="shared" si="60"/>
        <v>87</v>
      </c>
      <c r="C115" s="42">
        <f t="shared" si="61"/>
        <v>0.57791366906414521</v>
      </c>
      <c r="D115" s="10">
        <f t="shared" si="62"/>
        <v>4.9620863309357777</v>
      </c>
      <c r="E115" s="40">
        <f t="shared" si="63"/>
        <v>21.155827338128443</v>
      </c>
      <c r="F115" s="40">
        <f t="shared" si="64"/>
        <v>31.08</v>
      </c>
      <c r="G115" s="3">
        <f t="shared" si="65"/>
        <v>221.77669064748747</v>
      </c>
      <c r="H115" s="3">
        <f t="shared" si="66"/>
        <v>81.256230789298584</v>
      </c>
      <c r="I115">
        <f t="shared" si="48"/>
        <v>8.1256230789298584E-5</v>
      </c>
      <c r="J115" s="4">
        <f t="shared" si="67"/>
        <v>351.51989443887277</v>
      </c>
      <c r="K115" s="40">
        <f t="shared" si="68"/>
        <v>4.326066949258097</v>
      </c>
      <c r="L115" s="40">
        <f t="shared" si="49"/>
        <v>1.673933050741903</v>
      </c>
      <c r="M115" s="10">
        <f t="shared" si="69"/>
        <v>4.949129658350218</v>
      </c>
      <c r="N115" s="10">
        <f t="shared" si="50"/>
        <v>8.26</v>
      </c>
      <c r="O115" s="10">
        <f t="shared" si="51"/>
        <v>0.31900000000000001</v>
      </c>
      <c r="P115" s="10">
        <f t="shared" si="70"/>
        <v>13.757348680641089</v>
      </c>
      <c r="Q115" s="42">
        <f t="shared" si="71"/>
        <v>4.4734288751414546E-2</v>
      </c>
      <c r="R115" s="4">
        <f t="shared" si="72"/>
        <v>90296.011896865297</v>
      </c>
      <c r="S115">
        <f t="shared" si="52"/>
        <v>9.0296011896865292E-5</v>
      </c>
      <c r="T115" s="41">
        <f t="shared" si="53"/>
        <v>8.9508360145018541E-5</v>
      </c>
      <c r="U115" s="42">
        <f t="shared" si="73"/>
        <v>0.1620407081495196</v>
      </c>
      <c r="V115" s="42">
        <f t="shared" si="74"/>
        <v>0.44429053238256705</v>
      </c>
      <c r="W115" s="42">
        <f t="shared" si="75"/>
        <v>0.44007873489704336</v>
      </c>
      <c r="X115" s="42">
        <f t="shared" si="76"/>
        <v>4.2117974855236939E-3</v>
      </c>
      <c r="Y115" s="42">
        <f t="shared" si="59"/>
        <v>1.3424860527307229E-3</v>
      </c>
      <c r="Z115" s="10">
        <f t="shared" si="77"/>
        <v>14.998443168388635</v>
      </c>
      <c r="AA115">
        <f t="shared" si="54"/>
        <v>4950000.245698248</v>
      </c>
      <c r="AB115" s="10">
        <f t="shared" si="55"/>
        <v>4.9500002456982477</v>
      </c>
      <c r="AC115" s="10">
        <f t="shared" si="56"/>
        <v>4.8490002456982477</v>
      </c>
      <c r="AD115" s="3">
        <f t="shared" si="57"/>
        <v>703.26326986196489</v>
      </c>
      <c r="AI115" s="94">
        <f t="shared" si="58"/>
        <v>0.44007873489704336</v>
      </c>
    </row>
    <row r="116" spans="2:35">
      <c r="B116" s="39">
        <f t="shared" si="60"/>
        <v>88</v>
      </c>
      <c r="C116" s="42">
        <f t="shared" si="61"/>
        <v>0.58455635491545721</v>
      </c>
      <c r="D116" s="10">
        <f t="shared" si="62"/>
        <v>4.9554436450844648</v>
      </c>
      <c r="E116" s="40">
        <f t="shared" si="63"/>
        <v>21.169112709831069</v>
      </c>
      <c r="F116" s="40">
        <f t="shared" si="64"/>
        <v>31.08</v>
      </c>
      <c r="G116" s="3">
        <f t="shared" si="65"/>
        <v>221.72354916067698</v>
      </c>
      <c r="H116" s="3">
        <f t="shared" si="66"/>
        <v>81.256230789298584</v>
      </c>
      <c r="I116">
        <f t="shared" si="48"/>
        <v>8.1256230789298584E-5</v>
      </c>
      <c r="J116" s="4">
        <f t="shared" si="67"/>
        <v>351.96152583742105</v>
      </c>
      <c r="K116" s="40">
        <f t="shared" si="68"/>
        <v>4.3315019958293988</v>
      </c>
      <c r="L116" s="40">
        <f t="shared" si="49"/>
        <v>1.6684980041706012</v>
      </c>
      <c r="M116" s="10">
        <f t="shared" si="69"/>
        <v>4.9500002456982477</v>
      </c>
      <c r="N116" s="10">
        <f t="shared" si="50"/>
        <v>8.26</v>
      </c>
      <c r="O116" s="10">
        <f t="shared" si="51"/>
        <v>0.31900000000000001</v>
      </c>
      <c r="P116" s="10">
        <f t="shared" si="70"/>
        <v>13.758120619558513</v>
      </c>
      <c r="Q116" s="42">
        <f t="shared" si="71"/>
        <v>4.5217108028479815E-2</v>
      </c>
      <c r="R116" s="4">
        <f t="shared" si="72"/>
        <v>90176.455347510753</v>
      </c>
      <c r="S116">
        <f t="shared" si="52"/>
        <v>9.0176455347510754E-5</v>
      </c>
      <c r="T116" s="41">
        <f t="shared" si="53"/>
        <v>8.962791669437308E-5</v>
      </c>
      <c r="U116" s="42">
        <f t="shared" si="73"/>
        <v>0.16182615794387542</v>
      </c>
      <c r="V116" s="42">
        <f t="shared" si="74"/>
        <v>0.4443695930044082</v>
      </c>
      <c r="W116" s="42">
        <f t="shared" si="75"/>
        <v>0.44015776062567219</v>
      </c>
      <c r="X116" s="42">
        <f t="shared" si="76"/>
        <v>4.2118323787360135E-3</v>
      </c>
      <c r="Y116" s="42">
        <f t="shared" si="59"/>
        <v>1.3445196065949444E-3</v>
      </c>
      <c r="Z116" s="10">
        <f t="shared" si="77"/>
        <v>15.001125276399005</v>
      </c>
      <c r="AA116">
        <f t="shared" si="54"/>
        <v>4950867.3718562946</v>
      </c>
      <c r="AB116" s="10">
        <f t="shared" si="55"/>
        <v>4.9508673718562948</v>
      </c>
      <c r="AC116" s="10">
        <f t="shared" si="56"/>
        <v>4.8498673718562948</v>
      </c>
      <c r="AD116" s="3">
        <f t="shared" si="57"/>
        <v>703.38903145123925</v>
      </c>
      <c r="AI116" s="94">
        <f t="shared" si="58"/>
        <v>0.44015776062567219</v>
      </c>
    </row>
    <row r="117" spans="2:35">
      <c r="B117" s="39">
        <f t="shared" si="60"/>
        <v>89</v>
      </c>
      <c r="C117" s="42">
        <f t="shared" si="61"/>
        <v>0.59119904076676921</v>
      </c>
      <c r="D117" s="10">
        <f t="shared" si="62"/>
        <v>4.9488009592331519</v>
      </c>
      <c r="E117" s="40">
        <f t="shared" si="63"/>
        <v>21.182398081533695</v>
      </c>
      <c r="F117" s="40">
        <f t="shared" si="64"/>
        <v>31.08</v>
      </c>
      <c r="G117" s="3">
        <f t="shared" si="65"/>
        <v>221.67040767386649</v>
      </c>
      <c r="H117" s="3">
        <f t="shared" si="66"/>
        <v>81.256230789298584</v>
      </c>
      <c r="I117">
        <f t="shared" si="48"/>
        <v>8.1256230789298584E-5</v>
      </c>
      <c r="J117" s="4">
        <f t="shared" si="67"/>
        <v>352.40343448325103</v>
      </c>
      <c r="K117" s="40">
        <f t="shared" si="68"/>
        <v>4.3369404544132806</v>
      </c>
      <c r="L117" s="40">
        <f t="shared" si="49"/>
        <v>1.6630595455867194</v>
      </c>
      <c r="M117" s="10">
        <f t="shared" si="69"/>
        <v>4.9508673718562948</v>
      </c>
      <c r="N117" s="10">
        <f t="shared" si="50"/>
        <v>8.26</v>
      </c>
      <c r="O117" s="10">
        <f t="shared" si="51"/>
        <v>0.31900000000000001</v>
      </c>
      <c r="P117" s="10">
        <f t="shared" si="70"/>
        <v>13.758889397581711</v>
      </c>
      <c r="Q117" s="42">
        <f t="shared" si="71"/>
        <v>4.5699900328015235E-2</v>
      </c>
      <c r="R117" s="4">
        <f t="shared" si="72"/>
        <v>90056.884278536527</v>
      </c>
      <c r="S117">
        <f t="shared" si="52"/>
        <v>9.0056884278536523E-5</v>
      </c>
      <c r="T117" s="41">
        <f t="shared" si="53"/>
        <v>8.974748776334731E-5</v>
      </c>
      <c r="U117" s="42">
        <f t="shared" si="73"/>
        <v>0.16161158168204773</v>
      </c>
      <c r="V117" s="42">
        <f t="shared" si="74"/>
        <v>0.44444839330323688</v>
      </c>
      <c r="W117" s="42">
        <f t="shared" si="75"/>
        <v>0.44023647217208728</v>
      </c>
      <c r="X117" s="42">
        <f t="shared" si="76"/>
        <v>4.2119211311495985E-3</v>
      </c>
      <c r="Y117" s="42">
        <f t="shared" si="59"/>
        <v>1.3465530896833138E-3</v>
      </c>
      <c r="Z117" s="10">
        <f t="shared" si="77"/>
        <v>15.003797022530623</v>
      </c>
      <c r="AA117">
        <f t="shared" si="54"/>
        <v>4951731.1480164733</v>
      </c>
      <c r="AB117" s="10">
        <f t="shared" si="55"/>
        <v>4.9517311480164734</v>
      </c>
      <c r="AC117" s="10">
        <f t="shared" si="56"/>
        <v>4.8507311480164734</v>
      </c>
      <c r="AD117" s="3">
        <f t="shared" si="57"/>
        <v>703.51430718150448</v>
      </c>
      <c r="AI117" s="94">
        <f t="shared" si="58"/>
        <v>0.44023647217208728</v>
      </c>
    </row>
    <row r="118" spans="2:35">
      <c r="B118" s="39">
        <f t="shared" si="60"/>
        <v>90</v>
      </c>
      <c r="C118" s="42">
        <f t="shared" si="61"/>
        <v>0.59784172661808122</v>
      </c>
      <c r="D118" s="10">
        <f t="shared" si="62"/>
        <v>4.942158273381839</v>
      </c>
      <c r="E118" s="40">
        <f t="shared" si="63"/>
        <v>21.19568345323632</v>
      </c>
      <c r="F118" s="40">
        <f t="shared" si="64"/>
        <v>31.08</v>
      </c>
      <c r="G118" s="3">
        <f t="shared" si="65"/>
        <v>221.617266187056</v>
      </c>
      <c r="H118" s="3">
        <f t="shared" si="66"/>
        <v>81.256230789298584</v>
      </c>
      <c r="I118">
        <f t="shared" si="48"/>
        <v>8.1256230789298584E-5</v>
      </c>
      <c r="J118" s="4">
        <f t="shared" si="67"/>
        <v>352.84562037636255</v>
      </c>
      <c r="K118" s="40">
        <f t="shared" si="68"/>
        <v>4.3423823250097415</v>
      </c>
      <c r="L118" s="40">
        <f t="shared" si="49"/>
        <v>1.6576176749902585</v>
      </c>
      <c r="M118" s="10">
        <f t="shared" si="69"/>
        <v>4.9517311480164734</v>
      </c>
      <c r="N118" s="10">
        <f t="shared" si="50"/>
        <v>8.26</v>
      </c>
      <c r="O118" s="10">
        <f t="shared" si="51"/>
        <v>0.31900000000000001</v>
      </c>
      <c r="P118" s="10">
        <f t="shared" si="70"/>
        <v>13.759655114399097</v>
      </c>
      <c r="Q118" s="42">
        <f t="shared" si="71"/>
        <v>4.6182665760439529E-2</v>
      </c>
      <c r="R118" s="4">
        <f t="shared" si="72"/>
        <v>89937.298734142663</v>
      </c>
      <c r="S118">
        <f t="shared" si="52"/>
        <v>8.9937298734142664E-5</v>
      </c>
      <c r="T118" s="41">
        <f t="shared" si="53"/>
        <v>8.9867073307741169E-5</v>
      </c>
      <c r="U118" s="42">
        <f t="shared" si="73"/>
        <v>0.16139697944335571</v>
      </c>
      <c r="V118" s="42">
        <f t="shared" si="74"/>
        <v>0.44452693643443947</v>
      </c>
      <c r="W118" s="42">
        <f t="shared" si="75"/>
        <v>0.44031487962951804</v>
      </c>
      <c r="X118" s="42">
        <f t="shared" si="76"/>
        <v>4.2120568049214269E-3</v>
      </c>
      <c r="Y118" s="42">
        <f t="shared" si="59"/>
        <v>1.3485865251081375E-3</v>
      </c>
      <c r="Z118" s="10">
        <f t="shared" si="77"/>
        <v>15.006458711412936</v>
      </c>
      <c r="AA118">
        <f t="shared" si="54"/>
        <v>4952591.6726655588</v>
      </c>
      <c r="AB118" s="10">
        <f t="shared" si="55"/>
        <v>4.9525916726655588</v>
      </c>
      <c r="AC118" s="10">
        <f t="shared" si="56"/>
        <v>4.8515916726655588</v>
      </c>
      <c r="AD118" s="3">
        <f t="shared" si="57"/>
        <v>703.63911133655677</v>
      </c>
      <c r="AI118" s="94">
        <f t="shared" si="58"/>
        <v>0.44031487962951804</v>
      </c>
    </row>
    <row r="119" spans="2:35">
      <c r="B119" s="39">
        <f t="shared" si="60"/>
        <v>91</v>
      </c>
      <c r="C119" s="42">
        <f t="shared" si="61"/>
        <v>0.60448441246939322</v>
      </c>
      <c r="D119" s="10">
        <f t="shared" si="62"/>
        <v>4.9355155875305261</v>
      </c>
      <c r="E119" s="40">
        <f t="shared" si="63"/>
        <v>21.208968824938946</v>
      </c>
      <c r="F119" s="40">
        <f t="shared" si="64"/>
        <v>31.08</v>
      </c>
      <c r="G119" s="3">
        <f t="shared" si="65"/>
        <v>221.56412470024551</v>
      </c>
      <c r="H119" s="3">
        <f t="shared" si="66"/>
        <v>81.256230789298584</v>
      </c>
      <c r="I119">
        <f t="shared" si="48"/>
        <v>8.1256230789298584E-5</v>
      </c>
      <c r="J119" s="4">
        <f t="shared" si="67"/>
        <v>353.28808351675559</v>
      </c>
      <c r="K119" s="40">
        <f t="shared" si="68"/>
        <v>4.3478276076187807</v>
      </c>
      <c r="L119" s="40">
        <f t="shared" si="49"/>
        <v>1.6521723923812193</v>
      </c>
      <c r="M119" s="10">
        <f t="shared" si="69"/>
        <v>4.9525916726655588</v>
      </c>
      <c r="N119" s="10">
        <f t="shared" si="50"/>
        <v>8.26</v>
      </c>
      <c r="O119" s="10">
        <f t="shared" si="51"/>
        <v>0.31900000000000001</v>
      </c>
      <c r="P119" s="10">
        <f t="shared" si="70"/>
        <v>13.76041785838642</v>
      </c>
      <c r="Q119" s="42">
        <f t="shared" si="71"/>
        <v>4.6665404433034678E-2</v>
      </c>
      <c r="R119" s="4">
        <f t="shared" si="72"/>
        <v>89817.698758529164</v>
      </c>
      <c r="S119">
        <f t="shared" si="52"/>
        <v>8.9817698758529158E-5</v>
      </c>
      <c r="T119" s="41">
        <f t="shared" si="53"/>
        <v>8.9986673283354676E-5</v>
      </c>
      <c r="U119" s="42">
        <f t="shared" si="73"/>
        <v>0.1611823513071185</v>
      </c>
      <c r="V119" s="42">
        <f t="shared" si="74"/>
        <v>0.44460522519025325</v>
      </c>
      <c r="W119" s="42">
        <f t="shared" si="75"/>
        <v>0.44039299193789344</v>
      </c>
      <c r="X119" s="42">
        <f t="shared" si="76"/>
        <v>4.2122332523598094E-3</v>
      </c>
      <c r="Y119" s="42">
        <f t="shared" si="59"/>
        <v>1.3506199329970429E-3</v>
      </c>
      <c r="Z119" s="10">
        <f t="shared" si="77"/>
        <v>15.009110612903104</v>
      </c>
      <c r="AA119">
        <f t="shared" si="54"/>
        <v>4953449.0330484351</v>
      </c>
      <c r="AB119" s="10">
        <f t="shared" si="55"/>
        <v>4.9534490330484351</v>
      </c>
      <c r="AC119" s="10">
        <f t="shared" si="56"/>
        <v>4.8524490330484351</v>
      </c>
      <c r="AD119" s="3">
        <f t="shared" si="57"/>
        <v>703.76345656975127</v>
      </c>
      <c r="AI119" s="94">
        <f t="shared" si="58"/>
        <v>0.44039299193789344</v>
      </c>
    </row>
    <row r="120" spans="2:35">
      <c r="B120" s="39">
        <f t="shared" si="60"/>
        <v>92</v>
      </c>
      <c r="C120" s="42">
        <f t="shared" si="61"/>
        <v>0.61112709832070522</v>
      </c>
      <c r="D120" s="10">
        <f t="shared" si="62"/>
        <v>4.9288729016792132</v>
      </c>
      <c r="E120" s="40">
        <f t="shared" si="63"/>
        <v>21.222254196641572</v>
      </c>
      <c r="F120" s="40">
        <f t="shared" si="64"/>
        <v>31.08</v>
      </c>
      <c r="G120" s="3">
        <f t="shared" si="65"/>
        <v>221.51098321343503</v>
      </c>
      <c r="H120" s="3">
        <f t="shared" si="66"/>
        <v>81.256230789298584</v>
      </c>
      <c r="I120">
        <f t="shared" si="48"/>
        <v>8.1256230789298584E-5</v>
      </c>
      <c r="J120" s="4">
        <f t="shared" si="67"/>
        <v>353.73082390443022</v>
      </c>
      <c r="K120" s="40">
        <f t="shared" si="68"/>
        <v>4.3532763022403991</v>
      </c>
      <c r="L120" s="40">
        <f t="shared" si="49"/>
        <v>1.6467236977596009</v>
      </c>
      <c r="M120" s="10">
        <f t="shared" si="69"/>
        <v>4.9534490330484351</v>
      </c>
      <c r="N120" s="10">
        <f t="shared" si="50"/>
        <v>8.26</v>
      </c>
      <c r="O120" s="10">
        <f t="shared" si="51"/>
        <v>0.31900000000000001</v>
      </c>
      <c r="P120" s="10">
        <f t="shared" si="70"/>
        <v>13.761177707910834</v>
      </c>
      <c r="Q120" s="42">
        <f t="shared" si="71"/>
        <v>4.7148116450298531E-2</v>
      </c>
      <c r="R120" s="4">
        <f t="shared" si="72"/>
        <v>89698.084395895989</v>
      </c>
      <c r="S120">
        <f t="shared" si="52"/>
        <v>8.9698084395895987E-5</v>
      </c>
      <c r="T120" s="41">
        <f t="shared" si="53"/>
        <v>9.0106287645987847E-5</v>
      </c>
      <c r="U120" s="42">
        <f t="shared" si="73"/>
        <v>0.16096769735265515</v>
      </c>
      <c r="V120" s="42">
        <f t="shared" si="74"/>
        <v>0.44468326204114295</v>
      </c>
      <c r="W120" s="42">
        <f t="shared" si="75"/>
        <v>0.44047081701668378</v>
      </c>
      <c r="X120" s="42">
        <f t="shared" si="76"/>
        <v>4.212445024459166E-3</v>
      </c>
      <c r="Y120" s="42">
        <f t="shared" si="59"/>
        <v>1.3526533308324126E-3</v>
      </c>
      <c r="Z120" s="10">
        <f t="shared" si="77"/>
        <v>15.011752966083295</v>
      </c>
      <c r="AA120">
        <f t="shared" si="54"/>
        <v>4954303.3064604225</v>
      </c>
      <c r="AB120" s="10">
        <f t="shared" si="55"/>
        <v>4.9543033064604227</v>
      </c>
      <c r="AC120" s="10">
        <f t="shared" si="56"/>
        <v>4.8533033064604227</v>
      </c>
      <c r="AD120" s="3">
        <f t="shared" si="57"/>
        <v>703.8873540914318</v>
      </c>
      <c r="AI120" s="94">
        <f t="shared" si="58"/>
        <v>0.44047081701668378</v>
      </c>
    </row>
    <row r="121" spans="2:35">
      <c r="B121" s="39">
        <f t="shared" si="60"/>
        <v>93</v>
      </c>
      <c r="C121" s="42">
        <f t="shared" si="61"/>
        <v>0.61776978417201722</v>
      </c>
      <c r="D121" s="10">
        <f t="shared" si="62"/>
        <v>4.9222302158279003</v>
      </c>
      <c r="E121" s="40">
        <f t="shared" si="63"/>
        <v>21.235539568344198</v>
      </c>
      <c r="F121" s="40">
        <f t="shared" si="64"/>
        <v>31.08</v>
      </c>
      <c r="G121" s="3">
        <f t="shared" si="65"/>
        <v>221.45784172662454</v>
      </c>
      <c r="H121" s="3">
        <f t="shared" si="66"/>
        <v>81.256230789298584</v>
      </c>
      <c r="I121">
        <f t="shared" si="48"/>
        <v>8.1256230789298584E-5</v>
      </c>
      <c r="J121" s="4">
        <f t="shared" si="67"/>
        <v>354.1738415393865</v>
      </c>
      <c r="K121" s="40">
        <f t="shared" si="68"/>
        <v>4.3587284088745974</v>
      </c>
      <c r="L121" s="40">
        <f t="shared" si="49"/>
        <v>1.6412715911254026</v>
      </c>
      <c r="M121" s="10">
        <f t="shared" si="69"/>
        <v>4.9543033064604227</v>
      </c>
      <c r="N121" s="10">
        <f t="shared" si="50"/>
        <v>8.26</v>
      </c>
      <c r="O121" s="10">
        <f t="shared" si="51"/>
        <v>0.31900000000000001</v>
      </c>
      <c r="P121" s="10">
        <f t="shared" si="70"/>
        <v>13.761934732482285</v>
      </c>
      <c r="Q121" s="42">
        <f t="shared" si="71"/>
        <v>4.763080191425683E-2</v>
      </c>
      <c r="R121" s="4">
        <f t="shared" si="72"/>
        <v>89578.455690443152</v>
      </c>
      <c r="S121">
        <f t="shared" si="52"/>
        <v>8.9578455690443145E-5</v>
      </c>
      <c r="T121" s="41">
        <f t="shared" si="53"/>
        <v>9.0225916351440688E-5</v>
      </c>
      <c r="U121" s="42">
        <f t="shared" si="73"/>
        <v>0.16075301765928476</v>
      </c>
      <c r="V121" s="42">
        <f t="shared" si="74"/>
        <v>0.44476104917245096</v>
      </c>
      <c r="W121" s="42">
        <f t="shared" si="75"/>
        <v>0.44054836188220864</v>
      </c>
      <c r="X121" s="42">
        <f t="shared" si="76"/>
        <v>4.2126872902423229E-3</v>
      </c>
      <c r="Y121" s="42">
        <f t="shared" si="59"/>
        <v>1.3546867337516145E-3</v>
      </c>
      <c r="Z121" s="10">
        <f t="shared" si="77"/>
        <v>15.014385982791778</v>
      </c>
      <c r="AA121">
        <f t="shared" si="54"/>
        <v>4955154.5613888856</v>
      </c>
      <c r="AB121" s="10">
        <f t="shared" si="55"/>
        <v>4.9551545613888859</v>
      </c>
      <c r="AC121" s="10">
        <f t="shared" si="56"/>
        <v>4.8541545613888859</v>
      </c>
      <c r="AD121" s="3">
        <f t="shared" si="57"/>
        <v>704.01081383450116</v>
      </c>
      <c r="AI121" s="94">
        <f t="shared" si="58"/>
        <v>0.44054836188220864</v>
      </c>
    </row>
    <row r="122" spans="2:35">
      <c r="B122" s="39">
        <f t="shared" si="60"/>
        <v>94</v>
      </c>
      <c r="C122" s="42">
        <f t="shared" si="61"/>
        <v>0.62441247002332922</v>
      </c>
      <c r="D122" s="10">
        <f t="shared" si="62"/>
        <v>4.9155875299765874</v>
      </c>
      <c r="E122" s="40">
        <f t="shared" si="63"/>
        <v>21.248824940046823</v>
      </c>
      <c r="F122" s="40">
        <f t="shared" si="64"/>
        <v>31.08</v>
      </c>
      <c r="G122" s="3">
        <f t="shared" si="65"/>
        <v>221.40470023981405</v>
      </c>
      <c r="H122" s="3">
        <f t="shared" si="66"/>
        <v>81.256230789298584</v>
      </c>
      <c r="I122">
        <f t="shared" si="48"/>
        <v>8.1256230789298584E-5</v>
      </c>
      <c r="J122" s="4">
        <f t="shared" si="67"/>
        <v>354.61713642162414</v>
      </c>
      <c r="K122" s="40">
        <f t="shared" si="68"/>
        <v>4.3641839275213723</v>
      </c>
      <c r="L122" s="40">
        <f t="shared" si="49"/>
        <v>1.6358160724786277</v>
      </c>
      <c r="M122" s="10">
        <f t="shared" si="69"/>
        <v>4.9551545613888859</v>
      </c>
      <c r="N122" s="10">
        <f t="shared" si="50"/>
        <v>8.26</v>
      </c>
      <c r="O122" s="10">
        <f t="shared" si="51"/>
        <v>0.31900000000000001</v>
      </c>
      <c r="P122" s="10">
        <f t="shared" si="70"/>
        <v>13.762688993770535</v>
      </c>
      <c r="Q122" s="42">
        <f t="shared" si="71"/>
        <v>4.8113460924739358E-2</v>
      </c>
      <c r="R122" s="4">
        <f t="shared" si="72"/>
        <v>89458.8126863707</v>
      </c>
      <c r="S122">
        <f t="shared" si="52"/>
        <v>8.9458812686370697E-5</v>
      </c>
      <c r="T122" s="41">
        <f t="shared" si="53"/>
        <v>9.0345559355513137E-5</v>
      </c>
      <c r="U122" s="42">
        <f t="shared" si="73"/>
        <v>0.16053831230632654</v>
      </c>
      <c r="V122" s="42">
        <f t="shared" si="74"/>
        <v>0.4448385885173482</v>
      </c>
      <c r="W122" s="42">
        <f t="shared" si="75"/>
        <v>0.44062563275126382</v>
      </c>
      <c r="X122" s="42">
        <f t="shared" si="76"/>
        <v>4.2129557660843808E-3</v>
      </c>
      <c r="Y122" s="42">
        <f t="shared" si="59"/>
        <v>1.3567201548128794E-3</v>
      </c>
      <c r="Z122" s="10">
        <f t="shared" si="77"/>
        <v>15.017009850745792</v>
      </c>
      <c r="AA122">
        <f t="shared" si="54"/>
        <v>4956002.858522852</v>
      </c>
      <c r="AB122" s="10">
        <f t="shared" si="55"/>
        <v>4.9560028585228517</v>
      </c>
      <c r="AC122" s="10">
        <f t="shared" si="56"/>
        <v>4.8550028585228517</v>
      </c>
      <c r="AD122" s="3">
        <f t="shared" si="57"/>
        <v>704.13384460084876</v>
      </c>
      <c r="AI122" s="94">
        <f t="shared" si="58"/>
        <v>0.44062563275126382</v>
      </c>
    </row>
    <row r="123" spans="2:35">
      <c r="B123" s="39">
        <f t="shared" si="60"/>
        <v>95</v>
      </c>
      <c r="C123" s="42">
        <f t="shared" si="61"/>
        <v>0.63105515587464123</v>
      </c>
      <c r="D123" s="10">
        <f t="shared" si="62"/>
        <v>4.9089448441252745</v>
      </c>
      <c r="E123" s="40">
        <f t="shared" si="63"/>
        <v>21.262110311749449</v>
      </c>
      <c r="F123" s="40">
        <f t="shared" si="64"/>
        <v>31.08</v>
      </c>
      <c r="G123" s="3">
        <f t="shared" si="65"/>
        <v>221.35155875300356</v>
      </c>
      <c r="H123" s="3">
        <f t="shared" si="66"/>
        <v>81.256230789298584</v>
      </c>
      <c r="I123">
        <f t="shared" si="48"/>
        <v>8.1256230789298584E-5</v>
      </c>
      <c r="J123" s="4">
        <f t="shared" si="67"/>
        <v>355.06070855114353</v>
      </c>
      <c r="K123" s="40">
        <f t="shared" si="68"/>
        <v>4.3696428581807281</v>
      </c>
      <c r="L123" s="40">
        <f t="shared" si="49"/>
        <v>1.6303571418192719</v>
      </c>
      <c r="M123" s="10">
        <f t="shared" si="69"/>
        <v>4.9560028585228517</v>
      </c>
      <c r="N123" s="10">
        <f t="shared" si="50"/>
        <v>8.26</v>
      </c>
      <c r="O123" s="10">
        <f t="shared" si="51"/>
        <v>0.31900000000000001</v>
      </c>
      <c r="P123" s="10">
        <f t="shared" si="70"/>
        <v>13.763440546504427</v>
      </c>
      <c r="Q123" s="42">
        <f t="shared" si="71"/>
        <v>4.8596093579624411E-2</v>
      </c>
      <c r="R123" s="4">
        <f t="shared" si="72"/>
        <v>89339.155427878548</v>
      </c>
      <c r="S123">
        <f t="shared" si="52"/>
        <v>8.9339155427878541E-5</v>
      </c>
      <c r="T123" s="41">
        <f t="shared" si="53"/>
        <v>9.0465216614005293E-5</v>
      </c>
      <c r="U123" s="42">
        <f t="shared" si="73"/>
        <v>0.16032358137309943</v>
      </c>
      <c r="V123" s="42">
        <f t="shared" si="74"/>
        <v>0.44491588178641772</v>
      </c>
      <c r="W123" s="42">
        <f t="shared" si="75"/>
        <v>0.44070263513276775</v>
      </c>
      <c r="X123" s="42">
        <f t="shared" si="76"/>
        <v>4.2132466536499713E-3</v>
      </c>
      <c r="Y123" s="42">
        <f t="shared" si="59"/>
        <v>1.358753605231016E-3</v>
      </c>
      <c r="Z123" s="10">
        <f t="shared" si="77"/>
        <v>15.019624736306239</v>
      </c>
      <c r="AA123">
        <f t="shared" si="54"/>
        <v>4956848.25164684</v>
      </c>
      <c r="AB123" s="10">
        <f t="shared" si="55"/>
        <v>4.9568482516468402</v>
      </c>
      <c r="AC123" s="10">
        <f t="shared" si="56"/>
        <v>4.8558482516468402</v>
      </c>
      <c r="AD123" s="3">
        <f t="shared" si="57"/>
        <v>704.25645419098475</v>
      </c>
      <c r="AI123" s="94">
        <f t="shared" si="58"/>
        <v>0.44070263513276775</v>
      </c>
    </row>
    <row r="124" spans="2:35">
      <c r="B124" s="39">
        <f t="shared" si="60"/>
        <v>96</v>
      </c>
      <c r="C124" s="42">
        <f t="shared" si="61"/>
        <v>0.63769784172595323</v>
      </c>
      <c r="D124" s="10">
        <f t="shared" si="62"/>
        <v>4.9023021582739617</v>
      </c>
      <c r="E124" s="40">
        <f t="shared" si="63"/>
        <v>21.275395683452075</v>
      </c>
      <c r="F124" s="40">
        <f t="shared" si="64"/>
        <v>31.08</v>
      </c>
      <c r="G124" s="3">
        <f t="shared" si="65"/>
        <v>221.29841726619307</v>
      </c>
      <c r="H124" s="3">
        <f t="shared" si="66"/>
        <v>81.256230789298584</v>
      </c>
      <c r="I124">
        <f t="shared" si="48"/>
        <v>8.1256230789298584E-5</v>
      </c>
      <c r="J124" s="4">
        <f t="shared" si="67"/>
        <v>355.5045579279444</v>
      </c>
      <c r="K124" s="40">
        <f t="shared" si="68"/>
        <v>4.3751052008526612</v>
      </c>
      <c r="L124" s="40">
        <f t="shared" si="49"/>
        <v>1.6248947991473388</v>
      </c>
      <c r="M124" s="10">
        <f t="shared" si="69"/>
        <v>4.9568482516468402</v>
      </c>
      <c r="N124" s="10">
        <f t="shared" si="50"/>
        <v>8.26</v>
      </c>
      <c r="O124" s="10">
        <f t="shared" si="51"/>
        <v>0.31900000000000001</v>
      </c>
      <c r="P124" s="10">
        <f t="shared" si="70"/>
        <v>13.764189439267936</v>
      </c>
      <c r="Q124" s="42">
        <f t="shared" si="71"/>
        <v>4.9078699975055227E-2</v>
      </c>
      <c r="R124" s="4">
        <f t="shared" si="72"/>
        <v>89219.483959166755</v>
      </c>
      <c r="S124">
        <f t="shared" si="52"/>
        <v>8.9219483959166755E-5</v>
      </c>
      <c r="T124" s="41">
        <f t="shared" si="53"/>
        <v>9.0584888082717078E-5</v>
      </c>
      <c r="U124" s="42">
        <f t="shared" si="73"/>
        <v>0.16010882493892267</v>
      </c>
      <c r="V124" s="42">
        <f t="shared" si="74"/>
        <v>0.44499293049162797</v>
      </c>
      <c r="W124" s="42">
        <f t="shared" si="75"/>
        <v>0.44077937390889649</v>
      </c>
      <c r="X124" s="42">
        <f t="shared" si="76"/>
        <v>4.2135565827314814E-3</v>
      </c>
      <c r="Y124" s="42">
        <f t="shared" si="59"/>
        <v>1.3607870945853517E-3</v>
      </c>
      <c r="Z124" s="10">
        <f t="shared" si="77"/>
        <v>15.022230786914001</v>
      </c>
      <c r="AA124">
        <f t="shared" si="54"/>
        <v>4957690.7884285226</v>
      </c>
      <c r="AB124" s="10">
        <f t="shared" si="55"/>
        <v>4.9576907884285228</v>
      </c>
      <c r="AC124" s="10">
        <f t="shared" si="56"/>
        <v>4.8566907884285229</v>
      </c>
      <c r="AD124" s="3">
        <f t="shared" si="57"/>
        <v>704.37864951827737</v>
      </c>
      <c r="AI124" s="94">
        <f t="shared" si="58"/>
        <v>0.44077937390889649</v>
      </c>
    </row>
    <row r="125" spans="2:35">
      <c r="B125" s="39">
        <f t="shared" si="60"/>
        <v>97</v>
      </c>
      <c r="C125" s="42">
        <f t="shared" si="61"/>
        <v>0.64434052757726523</v>
      </c>
      <c r="D125" s="10">
        <f t="shared" si="62"/>
        <v>4.8956594724226488</v>
      </c>
      <c r="E125" s="40">
        <f t="shared" si="63"/>
        <v>21.288681055154701</v>
      </c>
      <c r="F125" s="40">
        <f t="shared" si="64"/>
        <v>31.08</v>
      </c>
      <c r="G125" s="3">
        <f t="shared" si="65"/>
        <v>221.24527577938258</v>
      </c>
      <c r="H125" s="3">
        <f t="shared" si="66"/>
        <v>81.256230789298584</v>
      </c>
      <c r="I125">
        <f t="shared" si="48"/>
        <v>8.1256230789298584E-5</v>
      </c>
      <c r="J125" s="4">
        <f t="shared" si="67"/>
        <v>355.94868455202686</v>
      </c>
      <c r="K125" s="40">
        <f t="shared" si="68"/>
        <v>4.3805709555371743</v>
      </c>
      <c r="L125" s="40">
        <f t="shared" si="49"/>
        <v>1.6194290444628257</v>
      </c>
      <c r="M125" s="10">
        <f t="shared" si="69"/>
        <v>4.9576907884285228</v>
      </c>
      <c r="N125" s="10">
        <f t="shared" si="50"/>
        <v>8.26</v>
      </c>
      <c r="O125" s="10">
        <f t="shared" si="51"/>
        <v>0.31900000000000001</v>
      </c>
      <c r="P125" s="10">
        <f t="shared" si="70"/>
        <v>13.764935715201576</v>
      </c>
      <c r="Q125" s="42">
        <f t="shared" si="71"/>
        <v>4.9561280205631678E-2</v>
      </c>
      <c r="R125" s="4">
        <f t="shared" si="72"/>
        <v>89099.798324435294</v>
      </c>
      <c r="S125">
        <f t="shared" si="52"/>
        <v>8.9099798324435294E-5</v>
      </c>
      <c r="T125" s="41">
        <f t="shared" si="53"/>
        <v>9.070457371744854E-5</v>
      </c>
      <c r="U125" s="42">
        <f t="shared" si="73"/>
        <v>0.15989404308311533</v>
      </c>
      <c r="V125" s="42">
        <f t="shared" si="74"/>
        <v>0.44506973597069732</v>
      </c>
      <c r="W125" s="42">
        <f t="shared" si="75"/>
        <v>0.44085585340658245</v>
      </c>
      <c r="X125" s="42">
        <f t="shared" si="76"/>
        <v>4.2138825641148681E-3</v>
      </c>
      <c r="Y125" s="42">
        <f t="shared" si="59"/>
        <v>1.3628206310047643E-3</v>
      </c>
      <c r="Z125" s="10">
        <f t="shared" si="77"/>
        <v>15.024828133254355</v>
      </c>
      <c r="AA125">
        <f t="shared" si="54"/>
        <v>4958530.51111848</v>
      </c>
      <c r="AB125" s="10">
        <f t="shared" si="55"/>
        <v>4.9585305111184796</v>
      </c>
      <c r="AC125" s="10">
        <f t="shared" si="56"/>
        <v>4.8575305111184797</v>
      </c>
      <c r="AD125" s="3">
        <f t="shared" si="57"/>
        <v>704.50043671043943</v>
      </c>
      <c r="AI125" s="94">
        <f t="shared" si="58"/>
        <v>0.44085585340658245</v>
      </c>
    </row>
    <row r="126" spans="2:35">
      <c r="B126" s="39">
        <f t="shared" si="60"/>
        <v>98</v>
      </c>
      <c r="C126" s="42">
        <f t="shared" si="61"/>
        <v>0.65098321342857723</v>
      </c>
      <c r="D126" s="10">
        <f t="shared" si="62"/>
        <v>4.8890167865713359</v>
      </c>
      <c r="E126" s="40">
        <f t="shared" si="63"/>
        <v>21.301966426857327</v>
      </c>
      <c r="F126" s="40">
        <f t="shared" si="64"/>
        <v>31.08</v>
      </c>
      <c r="G126" s="3">
        <f t="shared" si="65"/>
        <v>221.19213429257209</v>
      </c>
      <c r="H126" s="3">
        <f t="shared" si="66"/>
        <v>81.256230789298584</v>
      </c>
      <c r="I126">
        <f t="shared" si="48"/>
        <v>8.1256230789298584E-5</v>
      </c>
      <c r="J126" s="4">
        <f t="shared" si="67"/>
        <v>356.39308842339085</v>
      </c>
      <c r="K126" s="40">
        <f t="shared" si="68"/>
        <v>4.3860401222342658</v>
      </c>
      <c r="L126" s="40">
        <f t="shared" si="49"/>
        <v>1.6139598777657342</v>
      </c>
      <c r="M126" s="10">
        <f t="shared" si="69"/>
        <v>4.9585305111184796</v>
      </c>
      <c r="N126" s="10">
        <f t="shared" si="50"/>
        <v>8.26</v>
      </c>
      <c r="O126" s="10">
        <f t="shared" si="51"/>
        <v>0.31900000000000001</v>
      </c>
      <c r="P126" s="10">
        <f t="shared" si="70"/>
        <v>13.765679412625433</v>
      </c>
      <c r="Q126" s="42">
        <f t="shared" si="71"/>
        <v>5.0043834364580021E-2</v>
      </c>
      <c r="R126" s="4">
        <f t="shared" si="72"/>
        <v>88980.098567884168</v>
      </c>
      <c r="S126">
        <f t="shared" si="52"/>
        <v>8.8980098567884166E-5</v>
      </c>
      <c r="T126" s="41">
        <f t="shared" si="53"/>
        <v>9.0824273473999668E-5</v>
      </c>
      <c r="U126" s="42">
        <f t="shared" si="73"/>
        <v>0.15967923588499652</v>
      </c>
      <c r="V126" s="42">
        <f t="shared" si="74"/>
        <v>0.44514629940595962</v>
      </c>
      <c r="W126" s="42">
        <f t="shared" si="75"/>
        <v>0.44093207746103291</v>
      </c>
      <c r="X126" s="42">
        <f t="shared" si="76"/>
        <v>4.2142219449267104E-3</v>
      </c>
      <c r="Y126" s="42">
        <f t="shared" si="59"/>
        <v>1.3648542213310201E-3</v>
      </c>
      <c r="Z126" s="10">
        <f t="shared" si="77"/>
        <v>15.027416891165531</v>
      </c>
      <c r="AA126">
        <f t="shared" si="54"/>
        <v>4959367.4571672408</v>
      </c>
      <c r="AB126" s="10">
        <f t="shared" si="55"/>
        <v>4.9593674571672404</v>
      </c>
      <c r="AC126" s="10">
        <f t="shared" si="56"/>
        <v>4.8583674571672404</v>
      </c>
      <c r="AD126" s="3">
        <f t="shared" si="57"/>
        <v>704.62182119901968</v>
      </c>
      <c r="AI126" s="94">
        <f t="shared" si="58"/>
        <v>0.44093207746103291</v>
      </c>
    </row>
    <row r="127" spans="2:35">
      <c r="B127" s="39">
        <f t="shared" si="60"/>
        <v>99</v>
      </c>
      <c r="C127" s="42">
        <f t="shared" si="61"/>
        <v>0.65762589927988924</v>
      </c>
      <c r="D127" s="10">
        <f t="shared" si="62"/>
        <v>4.882374100720023</v>
      </c>
      <c r="E127" s="40">
        <f t="shared" si="63"/>
        <v>21.315251798559952</v>
      </c>
      <c r="F127" s="40">
        <f t="shared" si="64"/>
        <v>31.08</v>
      </c>
      <c r="G127" s="3">
        <f t="shared" si="65"/>
        <v>221.1389928057616</v>
      </c>
      <c r="H127" s="3">
        <f t="shared" si="66"/>
        <v>81.256230789298584</v>
      </c>
      <c r="I127">
        <f t="shared" si="48"/>
        <v>8.1256230789298584E-5</v>
      </c>
      <c r="J127" s="4">
        <f t="shared" si="67"/>
        <v>356.83776954203631</v>
      </c>
      <c r="K127" s="40">
        <f t="shared" si="68"/>
        <v>4.3915127009439345</v>
      </c>
      <c r="L127" s="40">
        <f t="shared" si="49"/>
        <v>1.6084872990560655</v>
      </c>
      <c r="M127" s="10">
        <f t="shared" si="69"/>
        <v>4.9593674571672404</v>
      </c>
      <c r="N127" s="10">
        <f t="shared" si="50"/>
        <v>8.26</v>
      </c>
      <c r="O127" s="10">
        <f t="shared" si="51"/>
        <v>0.31900000000000001</v>
      </c>
      <c r="P127" s="10">
        <f t="shared" si="70"/>
        <v>13.766420565588486</v>
      </c>
      <c r="Q127" s="42">
        <f t="shared" si="71"/>
        <v>5.0526362543903303E-2</v>
      </c>
      <c r="R127" s="4">
        <f t="shared" si="72"/>
        <v>88860.384733713407</v>
      </c>
      <c r="S127">
        <f t="shared" si="52"/>
        <v>8.8860384733713407E-5</v>
      </c>
      <c r="T127" s="41">
        <f t="shared" si="53"/>
        <v>9.0943987308170427E-5</v>
      </c>
      <c r="U127" s="42">
        <f t="shared" si="73"/>
        <v>0.15946440342388538</v>
      </c>
      <c r="V127" s="42">
        <f t="shared" si="74"/>
        <v>0.44522262184239242</v>
      </c>
      <c r="W127" s="42">
        <f t="shared" si="75"/>
        <v>0.44100804947174044</v>
      </c>
      <c r="X127" s="42">
        <f t="shared" si="76"/>
        <v>4.2145723706519811E-3</v>
      </c>
      <c r="Y127" s="42">
        <f t="shared" si="59"/>
        <v>1.3668878712636569E-3</v>
      </c>
      <c r="Z127" s="10">
        <f t="shared" si="77"/>
        <v>15.029997163329295</v>
      </c>
      <c r="AA127">
        <f t="shared" si="54"/>
        <v>4960201.6597718438</v>
      </c>
      <c r="AB127" s="10">
        <f t="shared" si="55"/>
        <v>4.9602016597718439</v>
      </c>
      <c r="AC127" s="10">
        <f t="shared" si="56"/>
        <v>4.8592016597718439</v>
      </c>
      <c r="AD127" s="3">
        <f t="shared" si="57"/>
        <v>704.74280779867206</v>
      </c>
      <c r="AI127" s="94">
        <f t="shared" si="58"/>
        <v>0.44100804947174044</v>
      </c>
    </row>
    <row r="128" spans="2:35">
      <c r="B128" s="39">
        <f t="shared" si="60"/>
        <v>100</v>
      </c>
      <c r="C128" s="42">
        <f t="shared" si="61"/>
        <v>0.66426858513120124</v>
      </c>
      <c r="D128" s="10">
        <f t="shared" si="62"/>
        <v>4.8757314148687101</v>
      </c>
      <c r="E128" s="40">
        <f t="shared" si="63"/>
        <v>21.328537170262578</v>
      </c>
      <c r="F128" s="40">
        <f t="shared" si="64"/>
        <v>31.08</v>
      </c>
      <c r="G128" s="3">
        <f t="shared" si="65"/>
        <v>221.08585131895111</v>
      </c>
      <c r="H128" s="3">
        <f t="shared" si="66"/>
        <v>81.256230789298584</v>
      </c>
      <c r="I128">
        <f t="shared" si="48"/>
        <v>8.1256230789298584E-5</v>
      </c>
      <c r="J128" s="4">
        <f t="shared" si="67"/>
        <v>357.28272790796348</v>
      </c>
      <c r="K128" s="40">
        <f t="shared" si="68"/>
        <v>4.3969886916661842</v>
      </c>
      <c r="L128" s="40">
        <f t="shared" si="49"/>
        <v>1.6030113083338158</v>
      </c>
      <c r="M128" s="10">
        <f t="shared" si="69"/>
        <v>4.9602016597718439</v>
      </c>
      <c r="N128" s="10">
        <f t="shared" si="50"/>
        <v>8.26</v>
      </c>
      <c r="O128" s="10">
        <f t="shared" si="51"/>
        <v>0.31900000000000001</v>
      </c>
      <c r="P128" s="10">
        <f t="shared" si="70"/>
        <v>13.767159204355128</v>
      </c>
      <c r="Q128" s="42">
        <f t="shared" si="71"/>
        <v>5.1008864834514618E-2</v>
      </c>
      <c r="R128" s="4">
        <f t="shared" si="72"/>
        <v>88740.656866122939</v>
      </c>
      <c r="S128">
        <f t="shared" si="52"/>
        <v>8.8740656866122944E-5</v>
      </c>
      <c r="T128" s="41">
        <f t="shared" si="53"/>
        <v>9.106371517576089E-5</v>
      </c>
      <c r="U128" s="42">
        <f t="shared" si="73"/>
        <v>0.15924954577910092</v>
      </c>
      <c r="V128" s="42">
        <f t="shared" si="74"/>
        <v>0.44529870420354439</v>
      </c>
      <c r="W128" s="42">
        <f t="shared" si="75"/>
        <v>0.44108377245209612</v>
      </c>
      <c r="X128" s="42">
        <f t="shared" si="76"/>
        <v>4.2149317514482698E-3</v>
      </c>
      <c r="Y128" s="42">
        <f t="shared" si="59"/>
        <v>1.3689215854885012E-3</v>
      </c>
      <c r="Z128" s="10">
        <f t="shared" si="77"/>
        <v>15.032569040768472</v>
      </c>
      <c r="AA128">
        <f t="shared" si="54"/>
        <v>4961033.1483599907</v>
      </c>
      <c r="AB128" s="10">
        <f t="shared" si="55"/>
        <v>4.9610331483599905</v>
      </c>
      <c r="AC128" s="10">
        <f t="shared" si="56"/>
        <v>4.8600331483599906</v>
      </c>
      <c r="AD128" s="3">
        <f t="shared" si="57"/>
        <v>704.86340077737361</v>
      </c>
      <c r="AI128" s="94">
        <f t="shared" si="58"/>
        <v>0.44108377245209612</v>
      </c>
    </row>
    <row r="129" spans="2:35">
      <c r="B129" s="39">
        <f t="shared" si="60"/>
        <v>101</v>
      </c>
      <c r="C129" s="42">
        <f t="shared" si="61"/>
        <v>0.67091127098251324</v>
      </c>
      <c r="D129" s="10">
        <f t="shared" si="62"/>
        <v>4.8690887290173972</v>
      </c>
      <c r="E129" s="40">
        <f t="shared" si="63"/>
        <v>21.341822541965204</v>
      </c>
      <c r="F129" s="40">
        <f t="shared" si="64"/>
        <v>31.08</v>
      </c>
      <c r="G129" s="3">
        <f t="shared" si="65"/>
        <v>221.03270983214063</v>
      </c>
      <c r="H129" s="3">
        <f t="shared" si="66"/>
        <v>81.256230789298584</v>
      </c>
      <c r="I129">
        <f t="shared" si="48"/>
        <v>8.1256230789298584E-5</v>
      </c>
      <c r="J129" s="4">
        <f t="shared" si="67"/>
        <v>357.72796352117211</v>
      </c>
      <c r="K129" s="40">
        <f t="shared" si="68"/>
        <v>4.4024680944010113</v>
      </c>
      <c r="L129" s="40">
        <f t="shared" si="49"/>
        <v>1.5975319055989887</v>
      </c>
      <c r="M129" s="10">
        <f t="shared" si="69"/>
        <v>4.9610331483599905</v>
      </c>
      <c r="N129" s="10">
        <f t="shared" si="50"/>
        <v>8.26</v>
      </c>
      <c r="O129" s="10">
        <f t="shared" si="51"/>
        <v>0.31900000000000001</v>
      </c>
      <c r="P129" s="10">
        <f t="shared" si="70"/>
        <v>13.767895355836069</v>
      </c>
      <c r="Q129" s="42">
        <f t="shared" si="71"/>
        <v>5.1491341326355203E-2</v>
      </c>
      <c r="R129" s="4">
        <f t="shared" si="72"/>
        <v>88620.915009312826</v>
      </c>
      <c r="S129">
        <f t="shared" si="52"/>
        <v>8.8620915009312827E-5</v>
      </c>
      <c r="T129" s="41">
        <f t="shared" si="53"/>
        <v>9.1183457032571006E-5</v>
      </c>
      <c r="U129" s="42">
        <f t="shared" si="73"/>
        <v>0.1590346630299623</v>
      </c>
      <c r="V129" s="42">
        <f t="shared" si="74"/>
        <v>0.4453745473045998</v>
      </c>
      <c r="W129" s="42">
        <f t="shared" si="75"/>
        <v>0.44115924907333764</v>
      </c>
      <c r="X129" s="42">
        <f t="shared" si="76"/>
        <v>4.2152982312621545E-3</v>
      </c>
      <c r="Y129" s="42">
        <f t="shared" si="59"/>
        <v>1.3709553677911824E-3</v>
      </c>
      <c r="Z129" s="10">
        <f t="shared" si="77"/>
        <v>15.035132604168243</v>
      </c>
      <c r="AA129">
        <f t="shared" si="54"/>
        <v>4961861.9490172183</v>
      </c>
      <c r="AB129" s="10">
        <f t="shared" si="55"/>
        <v>4.9618619490172184</v>
      </c>
      <c r="AC129" s="10">
        <f t="shared" si="56"/>
        <v>4.8608619490172185</v>
      </c>
      <c r="AD129" s="3">
        <f t="shared" si="57"/>
        <v>704.98360391837832</v>
      </c>
      <c r="AI129" s="94">
        <f t="shared" si="58"/>
        <v>0.44115924907333764</v>
      </c>
    </row>
    <row r="130" spans="2:35">
      <c r="B130" s="39">
        <f t="shared" si="60"/>
        <v>102</v>
      </c>
      <c r="C130" s="42">
        <f t="shared" si="61"/>
        <v>0.67755395683382524</v>
      </c>
      <c r="D130" s="10">
        <f t="shared" si="62"/>
        <v>4.8624460431660843</v>
      </c>
      <c r="E130" s="40">
        <f t="shared" si="63"/>
        <v>21.35510791366783</v>
      </c>
      <c r="F130" s="40">
        <f t="shared" si="64"/>
        <v>31.08</v>
      </c>
      <c r="G130" s="3">
        <f t="shared" si="65"/>
        <v>220.97956834533014</v>
      </c>
      <c r="H130" s="3">
        <f t="shared" si="66"/>
        <v>81.256230789298584</v>
      </c>
      <c r="I130">
        <f t="shared" si="48"/>
        <v>8.1256230789298584E-5</v>
      </c>
      <c r="J130" s="4">
        <f t="shared" si="67"/>
        <v>358.1734763816624</v>
      </c>
      <c r="K130" s="40">
        <f t="shared" si="68"/>
        <v>4.4079509091484184</v>
      </c>
      <c r="L130" s="40">
        <f t="shared" si="49"/>
        <v>1.5920490908515816</v>
      </c>
      <c r="M130" s="10">
        <f t="shared" si="69"/>
        <v>4.9618619490172184</v>
      </c>
      <c r="N130" s="10">
        <f t="shared" si="50"/>
        <v>8.26</v>
      </c>
      <c r="O130" s="10">
        <f t="shared" si="51"/>
        <v>0.31900000000000001</v>
      </c>
      <c r="P130" s="10">
        <f t="shared" si="70"/>
        <v>13.76862904396849</v>
      </c>
      <c r="Q130" s="42">
        <f t="shared" si="71"/>
        <v>5.1973792108499117E-2</v>
      </c>
      <c r="R130" s="4">
        <f t="shared" si="72"/>
        <v>88501.159207483026</v>
      </c>
      <c r="S130">
        <f t="shared" si="52"/>
        <v>8.8501159207483025E-5</v>
      </c>
      <c r="T130" s="41">
        <f t="shared" si="53"/>
        <v>9.1303212834400809E-5</v>
      </c>
      <c r="U130" s="42">
        <f t="shared" si="73"/>
        <v>0.15881975525578865</v>
      </c>
      <c r="V130" s="42">
        <f t="shared" si="74"/>
        <v>0.4454501518655416</v>
      </c>
      <c r="W130" s="42">
        <f t="shared" si="75"/>
        <v>0.44123448170332447</v>
      </c>
      <c r="X130" s="42">
        <f t="shared" si="76"/>
        <v>4.2156701622171333E-3</v>
      </c>
      <c r="Y130" s="42">
        <f t="shared" si="59"/>
        <v>1.3729892211582048E-3</v>
      </c>
      <c r="Z130" s="10">
        <f t="shared" si="77"/>
        <v>15.037687925050719</v>
      </c>
      <c r="AA130">
        <f t="shared" si="54"/>
        <v>4962688.084866643</v>
      </c>
      <c r="AB130" s="10">
        <f t="shared" si="55"/>
        <v>4.9626880848666426</v>
      </c>
      <c r="AC130" s="10">
        <f t="shared" si="56"/>
        <v>4.8616880848666426</v>
      </c>
      <c r="AD130" s="3">
        <f t="shared" si="57"/>
        <v>705.10342057529272</v>
      </c>
      <c r="AI130" s="94">
        <f t="shared" si="58"/>
        <v>0.44123448170332447</v>
      </c>
    </row>
    <row r="131" spans="2:35">
      <c r="B131" s="39">
        <f t="shared" si="60"/>
        <v>103</v>
      </c>
      <c r="C131" s="42">
        <f t="shared" si="61"/>
        <v>0.68419664268513725</v>
      </c>
      <c r="D131" s="10">
        <f t="shared" si="62"/>
        <v>4.8558033573147714</v>
      </c>
      <c r="E131" s="40">
        <f t="shared" si="63"/>
        <v>21.368393285370455</v>
      </c>
      <c r="F131" s="40">
        <f t="shared" si="64"/>
        <v>31.08</v>
      </c>
      <c r="G131" s="3">
        <f t="shared" si="65"/>
        <v>220.92642685851965</v>
      </c>
      <c r="H131" s="3">
        <f t="shared" si="66"/>
        <v>81.256230789298584</v>
      </c>
      <c r="I131">
        <f t="shared" si="48"/>
        <v>8.1256230789298584E-5</v>
      </c>
      <c r="J131" s="4">
        <f t="shared" si="67"/>
        <v>358.61926648943415</v>
      </c>
      <c r="K131" s="40">
        <f t="shared" si="68"/>
        <v>4.4134371359084028</v>
      </c>
      <c r="L131" s="40">
        <f t="shared" si="49"/>
        <v>1.5865628640915972</v>
      </c>
      <c r="M131" s="10">
        <f t="shared" si="69"/>
        <v>4.9626880848666426</v>
      </c>
      <c r="N131" s="10">
        <f t="shared" si="50"/>
        <v>8.26</v>
      </c>
      <c r="O131" s="10">
        <f t="shared" si="51"/>
        <v>0.31900000000000001</v>
      </c>
      <c r="P131" s="10">
        <f t="shared" si="70"/>
        <v>13.769360290053928</v>
      </c>
      <c r="Q131" s="42">
        <f t="shared" si="71"/>
        <v>5.2456217269246076E-2</v>
      </c>
      <c r="R131" s="4">
        <f t="shared" si="72"/>
        <v>88381.389504833569</v>
      </c>
      <c r="S131">
        <f t="shared" si="52"/>
        <v>8.8381389504833572E-5</v>
      </c>
      <c r="T131" s="41">
        <f t="shared" si="53"/>
        <v>9.1422982537050262E-5</v>
      </c>
      <c r="U131" s="42">
        <f t="shared" si="73"/>
        <v>0.15860482253589905</v>
      </c>
      <c r="V131" s="42">
        <f t="shared" si="74"/>
        <v>0.44552551852147199</v>
      </c>
      <c r="W131" s="42">
        <f t="shared" si="75"/>
        <v>0.4413094724410086</v>
      </c>
      <c r="X131" s="42">
        <f t="shared" si="76"/>
        <v>4.216046080463387E-3</v>
      </c>
      <c r="Y131" s="42">
        <f t="shared" si="59"/>
        <v>1.375023147866289E-3</v>
      </c>
      <c r="Z131" s="10">
        <f t="shared" si="77"/>
        <v>15.04023506681205</v>
      </c>
      <c r="AA131">
        <f t="shared" si="54"/>
        <v>4963511.5764042549</v>
      </c>
      <c r="AB131" s="10">
        <f t="shared" si="55"/>
        <v>4.9635115764042546</v>
      </c>
      <c r="AC131" s="10">
        <f t="shared" si="56"/>
        <v>4.8625115764042546</v>
      </c>
      <c r="AD131" s="3">
        <f t="shared" si="57"/>
        <v>705.22285372070417</v>
      </c>
      <c r="AI131" s="94">
        <f t="shared" si="58"/>
        <v>0.4413094724410086</v>
      </c>
    </row>
    <row r="132" spans="2:35">
      <c r="B132" s="39">
        <f t="shared" si="60"/>
        <v>104</v>
      </c>
      <c r="C132" s="42">
        <f t="shared" si="61"/>
        <v>0.69083932853644925</v>
      </c>
      <c r="D132" s="10">
        <f t="shared" si="62"/>
        <v>4.8491606714634585</v>
      </c>
      <c r="E132" s="40">
        <f t="shared" si="63"/>
        <v>21.381678657073081</v>
      </c>
      <c r="F132" s="40">
        <f t="shared" si="64"/>
        <v>31.08</v>
      </c>
      <c r="G132" s="3">
        <f t="shared" si="65"/>
        <v>220.87328537170916</v>
      </c>
      <c r="H132" s="3">
        <f t="shared" si="66"/>
        <v>81.256230789298584</v>
      </c>
      <c r="I132">
        <f t="shared" si="48"/>
        <v>8.1256230789298584E-5</v>
      </c>
      <c r="J132" s="4">
        <f t="shared" si="67"/>
        <v>359.0653338444875</v>
      </c>
      <c r="K132" s="40">
        <f t="shared" si="68"/>
        <v>4.4189267746809673</v>
      </c>
      <c r="L132" s="40">
        <f t="shared" si="49"/>
        <v>1.5810732253190327</v>
      </c>
      <c r="M132" s="10">
        <f t="shared" si="69"/>
        <v>4.9635115764042546</v>
      </c>
      <c r="N132" s="10">
        <f t="shared" si="50"/>
        <v>8.26</v>
      </c>
      <c r="O132" s="10">
        <f t="shared" si="51"/>
        <v>0.31900000000000001</v>
      </c>
      <c r="P132" s="10">
        <f t="shared" si="70"/>
        <v>13.770089113056597</v>
      </c>
      <c r="Q132" s="42">
        <f t="shared" si="71"/>
        <v>5.2938616896203723E-2</v>
      </c>
      <c r="R132" s="4">
        <f t="shared" si="72"/>
        <v>88261.605945564443</v>
      </c>
      <c r="S132">
        <f t="shared" si="52"/>
        <v>8.8261605945564437E-5</v>
      </c>
      <c r="T132" s="41">
        <f t="shared" si="53"/>
        <v>9.1542766096319397E-5</v>
      </c>
      <c r="U132" s="42">
        <f t="shared" si="73"/>
        <v>0.15838986494961266</v>
      </c>
      <c r="V132" s="42">
        <f t="shared" si="74"/>
        <v>0.44560064783231834</v>
      </c>
      <c r="W132" s="42">
        <f t="shared" si="75"/>
        <v>0.44138422314687026</v>
      </c>
      <c r="X132" s="42">
        <f t="shared" si="76"/>
        <v>4.2164246854480836E-3</v>
      </c>
      <c r="Y132" s="42">
        <f t="shared" si="59"/>
        <v>1.3770571495616442E-3</v>
      </c>
      <c r="Z132" s="10">
        <f t="shared" si="77"/>
        <v>15.042774085641385</v>
      </c>
      <c r="AA132">
        <f t="shared" si="54"/>
        <v>4964332.4417960187</v>
      </c>
      <c r="AB132" s="10">
        <f t="shared" si="55"/>
        <v>4.9643324417960191</v>
      </c>
      <c r="AC132" s="10">
        <f t="shared" si="56"/>
        <v>4.8633324417960191</v>
      </c>
      <c r="AD132" s="3">
        <f t="shared" si="57"/>
        <v>705.34190598927034</v>
      </c>
      <c r="AI132" s="94">
        <f t="shared" si="58"/>
        <v>0.44138422314687026</v>
      </c>
    </row>
    <row r="133" spans="2:35">
      <c r="B133" s="39">
        <f t="shared" si="60"/>
        <v>105</v>
      </c>
      <c r="C133" s="42">
        <f t="shared" si="61"/>
        <v>0.69748201438776125</v>
      </c>
      <c r="D133" s="10">
        <f t="shared" si="62"/>
        <v>4.8425179856121456</v>
      </c>
      <c r="E133" s="40">
        <f t="shared" si="63"/>
        <v>21.394964028775707</v>
      </c>
      <c r="F133" s="40">
        <f t="shared" si="64"/>
        <v>31.08</v>
      </c>
      <c r="G133" s="3">
        <f t="shared" si="65"/>
        <v>220.82014388489867</v>
      </c>
      <c r="H133" s="3">
        <f t="shared" si="66"/>
        <v>81.256230789298584</v>
      </c>
      <c r="I133">
        <f t="shared" si="48"/>
        <v>8.1256230789298584E-5</v>
      </c>
      <c r="J133" s="4">
        <f t="shared" si="67"/>
        <v>359.51167844682243</v>
      </c>
      <c r="K133" s="40">
        <f t="shared" si="68"/>
        <v>4.42441982546611</v>
      </c>
      <c r="L133" s="40">
        <f t="shared" si="49"/>
        <v>1.57558017453389</v>
      </c>
      <c r="M133" s="10">
        <f t="shared" si="69"/>
        <v>4.9643324417960191</v>
      </c>
      <c r="N133" s="10">
        <f t="shared" si="50"/>
        <v>8.26</v>
      </c>
      <c r="O133" s="10">
        <f t="shared" si="51"/>
        <v>0.31900000000000001</v>
      </c>
      <c r="P133" s="10">
        <f t="shared" si="70"/>
        <v>13.770815529867683</v>
      </c>
      <c r="Q133" s="42">
        <f t="shared" si="71"/>
        <v>5.3420991076360634E-2</v>
      </c>
      <c r="R133" s="4">
        <f t="shared" si="72"/>
        <v>88141.80857387562</v>
      </c>
      <c r="S133">
        <f t="shared" si="52"/>
        <v>8.8141808573875615E-5</v>
      </c>
      <c r="T133" s="41">
        <f t="shared" si="53"/>
        <v>9.1662563468008219E-5</v>
      </c>
      <c r="U133" s="42">
        <f t="shared" si="73"/>
        <v>0.15817488257624848</v>
      </c>
      <c r="V133" s="42">
        <f t="shared" si="74"/>
        <v>0.4456755402916549</v>
      </c>
      <c r="W133" s="42">
        <f t="shared" si="75"/>
        <v>0.44145873546988662</v>
      </c>
      <c r="X133" s="42">
        <f t="shared" si="76"/>
        <v>4.216804821768283E-3</v>
      </c>
      <c r="Y133" s="42">
        <f t="shared" si="59"/>
        <v>1.3790912273304264E-3</v>
      </c>
      <c r="Z133" s="10">
        <f t="shared" si="77"/>
        <v>15.045305031336513</v>
      </c>
      <c r="AA133">
        <f t="shared" si="54"/>
        <v>4965150.6971415728</v>
      </c>
      <c r="AB133" s="10">
        <f t="shared" si="55"/>
        <v>4.9651506971415724</v>
      </c>
      <c r="AC133" s="10">
        <f t="shared" si="56"/>
        <v>4.8641506971415724</v>
      </c>
      <c r="AD133" s="3">
        <f t="shared" si="57"/>
        <v>705.46057971596417</v>
      </c>
      <c r="AI133" s="94">
        <f t="shared" si="58"/>
        <v>0.44145873546988662</v>
      </c>
    </row>
    <row r="134" spans="2:35">
      <c r="B134" s="39">
        <f t="shared" si="60"/>
        <v>106</v>
      </c>
      <c r="C134" s="42">
        <f t="shared" si="61"/>
        <v>0.70412470023907325</v>
      </c>
      <c r="D134" s="10">
        <f t="shared" si="62"/>
        <v>4.8358752997608327</v>
      </c>
      <c r="E134" s="40">
        <f t="shared" si="63"/>
        <v>21.408249400478333</v>
      </c>
      <c r="F134" s="40">
        <f t="shared" si="64"/>
        <v>31.08</v>
      </c>
      <c r="G134" s="3">
        <f t="shared" si="65"/>
        <v>220.76700239808818</v>
      </c>
      <c r="H134" s="3">
        <f t="shared" si="66"/>
        <v>81.256230789298584</v>
      </c>
      <c r="I134">
        <f t="shared" si="48"/>
        <v>8.1256230789298584E-5</v>
      </c>
      <c r="J134" s="4">
        <f t="shared" si="67"/>
        <v>359.95830029643895</v>
      </c>
      <c r="K134" s="40">
        <f t="shared" si="68"/>
        <v>4.4299162882638328</v>
      </c>
      <c r="L134" s="40">
        <f t="shared" si="49"/>
        <v>1.5700837117361672</v>
      </c>
      <c r="M134" s="10">
        <f t="shared" si="69"/>
        <v>4.9651506971415724</v>
      </c>
      <c r="N134" s="10">
        <f t="shared" si="50"/>
        <v>8.26</v>
      </c>
      <c r="O134" s="10">
        <f t="shared" si="51"/>
        <v>0.31900000000000001</v>
      </c>
      <c r="P134" s="10">
        <f t="shared" si="70"/>
        <v>13.77153955553988</v>
      </c>
      <c r="Q134" s="42">
        <f t="shared" si="71"/>
        <v>5.3903339896151072E-2</v>
      </c>
      <c r="R134" s="4">
        <f t="shared" si="72"/>
        <v>88021.997433967117</v>
      </c>
      <c r="S134">
        <f t="shared" si="52"/>
        <v>8.8021997433967116E-5</v>
      </c>
      <c r="T134" s="41">
        <f t="shared" si="53"/>
        <v>9.1782374607916718E-5</v>
      </c>
      <c r="U134" s="42">
        <f t="shared" si="73"/>
        <v>0.15795987549512569</v>
      </c>
      <c r="V134" s="42">
        <f t="shared" si="74"/>
        <v>0.44575019633344343</v>
      </c>
      <c r="W134" s="42">
        <f t="shared" si="75"/>
        <v>0.4415330108714684</v>
      </c>
      <c r="X134" s="42">
        <f t="shared" si="76"/>
        <v>4.217185461975026E-3</v>
      </c>
      <c r="Y134" s="42">
        <f t="shared" si="59"/>
        <v>1.3811253817608475E-3</v>
      </c>
      <c r="Z134" s="10">
        <f t="shared" si="77"/>
        <v>15.047827948022148</v>
      </c>
      <c r="AA134">
        <f t="shared" si="54"/>
        <v>4965966.356706447</v>
      </c>
      <c r="AB134" s="10">
        <f t="shared" si="55"/>
        <v>4.9659663567064474</v>
      </c>
      <c r="AC134" s="10">
        <f t="shared" si="56"/>
        <v>4.8649663567064474</v>
      </c>
      <c r="AD134" s="3">
        <f t="shared" si="57"/>
        <v>705.57887696975297</v>
      </c>
      <c r="AI134" s="94">
        <f t="shared" si="58"/>
        <v>0.4415330108714684</v>
      </c>
    </row>
    <row r="135" spans="2:35">
      <c r="B135" s="39">
        <f t="shared" si="60"/>
        <v>107</v>
      </c>
      <c r="C135" s="42">
        <f t="shared" si="61"/>
        <v>0.71076738609038526</v>
      </c>
      <c r="D135" s="10">
        <f t="shared" si="62"/>
        <v>4.8292326139095199</v>
      </c>
      <c r="E135" s="40">
        <f t="shared" si="63"/>
        <v>21.421534772180959</v>
      </c>
      <c r="F135" s="40">
        <f t="shared" si="64"/>
        <v>31.08</v>
      </c>
      <c r="G135" s="3">
        <f t="shared" si="65"/>
        <v>220.71386091127769</v>
      </c>
      <c r="H135" s="3">
        <f t="shared" si="66"/>
        <v>81.256230789298584</v>
      </c>
      <c r="I135">
        <f t="shared" si="48"/>
        <v>8.1256230789298584E-5</v>
      </c>
      <c r="J135" s="4">
        <f t="shared" si="67"/>
        <v>360.40519939333694</v>
      </c>
      <c r="K135" s="40">
        <f t="shared" si="68"/>
        <v>4.4354161630741329</v>
      </c>
      <c r="L135" s="40">
        <f t="shared" si="49"/>
        <v>1.5645838369258671</v>
      </c>
      <c r="M135" s="10">
        <f t="shared" si="69"/>
        <v>4.9659663567064474</v>
      </c>
      <c r="N135" s="10">
        <f t="shared" si="50"/>
        <v>8.26</v>
      </c>
      <c r="O135" s="10">
        <f t="shared" si="51"/>
        <v>0.31900000000000001</v>
      </c>
      <c r="P135" s="10">
        <f t="shared" si="70"/>
        <v>13.772261203493935</v>
      </c>
      <c r="Q135" s="42">
        <f t="shared" si="71"/>
        <v>5.4385663441512438E-2</v>
      </c>
      <c r="R135" s="4">
        <f t="shared" si="72"/>
        <v>87902.172570038965</v>
      </c>
      <c r="S135">
        <f t="shared" si="52"/>
        <v>8.790217257003896E-5</v>
      </c>
      <c r="T135" s="41">
        <f t="shared" si="53"/>
        <v>9.1902199471844873E-5</v>
      </c>
      <c r="U135" s="42">
        <f t="shared" si="73"/>
        <v>0.15774484378556342</v>
      </c>
      <c r="V135" s="42">
        <f t="shared" si="74"/>
        <v>0.44582461633957382</v>
      </c>
      <c r="W135" s="42">
        <f t="shared" si="75"/>
        <v>0.44160705064653877</v>
      </c>
      <c r="X135" s="42">
        <f t="shared" si="76"/>
        <v>4.2175656930350525E-3</v>
      </c>
      <c r="Y135" s="42">
        <f t="shared" si="59"/>
        <v>1.3831596129987066E-3</v>
      </c>
      <c r="Z135" s="10">
        <f t="shared" si="77"/>
        <v>15.050342874791054</v>
      </c>
      <c r="AA135">
        <f t="shared" si="54"/>
        <v>4966779.4331293423</v>
      </c>
      <c r="AB135" s="10">
        <f t="shared" si="55"/>
        <v>4.966779433129342</v>
      </c>
      <c r="AC135" s="10">
        <f t="shared" si="56"/>
        <v>4.865779433129342</v>
      </c>
      <c r="AD135" s="3">
        <f t="shared" si="57"/>
        <v>705.696799583661</v>
      </c>
      <c r="AI135" s="94">
        <f t="shared" si="58"/>
        <v>0.44160705064653877</v>
      </c>
    </row>
    <row r="136" spans="2:35">
      <c r="B136" s="39">
        <f t="shared" si="60"/>
        <v>108</v>
      </c>
      <c r="C136" s="42">
        <f t="shared" si="61"/>
        <v>0.71741007194169726</v>
      </c>
      <c r="D136" s="10">
        <f t="shared" si="62"/>
        <v>4.822589928058207</v>
      </c>
      <c r="E136" s="40">
        <f t="shared" si="63"/>
        <v>21.434820143883584</v>
      </c>
      <c r="F136" s="40">
        <f t="shared" si="64"/>
        <v>31.08</v>
      </c>
      <c r="G136" s="3">
        <f t="shared" si="65"/>
        <v>220.6607194244672</v>
      </c>
      <c r="H136" s="3">
        <f t="shared" si="66"/>
        <v>81.256230789298584</v>
      </c>
      <c r="I136">
        <f t="shared" si="48"/>
        <v>8.1256230789298584E-5</v>
      </c>
      <c r="J136" s="4">
        <f t="shared" si="67"/>
        <v>360.85237573751658</v>
      </c>
      <c r="K136" s="40">
        <f t="shared" si="68"/>
        <v>4.440919449897013</v>
      </c>
      <c r="L136" s="40">
        <f t="shared" si="49"/>
        <v>1.559080550102987</v>
      </c>
      <c r="M136" s="10">
        <f t="shared" si="69"/>
        <v>4.966779433129342</v>
      </c>
      <c r="N136" s="10">
        <f t="shared" si="50"/>
        <v>8.26</v>
      </c>
      <c r="O136" s="10">
        <f t="shared" si="51"/>
        <v>0.31900000000000001</v>
      </c>
      <c r="P136" s="10">
        <f t="shared" si="70"/>
        <v>13.77298048570297</v>
      </c>
      <c r="Q136" s="42">
        <f t="shared" si="71"/>
        <v>5.4867961797936265E-2</v>
      </c>
      <c r="R136" s="4">
        <f t="shared" si="72"/>
        <v>87782.334026291108</v>
      </c>
      <c r="S136">
        <f t="shared" si="52"/>
        <v>8.7782334026291104E-5</v>
      </c>
      <c r="T136" s="41">
        <f t="shared" si="53"/>
        <v>9.2022038015592729E-5</v>
      </c>
      <c r="U136" s="42">
        <f t="shared" si="73"/>
        <v>0.15752978752688068</v>
      </c>
      <c r="V136" s="42">
        <f t="shared" si="74"/>
        <v>0.44589880064560949</v>
      </c>
      <c r="W136" s="42">
        <f t="shared" si="75"/>
        <v>0.44168085594234935</v>
      </c>
      <c r="X136" s="42">
        <f t="shared" si="76"/>
        <v>4.2179447032601458E-3</v>
      </c>
      <c r="Y136" s="42">
        <f t="shared" si="59"/>
        <v>1.3851939207965755E-3</v>
      </c>
      <c r="Z136" s="10">
        <f t="shared" si="77"/>
        <v>15.052849846271178</v>
      </c>
      <c r="AA136">
        <f t="shared" si="54"/>
        <v>4967589.9376054797</v>
      </c>
      <c r="AB136" s="10">
        <f t="shared" si="55"/>
        <v>4.9675899376054797</v>
      </c>
      <c r="AC136" s="10">
        <f t="shared" si="56"/>
        <v>4.8665899376054798</v>
      </c>
      <c r="AD136" s="3">
        <f t="shared" si="57"/>
        <v>705.8143491813604</v>
      </c>
      <c r="AI136" s="94">
        <f t="shared" si="58"/>
        <v>0.44168085594234935</v>
      </c>
    </row>
    <row r="137" spans="2:35">
      <c r="B137" s="39">
        <f t="shared" si="60"/>
        <v>109</v>
      </c>
      <c r="C137" s="42">
        <f t="shared" si="61"/>
        <v>0.72405275779300926</v>
      </c>
      <c r="D137" s="10">
        <f t="shared" si="62"/>
        <v>4.8159472422068941</v>
      </c>
      <c r="E137" s="40">
        <f t="shared" si="63"/>
        <v>21.44810551558621</v>
      </c>
      <c r="F137" s="40">
        <f t="shared" si="64"/>
        <v>31.08</v>
      </c>
      <c r="G137" s="3">
        <f t="shared" si="65"/>
        <v>220.60757793765671</v>
      </c>
      <c r="H137" s="3">
        <f t="shared" si="66"/>
        <v>81.256230789298584</v>
      </c>
      <c r="I137">
        <f t="shared" si="48"/>
        <v>8.1256230789298584E-5</v>
      </c>
      <c r="J137" s="4">
        <f t="shared" si="67"/>
        <v>361.29982932897775</v>
      </c>
      <c r="K137" s="40">
        <f t="shared" si="68"/>
        <v>4.4464261487324714</v>
      </c>
      <c r="L137" s="40">
        <f t="shared" si="49"/>
        <v>1.5535738512675286</v>
      </c>
      <c r="M137" s="10">
        <f t="shared" si="69"/>
        <v>4.9675899376054797</v>
      </c>
      <c r="N137" s="10">
        <f t="shared" si="50"/>
        <v>8.26</v>
      </c>
      <c r="O137" s="10">
        <f t="shared" si="51"/>
        <v>0.31900000000000001</v>
      </c>
      <c r="P137" s="10">
        <f t="shared" si="70"/>
        <v>13.773697412855496</v>
      </c>
      <c r="Q137" s="42">
        <f t="shared" si="71"/>
        <v>5.5350235050513466E-2</v>
      </c>
      <c r="R137" s="4">
        <f t="shared" si="72"/>
        <v>87662.481846923562</v>
      </c>
      <c r="S137">
        <f t="shared" si="52"/>
        <v>8.7662481846923556E-5</v>
      </c>
      <c r="T137" s="41">
        <f t="shared" si="53"/>
        <v>9.2141890194960278E-5</v>
      </c>
      <c r="U137" s="42">
        <f t="shared" si="73"/>
        <v>0.15731470679839665</v>
      </c>
      <c r="V137" s="42">
        <f t="shared" si="74"/>
        <v>0.44597274954534233</v>
      </c>
      <c r="W137" s="42">
        <f t="shared" si="75"/>
        <v>0.44175442777512253</v>
      </c>
      <c r="X137" s="42">
        <f t="shared" si="76"/>
        <v>4.2183217702198017E-3</v>
      </c>
      <c r="Y137" s="42">
        <f t="shared" si="59"/>
        <v>1.3872283045571166E-3</v>
      </c>
      <c r="Z137" s="10">
        <f t="shared" si="77"/>
        <v>15.055348893124741</v>
      </c>
      <c r="AA137">
        <f t="shared" si="54"/>
        <v>4968397.8800479639</v>
      </c>
      <c r="AB137" s="10">
        <f t="shared" si="55"/>
        <v>4.9683978800479638</v>
      </c>
      <c r="AC137" s="10">
        <f t="shared" si="56"/>
        <v>4.8673978800479638</v>
      </c>
      <c r="AD137" s="3">
        <f t="shared" si="57"/>
        <v>705.93152720057492</v>
      </c>
      <c r="AI137" s="94">
        <f t="shared" si="58"/>
        <v>0.44175442777512253</v>
      </c>
    </row>
    <row r="138" spans="2:35">
      <c r="B138" s="39">
        <f t="shared" si="60"/>
        <v>110</v>
      </c>
      <c r="C138" s="42">
        <f t="shared" si="61"/>
        <v>0.73069544364432126</v>
      </c>
      <c r="D138" s="10">
        <f t="shared" si="62"/>
        <v>4.8093045563555812</v>
      </c>
      <c r="E138" s="40">
        <f t="shared" si="63"/>
        <v>21.461390887288836</v>
      </c>
      <c r="F138" s="40">
        <f t="shared" si="64"/>
        <v>31.08</v>
      </c>
      <c r="G138" s="3">
        <f t="shared" si="65"/>
        <v>220.55443645084623</v>
      </c>
      <c r="H138" s="3">
        <f t="shared" si="66"/>
        <v>81.256230789298584</v>
      </c>
      <c r="I138">
        <f t="shared" si="48"/>
        <v>8.1256230789298584E-5</v>
      </c>
      <c r="J138" s="4">
        <f t="shared" si="67"/>
        <v>361.74756016772045</v>
      </c>
      <c r="K138" s="40">
        <f t="shared" si="68"/>
        <v>4.4519362595805081</v>
      </c>
      <c r="L138" s="40">
        <f t="shared" si="49"/>
        <v>1.5480637404194919</v>
      </c>
      <c r="M138" s="10">
        <f t="shared" si="69"/>
        <v>4.9683978800479638</v>
      </c>
      <c r="N138" s="10">
        <f t="shared" si="50"/>
        <v>8.26</v>
      </c>
      <c r="O138" s="10">
        <f t="shared" si="51"/>
        <v>0.31900000000000001</v>
      </c>
      <c r="P138" s="10">
        <f t="shared" si="70"/>
        <v>13.774411994498879</v>
      </c>
      <c r="Q138" s="42">
        <f t="shared" si="71"/>
        <v>5.5832483283974534E-2</v>
      </c>
      <c r="R138" s="4">
        <f t="shared" si="72"/>
        <v>87542.616076136357</v>
      </c>
      <c r="S138">
        <f t="shared" si="52"/>
        <v>8.7542616076136351E-5</v>
      </c>
      <c r="T138" s="41">
        <f t="shared" si="53"/>
        <v>9.2261755965747483E-5</v>
      </c>
      <c r="U138" s="42">
        <f t="shared" si="73"/>
        <v>0.15709960167943049</v>
      </c>
      <c r="V138" s="42">
        <f t="shared" si="74"/>
        <v>0.44604646329622927</v>
      </c>
      <c r="W138" s="42">
        <f t="shared" si="75"/>
        <v>0.44182776704469956</v>
      </c>
      <c r="X138" s="42">
        <f t="shared" si="76"/>
        <v>4.2186962515297077E-3</v>
      </c>
      <c r="Y138" s="42">
        <f t="shared" si="59"/>
        <v>1.3892627633719256E-3</v>
      </c>
      <c r="Z138" s="10">
        <f t="shared" si="77"/>
        <v>15.057840042494904</v>
      </c>
      <c r="AA138">
        <f t="shared" si="54"/>
        <v>4969203.2692321874</v>
      </c>
      <c r="AB138" s="10">
        <f t="shared" si="55"/>
        <v>4.969203269232187</v>
      </c>
      <c r="AC138" s="10">
        <f t="shared" si="56"/>
        <v>4.868203269232187</v>
      </c>
      <c r="AD138" s="3">
        <f t="shared" si="57"/>
        <v>706.0483349140228</v>
      </c>
      <c r="AI138" s="94">
        <f t="shared" si="58"/>
        <v>0.44182776704469956</v>
      </c>
    </row>
    <row r="139" spans="2:35">
      <c r="B139" s="39">
        <f t="shared" si="60"/>
        <v>111</v>
      </c>
      <c r="C139" s="42">
        <f t="shared" si="61"/>
        <v>0.73733812949563327</v>
      </c>
      <c r="D139" s="10">
        <f t="shared" si="62"/>
        <v>4.8026618705042683</v>
      </c>
      <c r="E139" s="40">
        <f t="shared" si="63"/>
        <v>21.474676258991462</v>
      </c>
      <c r="F139" s="40">
        <f t="shared" si="64"/>
        <v>31.08</v>
      </c>
      <c r="G139" s="3">
        <f t="shared" si="65"/>
        <v>220.50129496403574</v>
      </c>
      <c r="H139" s="3">
        <f t="shared" si="66"/>
        <v>81.256230789298584</v>
      </c>
      <c r="I139">
        <f t="shared" si="48"/>
        <v>8.1256230789298584E-5</v>
      </c>
      <c r="J139" s="4">
        <f t="shared" si="67"/>
        <v>362.19556825374474</v>
      </c>
      <c r="K139" s="40">
        <f t="shared" si="68"/>
        <v>4.4574497824411239</v>
      </c>
      <c r="L139" s="40">
        <f t="shared" si="49"/>
        <v>1.5425502175588761</v>
      </c>
      <c r="M139" s="10">
        <f t="shared" si="69"/>
        <v>4.969203269232187</v>
      </c>
      <c r="N139" s="10">
        <f t="shared" si="50"/>
        <v>8.26</v>
      </c>
      <c r="O139" s="10">
        <f t="shared" si="51"/>
        <v>0.31900000000000001</v>
      </c>
      <c r="P139" s="10">
        <f t="shared" si="70"/>
        <v>13.77512423916771</v>
      </c>
      <c r="Q139" s="42">
        <f t="shared" si="71"/>
        <v>5.6314706582725221E-2</v>
      </c>
      <c r="R139" s="4">
        <f t="shared" si="72"/>
        <v>87422.736758129453</v>
      </c>
      <c r="S139">
        <f t="shared" si="52"/>
        <v>8.7422736758129458E-5</v>
      </c>
      <c r="T139" s="41">
        <f t="shared" si="53"/>
        <v>9.2381635283754376E-5</v>
      </c>
      <c r="U139" s="42">
        <f t="shared" si="73"/>
        <v>0.15688447224930122</v>
      </c>
      <c r="V139" s="42">
        <f t="shared" si="74"/>
        <v>0.44611994212352862</v>
      </c>
      <c r="W139" s="42">
        <f t="shared" si="75"/>
        <v>0.44190087454764809</v>
      </c>
      <c r="X139" s="42">
        <f t="shared" si="76"/>
        <v>4.2190675758805307E-3</v>
      </c>
      <c r="Y139" s="42">
        <f t="shared" si="59"/>
        <v>1.3912972960560188E-3</v>
      </c>
      <c r="Z139" s="10">
        <f t="shared" si="77"/>
        <v>15.060323318401824</v>
      </c>
      <c r="AA139">
        <f t="shared" si="54"/>
        <v>4970006.1129238689</v>
      </c>
      <c r="AB139" s="10">
        <f t="shared" si="55"/>
        <v>4.9700061129238691</v>
      </c>
      <c r="AC139" s="10">
        <f t="shared" si="56"/>
        <v>4.8690061129238691</v>
      </c>
      <c r="AD139" s="3">
        <f t="shared" si="57"/>
        <v>706.16477344798682</v>
      </c>
      <c r="AI139" s="94">
        <f t="shared" si="58"/>
        <v>0.44190087454764809</v>
      </c>
    </row>
    <row r="140" spans="2:35">
      <c r="B140" s="39">
        <f t="shared" si="60"/>
        <v>112</v>
      </c>
      <c r="C140" s="42">
        <f t="shared" si="61"/>
        <v>0.74398081534694527</v>
      </c>
      <c r="D140" s="10">
        <f t="shared" si="62"/>
        <v>4.7960191846529554</v>
      </c>
      <c r="E140" s="40">
        <f t="shared" si="63"/>
        <v>21.487961630694087</v>
      </c>
      <c r="F140" s="40">
        <f t="shared" si="64"/>
        <v>31.08</v>
      </c>
      <c r="G140" s="3">
        <f t="shared" si="65"/>
        <v>220.44815347722525</v>
      </c>
      <c r="H140" s="3">
        <f t="shared" si="66"/>
        <v>81.256230789298584</v>
      </c>
      <c r="I140">
        <f t="shared" si="48"/>
        <v>8.1256230789298584E-5</v>
      </c>
      <c r="J140" s="4">
        <f t="shared" si="67"/>
        <v>362.64385358705061</v>
      </c>
      <c r="K140" s="40">
        <f t="shared" si="68"/>
        <v>4.4629667173143188</v>
      </c>
      <c r="L140" s="40">
        <f t="shared" si="49"/>
        <v>1.5370332826856812</v>
      </c>
      <c r="M140" s="10">
        <f t="shared" si="69"/>
        <v>4.9700061129238691</v>
      </c>
      <c r="N140" s="10">
        <f t="shared" si="50"/>
        <v>8.26</v>
      </c>
      <c r="O140" s="10">
        <f t="shared" si="51"/>
        <v>0.31900000000000001</v>
      </c>
      <c r="P140" s="10">
        <f t="shared" si="70"/>
        <v>13.775834154497606</v>
      </c>
      <c r="Q140" s="42">
        <f t="shared" si="71"/>
        <v>5.6796905030878232E-2</v>
      </c>
      <c r="R140" s="4">
        <f t="shared" si="72"/>
        <v>87302.843937102851</v>
      </c>
      <c r="S140">
        <f t="shared" si="52"/>
        <v>8.7302843937102844E-5</v>
      </c>
      <c r="T140" s="41">
        <f t="shared" si="53"/>
        <v>9.250152810478099E-5</v>
      </c>
      <c r="U140" s="42">
        <f t="shared" si="73"/>
        <v>0.15666931858732791</v>
      </c>
      <c r="V140" s="42">
        <f t="shared" si="74"/>
        <v>0.44619318622326382</v>
      </c>
      <c r="W140" s="42">
        <f t="shared" si="75"/>
        <v>0.44197375098888492</v>
      </c>
      <c r="X140" s="42">
        <f t="shared" si="76"/>
        <v>4.2194352343788988E-3</v>
      </c>
      <c r="Y140" s="42">
        <f t="shared" si="59"/>
        <v>1.3933319011781185E-3</v>
      </c>
      <c r="Z140" s="10">
        <f t="shared" si="77"/>
        <v>15.062798742090223</v>
      </c>
      <c r="AA140">
        <f t="shared" si="54"/>
        <v>4970806.4179914342</v>
      </c>
      <c r="AB140" s="10">
        <f t="shared" si="55"/>
        <v>4.970806417991434</v>
      </c>
      <c r="AC140" s="10">
        <f t="shared" si="56"/>
        <v>4.869806417991434</v>
      </c>
      <c r="AD140" s="3">
        <f t="shared" si="57"/>
        <v>706.28084379861264</v>
      </c>
      <c r="AI140" s="94">
        <f t="shared" si="58"/>
        <v>0.44197375098888492</v>
      </c>
    </row>
    <row r="141" spans="2:35">
      <c r="B141" s="39">
        <f t="shared" si="60"/>
        <v>113</v>
      </c>
      <c r="C141" s="42">
        <f t="shared" si="61"/>
        <v>0.75062350119825727</v>
      </c>
      <c r="D141" s="10">
        <f t="shared" si="62"/>
        <v>4.7893764988016425</v>
      </c>
      <c r="E141" s="40">
        <f t="shared" si="63"/>
        <v>21.501247002396713</v>
      </c>
      <c r="F141" s="40">
        <f t="shared" si="64"/>
        <v>31.08</v>
      </c>
      <c r="G141" s="3">
        <f t="shared" si="65"/>
        <v>220.39501199041476</v>
      </c>
      <c r="H141" s="3">
        <f t="shared" si="66"/>
        <v>81.256230789298584</v>
      </c>
      <c r="I141">
        <f t="shared" si="48"/>
        <v>8.1256230789298584E-5</v>
      </c>
      <c r="J141" s="4">
        <f t="shared" si="67"/>
        <v>363.09241616763802</v>
      </c>
      <c r="K141" s="40">
        <f t="shared" si="68"/>
        <v>4.4684870642000929</v>
      </c>
      <c r="L141" s="40">
        <f t="shared" si="49"/>
        <v>1.5315129357999071</v>
      </c>
      <c r="M141" s="10">
        <f t="shared" si="69"/>
        <v>4.970806417991434</v>
      </c>
      <c r="N141" s="10">
        <f t="shared" si="50"/>
        <v>8.26</v>
      </c>
      <c r="O141" s="10">
        <f t="shared" si="51"/>
        <v>0.31900000000000001</v>
      </c>
      <c r="P141" s="10">
        <f t="shared" si="70"/>
        <v>13.776541747325069</v>
      </c>
      <c r="Q141" s="42">
        <f t="shared" si="71"/>
        <v>5.7279078712281391E-2</v>
      </c>
      <c r="R141" s="4">
        <f t="shared" si="72"/>
        <v>87182.937657256567</v>
      </c>
      <c r="S141">
        <f t="shared" si="52"/>
        <v>8.7182937657256574E-5</v>
      </c>
      <c r="T141" s="41">
        <f t="shared" si="53"/>
        <v>9.262143438462726E-5</v>
      </c>
      <c r="U141" s="42">
        <f t="shared" si="73"/>
        <v>0.15645414077282976</v>
      </c>
      <c r="V141" s="42">
        <f t="shared" si="74"/>
        <v>0.44626619576573368</v>
      </c>
      <c r="W141" s="42">
        <f t="shared" si="75"/>
        <v>0.44204639699187687</v>
      </c>
      <c r="X141" s="42">
        <f t="shared" si="76"/>
        <v>4.2197987738568088E-3</v>
      </c>
      <c r="Y141" s="42">
        <f t="shared" si="59"/>
        <v>1.3953665770876896E-3</v>
      </c>
      <c r="Z141" s="10">
        <f t="shared" si="77"/>
        <v>15.065266332339203</v>
      </c>
      <c r="AA141">
        <f t="shared" si="54"/>
        <v>4971604.1905061714</v>
      </c>
      <c r="AB141" s="10">
        <f t="shared" si="55"/>
        <v>4.9716041905061719</v>
      </c>
      <c r="AC141" s="10">
        <f t="shared" si="56"/>
        <v>4.8706041905061719</v>
      </c>
      <c r="AD141" s="3">
        <f t="shared" si="57"/>
        <v>706.39654684643529</v>
      </c>
      <c r="AI141" s="94">
        <f t="shared" si="58"/>
        <v>0.44204639699187687</v>
      </c>
    </row>
    <row r="142" spans="2:35">
      <c r="B142" s="39">
        <f t="shared" si="60"/>
        <v>114</v>
      </c>
      <c r="C142" s="42">
        <f t="shared" si="61"/>
        <v>0.75726618704956927</v>
      </c>
      <c r="D142" s="10">
        <f t="shared" si="62"/>
        <v>4.7827338129503296</v>
      </c>
      <c r="E142" s="40">
        <f t="shared" si="63"/>
        <v>21.514532374099339</v>
      </c>
      <c r="F142" s="40">
        <f t="shared" si="64"/>
        <v>31.08</v>
      </c>
      <c r="G142" s="3">
        <f t="shared" si="65"/>
        <v>220.34187050360427</v>
      </c>
      <c r="H142" s="3">
        <f t="shared" si="66"/>
        <v>81.256230789298584</v>
      </c>
      <c r="I142">
        <f t="shared" si="48"/>
        <v>8.1256230789298584E-5</v>
      </c>
      <c r="J142" s="4">
        <f t="shared" si="67"/>
        <v>363.54125599550696</v>
      </c>
      <c r="K142" s="40">
        <f t="shared" si="68"/>
        <v>4.4740108230984452</v>
      </c>
      <c r="L142" s="40">
        <f t="shared" si="49"/>
        <v>1.5259891769015548</v>
      </c>
      <c r="M142" s="10">
        <f t="shared" si="69"/>
        <v>4.9716041905061719</v>
      </c>
      <c r="N142" s="10">
        <f t="shared" si="50"/>
        <v>8.26</v>
      </c>
      <c r="O142" s="10">
        <f t="shared" si="51"/>
        <v>0.31900000000000001</v>
      </c>
      <c r="P142" s="10">
        <f t="shared" si="70"/>
        <v>13.777247023776525</v>
      </c>
      <c r="Q142" s="42">
        <f t="shared" si="71"/>
        <v>5.7761227710542672E-2</v>
      </c>
      <c r="R142" s="4">
        <f t="shared" si="72"/>
        <v>87063.017962790604</v>
      </c>
      <c r="S142">
        <f t="shared" si="52"/>
        <v>8.7063017962790601E-5</v>
      </c>
      <c r="T142" s="41">
        <f t="shared" si="53"/>
        <v>9.2741354079093233E-5</v>
      </c>
      <c r="U142" s="42">
        <f t="shared" si="73"/>
        <v>0.15623893888512586</v>
      </c>
      <c r="V142" s="42">
        <f t="shared" si="74"/>
        <v>0.44633897089896835</v>
      </c>
      <c r="W142" s="42">
        <f t="shared" si="75"/>
        <v>0.44211881310773232</v>
      </c>
      <c r="X142" s="42">
        <f t="shared" si="76"/>
        <v>4.2201577912360233E-3</v>
      </c>
      <c r="Y142" s="42">
        <f t="shared" si="59"/>
        <v>1.3974013219392387E-3</v>
      </c>
      <c r="Z142" s="10">
        <f t="shared" si="77"/>
        <v>15.067726105740094</v>
      </c>
      <c r="AA142">
        <f t="shared" si="54"/>
        <v>4972399.4358320609</v>
      </c>
      <c r="AB142" s="10">
        <f t="shared" si="55"/>
        <v>4.9723994358320605</v>
      </c>
      <c r="AC142" s="10">
        <f t="shared" si="56"/>
        <v>4.8713994358320605</v>
      </c>
      <c r="AD142" s="3">
        <f t="shared" si="57"/>
        <v>706.51188336940697</v>
      </c>
      <c r="AI142" s="94">
        <f t="shared" si="58"/>
        <v>0.44211881310773232</v>
      </c>
    </row>
    <row r="143" spans="2:35">
      <c r="B143" s="39">
        <f t="shared" si="60"/>
        <v>115</v>
      </c>
      <c r="C143" s="42">
        <f t="shared" si="61"/>
        <v>0.76390887290088128</v>
      </c>
      <c r="D143" s="10">
        <f t="shared" si="62"/>
        <v>4.7760911270990167</v>
      </c>
      <c r="E143" s="40">
        <f t="shared" si="63"/>
        <v>21.527817745801965</v>
      </c>
      <c r="F143" s="40">
        <f t="shared" si="64"/>
        <v>31.08</v>
      </c>
      <c r="G143" s="3">
        <f t="shared" si="65"/>
        <v>220.28872901679378</v>
      </c>
      <c r="H143" s="3">
        <f t="shared" si="66"/>
        <v>81.256230789298584</v>
      </c>
      <c r="I143">
        <f t="shared" si="48"/>
        <v>8.1256230789298584E-5</v>
      </c>
      <c r="J143" s="4">
        <f t="shared" si="67"/>
        <v>363.99037307065748</v>
      </c>
      <c r="K143" s="40">
        <f t="shared" si="68"/>
        <v>4.4795379940093758</v>
      </c>
      <c r="L143" s="40">
        <f t="shared" si="49"/>
        <v>1.5204620059906242</v>
      </c>
      <c r="M143" s="10">
        <f t="shared" si="69"/>
        <v>4.9723994358320605</v>
      </c>
      <c r="N143" s="10">
        <f t="shared" si="50"/>
        <v>8.26</v>
      </c>
      <c r="O143" s="10">
        <f t="shared" si="51"/>
        <v>0.31900000000000001</v>
      </c>
      <c r="P143" s="10">
        <f t="shared" si="70"/>
        <v>13.777949989348098</v>
      </c>
      <c r="Q143" s="42">
        <f t="shared" si="71"/>
        <v>5.8243352109052432E-2</v>
      </c>
      <c r="R143" s="4">
        <f t="shared" si="72"/>
        <v>86943.084897904933</v>
      </c>
      <c r="S143">
        <f t="shared" si="52"/>
        <v>8.6943084897904934E-5</v>
      </c>
      <c r="T143" s="41">
        <f t="shared" si="53"/>
        <v>9.28612871439789E-5</v>
      </c>
      <c r="U143" s="42">
        <f t="shared" si="73"/>
        <v>0.15602371300353529</v>
      </c>
      <c r="V143" s="42">
        <f t="shared" si="74"/>
        <v>0.44641151175054411</v>
      </c>
      <c r="W143" s="42">
        <f t="shared" si="75"/>
        <v>0.44219099982335519</v>
      </c>
      <c r="X143" s="42">
        <f t="shared" si="76"/>
        <v>4.2205119271889191E-3</v>
      </c>
      <c r="Y143" s="42">
        <f t="shared" si="59"/>
        <v>1.3994361337135379E-3</v>
      </c>
      <c r="Z143" s="10">
        <f t="shared" si="77"/>
        <v>15.070178076939104</v>
      </c>
      <c r="AA143">
        <f t="shared" si="54"/>
        <v>4973192.1587042259</v>
      </c>
      <c r="AB143" s="10">
        <f t="shared" si="55"/>
        <v>4.9731921587042258</v>
      </c>
      <c r="AC143" s="10">
        <f t="shared" si="56"/>
        <v>4.8721921587042258</v>
      </c>
      <c r="AD143" s="3">
        <f t="shared" si="57"/>
        <v>706.62685405427499</v>
      </c>
      <c r="AI143" s="94">
        <f t="shared" si="58"/>
        <v>0.44219099982335519</v>
      </c>
    </row>
    <row r="144" spans="2:35">
      <c r="B144" s="39">
        <f t="shared" si="60"/>
        <v>116</v>
      </c>
      <c r="C144" s="42">
        <f t="shared" si="61"/>
        <v>0.77055155875219328</v>
      </c>
      <c r="D144" s="10">
        <f t="shared" si="62"/>
        <v>4.7694484412477038</v>
      </c>
      <c r="E144" s="40">
        <f t="shared" si="63"/>
        <v>21.541103117504591</v>
      </c>
      <c r="F144" s="40">
        <f t="shared" si="64"/>
        <v>31.08</v>
      </c>
      <c r="G144" s="3">
        <f t="shared" si="65"/>
        <v>220.23558752998329</v>
      </c>
      <c r="H144" s="3">
        <f t="shared" si="66"/>
        <v>81.256230789298584</v>
      </c>
      <c r="I144">
        <f t="shared" si="48"/>
        <v>8.1256230789298584E-5</v>
      </c>
      <c r="J144" s="4">
        <f t="shared" si="67"/>
        <v>364.4397673930896</v>
      </c>
      <c r="K144" s="40">
        <f t="shared" si="68"/>
        <v>4.4850685769328864</v>
      </c>
      <c r="L144" s="40">
        <f t="shared" si="49"/>
        <v>1.5149314230671136</v>
      </c>
      <c r="M144" s="10">
        <f t="shared" si="69"/>
        <v>4.9731921587042258</v>
      </c>
      <c r="N144" s="10">
        <f t="shared" si="50"/>
        <v>8.26</v>
      </c>
      <c r="O144" s="10">
        <f t="shared" si="51"/>
        <v>0.31900000000000001</v>
      </c>
      <c r="P144" s="10">
        <f t="shared" si="70"/>
        <v>13.778650648975336</v>
      </c>
      <c r="Q144" s="42">
        <f t="shared" si="71"/>
        <v>5.8725451991003208E-2</v>
      </c>
      <c r="R144" s="4">
        <f t="shared" si="72"/>
        <v>86823.138506799572</v>
      </c>
      <c r="S144">
        <f t="shared" si="52"/>
        <v>8.6823138506799568E-5</v>
      </c>
      <c r="T144" s="41">
        <f t="shared" si="53"/>
        <v>9.2981233535084266E-5</v>
      </c>
      <c r="U144" s="42">
        <f t="shared" si="73"/>
        <v>0.15580846320737715</v>
      </c>
      <c r="V144" s="42">
        <f t="shared" si="74"/>
        <v>0.44648381843021862</v>
      </c>
      <c r="W144" s="42">
        <f t="shared" si="75"/>
        <v>0.44226295756856637</v>
      </c>
      <c r="X144" s="42">
        <f t="shared" si="76"/>
        <v>4.2208608616522425E-3</v>
      </c>
      <c r="Y144" s="42">
        <f t="shared" si="59"/>
        <v>1.4014710102366709E-3</v>
      </c>
      <c r="Z144" s="10">
        <f t="shared" si="77"/>
        <v>15.072622258854622</v>
      </c>
      <c r="AA144">
        <f t="shared" si="54"/>
        <v>4973982.3632991835</v>
      </c>
      <c r="AB144" s="10">
        <f t="shared" si="55"/>
        <v>4.973982363299184</v>
      </c>
      <c r="AC144" s="10">
        <f t="shared" si="56"/>
        <v>4.872982363299184</v>
      </c>
      <c r="AD144" s="3">
        <f t="shared" si="57"/>
        <v>706.74145950677064</v>
      </c>
      <c r="AI144" s="94">
        <f t="shared" si="58"/>
        <v>0.44226295756856637</v>
      </c>
    </row>
    <row r="145" spans="2:35">
      <c r="B145" s="39">
        <f t="shared" si="60"/>
        <v>117</v>
      </c>
      <c r="C145" s="42">
        <f t="shared" si="61"/>
        <v>0.77719424460350528</v>
      </c>
      <c r="D145" s="10">
        <f t="shared" si="62"/>
        <v>4.7628057553963909</v>
      </c>
      <c r="E145" s="40">
        <f t="shared" si="63"/>
        <v>21.554388489207216</v>
      </c>
      <c r="F145" s="40">
        <f t="shared" si="64"/>
        <v>31.08</v>
      </c>
      <c r="G145" s="3">
        <f t="shared" si="65"/>
        <v>220.1824460431728</v>
      </c>
      <c r="H145" s="3">
        <f t="shared" si="66"/>
        <v>81.256230789298584</v>
      </c>
      <c r="I145">
        <f t="shared" si="48"/>
        <v>8.1256230789298584E-5</v>
      </c>
      <c r="J145" s="4">
        <f t="shared" si="67"/>
        <v>364.88943896280324</v>
      </c>
      <c r="K145" s="40">
        <f t="shared" si="68"/>
        <v>4.4906025718689753</v>
      </c>
      <c r="L145" s="40">
        <f t="shared" si="49"/>
        <v>1.5093974281310247</v>
      </c>
      <c r="M145" s="10">
        <f t="shared" si="69"/>
        <v>4.973982363299184</v>
      </c>
      <c r="N145" s="10">
        <f t="shared" si="50"/>
        <v>8.26</v>
      </c>
      <c r="O145" s="10">
        <f t="shared" si="51"/>
        <v>0.31900000000000001</v>
      </c>
      <c r="P145" s="10">
        <f t="shared" si="70"/>
        <v>13.7793490070956</v>
      </c>
      <c r="Q145" s="42">
        <f t="shared" si="71"/>
        <v>5.9207527439407298E-2</v>
      </c>
      <c r="R145" s="4">
        <f t="shared" si="72"/>
        <v>86703.178833674523</v>
      </c>
      <c r="S145">
        <f t="shared" si="52"/>
        <v>8.6703178833674526E-5</v>
      </c>
      <c r="T145" s="41">
        <f t="shared" si="53"/>
        <v>9.3101193208209307E-5</v>
      </c>
      <c r="U145" s="42">
        <f t="shared" si="73"/>
        <v>0.1555931895759706</v>
      </c>
      <c r="V145" s="42">
        <f t="shared" si="74"/>
        <v>0.44655589103161536</v>
      </c>
      <c r="W145" s="42">
        <f t="shared" si="75"/>
        <v>0.44233468672248033</v>
      </c>
      <c r="X145" s="42">
        <f t="shared" si="76"/>
        <v>4.2212043091350293E-3</v>
      </c>
      <c r="Y145" s="42">
        <f t="shared" si="59"/>
        <v>1.4035059491968025E-3</v>
      </c>
      <c r="Z145" s="10">
        <f t="shared" si="77"/>
        <v>15.075058662868424</v>
      </c>
      <c r="AA145">
        <f t="shared" si="54"/>
        <v>4974770.0532966657</v>
      </c>
      <c r="AB145" s="10">
        <f t="shared" si="55"/>
        <v>4.9747700532966652</v>
      </c>
      <c r="AC145" s="10">
        <f t="shared" si="56"/>
        <v>4.8737700532966652</v>
      </c>
      <c r="AD145" s="3">
        <f t="shared" si="57"/>
        <v>706.85570026057519</v>
      </c>
      <c r="AI145" s="94">
        <f t="shared" si="58"/>
        <v>0.44233468672248033</v>
      </c>
    </row>
    <row r="146" spans="2:35">
      <c r="B146" s="39">
        <f t="shared" si="60"/>
        <v>118</v>
      </c>
      <c r="C146" s="42">
        <f t="shared" si="61"/>
        <v>0.78383693045481728</v>
      </c>
      <c r="D146" s="10">
        <f t="shared" si="62"/>
        <v>4.7561630695450781</v>
      </c>
      <c r="E146" s="40">
        <f t="shared" si="63"/>
        <v>21.567673860909842</v>
      </c>
      <c r="F146" s="40">
        <f t="shared" si="64"/>
        <v>31.08</v>
      </c>
      <c r="G146" s="3">
        <f t="shared" si="65"/>
        <v>220.12930455636231</v>
      </c>
      <c r="H146" s="3">
        <f t="shared" si="66"/>
        <v>81.256230789298584</v>
      </c>
      <c r="I146">
        <f t="shared" si="48"/>
        <v>8.1256230789298584E-5</v>
      </c>
      <c r="J146" s="4">
        <f t="shared" si="67"/>
        <v>365.33938777979847</v>
      </c>
      <c r="K146" s="40">
        <f t="shared" si="68"/>
        <v>4.4961399788176433</v>
      </c>
      <c r="L146" s="40">
        <f t="shared" si="49"/>
        <v>1.5038600211823567</v>
      </c>
      <c r="M146" s="10">
        <f t="shared" si="69"/>
        <v>4.9747700532966652</v>
      </c>
      <c r="N146" s="10">
        <f t="shared" si="50"/>
        <v>8.26</v>
      </c>
      <c r="O146" s="10">
        <f t="shared" si="51"/>
        <v>0.31900000000000001</v>
      </c>
      <c r="P146" s="10">
        <f t="shared" si="70"/>
        <v>13.780045067702977</v>
      </c>
      <c r="Q146" s="42">
        <f t="shared" si="71"/>
        <v>5.9689578537112403E-2</v>
      </c>
      <c r="R146" s="4">
        <f t="shared" si="72"/>
        <v>86583.205922729758</v>
      </c>
      <c r="S146">
        <f t="shared" si="52"/>
        <v>8.6583205922729763E-5</v>
      </c>
      <c r="T146" s="41">
        <f t="shared" si="53"/>
        <v>9.3221166119154071E-5</v>
      </c>
      <c r="U146" s="42">
        <f t="shared" si="73"/>
        <v>0.15537789218863465</v>
      </c>
      <c r="V146" s="42">
        <f t="shared" si="74"/>
        <v>0.44662772963469632</v>
      </c>
      <c r="W146" s="42">
        <f t="shared" si="75"/>
        <v>0.44240618761911699</v>
      </c>
      <c r="X146" s="42">
        <f t="shared" si="76"/>
        <v>4.2215420155793382E-3</v>
      </c>
      <c r="Y146" s="42">
        <f t="shared" si="59"/>
        <v>1.4055409481594208E-3</v>
      </c>
      <c r="Z146" s="10">
        <f t="shared" si="77"/>
        <v>15.077487298998994</v>
      </c>
      <c r="AA146">
        <f t="shared" si="54"/>
        <v>4975555.231935651</v>
      </c>
      <c r="AB146" s="10">
        <f t="shared" si="55"/>
        <v>4.9755552319356511</v>
      </c>
      <c r="AC146" s="10">
        <f t="shared" si="56"/>
        <v>4.8745552319356511</v>
      </c>
      <c r="AD146" s="3">
        <f t="shared" si="57"/>
        <v>706.96957678544618</v>
      </c>
      <c r="AI146" s="94">
        <f t="shared" si="58"/>
        <v>0.44240618761911699</v>
      </c>
    </row>
    <row r="147" spans="2:35">
      <c r="B147" s="39">
        <f t="shared" si="60"/>
        <v>119</v>
      </c>
      <c r="C147" s="42">
        <f t="shared" si="61"/>
        <v>0.79047961630612928</v>
      </c>
      <c r="D147" s="10">
        <f t="shared" si="62"/>
        <v>4.7495203836937652</v>
      </c>
      <c r="E147" s="40">
        <f t="shared" si="63"/>
        <v>21.580959232612468</v>
      </c>
      <c r="F147" s="40">
        <f t="shared" si="64"/>
        <v>31.08</v>
      </c>
      <c r="G147" s="3">
        <f t="shared" si="65"/>
        <v>220.07616306955182</v>
      </c>
      <c r="H147" s="3">
        <f t="shared" si="66"/>
        <v>81.256230789298584</v>
      </c>
      <c r="I147">
        <f t="shared" si="48"/>
        <v>8.1256230789298584E-5</v>
      </c>
      <c r="J147" s="4">
        <f t="shared" si="67"/>
        <v>365.78961384407518</v>
      </c>
      <c r="K147" s="40">
        <f t="shared" si="68"/>
        <v>4.5016807977788886</v>
      </c>
      <c r="L147" s="40">
        <f t="shared" si="49"/>
        <v>1.4983192022211114</v>
      </c>
      <c r="M147" s="10">
        <f t="shared" si="69"/>
        <v>4.9755552319356511</v>
      </c>
      <c r="N147" s="10">
        <f t="shared" si="50"/>
        <v>8.26</v>
      </c>
      <c r="O147" s="10">
        <f t="shared" si="51"/>
        <v>0.31900000000000001</v>
      </c>
      <c r="P147" s="10">
        <f t="shared" si="70"/>
        <v>13.780738834398049</v>
      </c>
      <c r="Q147" s="42">
        <f t="shared" si="71"/>
        <v>6.017160536681556E-2</v>
      </c>
      <c r="R147" s="4">
        <f t="shared" si="72"/>
        <v>86463.219818165322</v>
      </c>
      <c r="S147">
        <f t="shared" si="52"/>
        <v>8.6463219818165327E-5</v>
      </c>
      <c r="T147" s="41">
        <f t="shared" si="53"/>
        <v>9.3341152223718507E-5</v>
      </c>
      <c r="U147" s="42">
        <f t="shared" si="73"/>
        <v>0.15516257112468856</v>
      </c>
      <c r="V147" s="42">
        <f t="shared" si="74"/>
        <v>0.44669933430611858</v>
      </c>
      <c r="W147" s="42">
        <f t="shared" si="75"/>
        <v>0.44247746055248788</v>
      </c>
      <c r="X147" s="42">
        <f t="shared" si="76"/>
        <v>4.2218737536307005E-3</v>
      </c>
      <c r="Y147" s="42">
        <f t="shared" si="59"/>
        <v>1.4075760045802904E-3</v>
      </c>
      <c r="Z147" s="10">
        <f t="shared" si="77"/>
        <v>15.079908176049036</v>
      </c>
      <c r="AA147">
        <f t="shared" si="54"/>
        <v>4976337.9020620547</v>
      </c>
      <c r="AB147" s="10">
        <f t="shared" si="55"/>
        <v>4.9763379020620544</v>
      </c>
      <c r="AC147" s="10">
        <f t="shared" si="56"/>
        <v>4.8753379020620544</v>
      </c>
      <c r="AD147" s="3">
        <f t="shared" si="57"/>
        <v>707.08308949413413</v>
      </c>
      <c r="AI147" s="94">
        <f t="shared" si="58"/>
        <v>0.44247746055248788</v>
      </c>
    </row>
    <row r="148" spans="2:35">
      <c r="B148" s="39">
        <f t="shared" si="60"/>
        <v>120</v>
      </c>
      <c r="C148" s="42">
        <f t="shared" si="61"/>
        <v>0.79712230215744129</v>
      </c>
      <c r="D148" s="10">
        <f t="shared" si="62"/>
        <v>4.7428776978424523</v>
      </c>
      <c r="E148" s="40">
        <f t="shared" si="63"/>
        <v>21.594244604315094</v>
      </c>
      <c r="F148" s="40">
        <f t="shared" si="64"/>
        <v>31.08</v>
      </c>
      <c r="G148" s="3">
        <f t="shared" si="65"/>
        <v>220.02302158274134</v>
      </c>
      <c r="H148" s="3">
        <f t="shared" si="66"/>
        <v>81.256230789298584</v>
      </c>
      <c r="I148">
        <f t="shared" si="48"/>
        <v>8.1256230789298584E-5</v>
      </c>
      <c r="J148" s="4">
        <f t="shared" si="67"/>
        <v>366.24011715563353</v>
      </c>
      <c r="K148" s="40">
        <f t="shared" si="68"/>
        <v>4.5072250287527149</v>
      </c>
      <c r="L148" s="40">
        <f t="shared" si="49"/>
        <v>1.4927749712472851</v>
      </c>
      <c r="M148" s="10">
        <f t="shared" si="69"/>
        <v>4.9763379020620544</v>
      </c>
      <c r="N148" s="10">
        <f t="shared" si="50"/>
        <v>8.26</v>
      </c>
      <c r="O148" s="10">
        <f t="shared" si="51"/>
        <v>0.31900000000000001</v>
      </c>
      <c r="P148" s="10">
        <f t="shared" si="70"/>
        <v>13.78143031043024</v>
      </c>
      <c r="Q148" s="42">
        <f t="shared" si="71"/>
        <v>6.0653608011075541E-2</v>
      </c>
      <c r="R148" s="4">
        <f t="shared" si="72"/>
        <v>86343.22056418116</v>
      </c>
      <c r="S148">
        <f t="shared" si="52"/>
        <v>8.634322056418116E-5</v>
      </c>
      <c r="T148" s="41">
        <f t="shared" si="53"/>
        <v>9.3461151477702674E-5</v>
      </c>
      <c r="U148" s="42">
        <f t="shared" si="73"/>
        <v>0.15494722646345127</v>
      </c>
      <c r="V148" s="42">
        <f t="shared" si="74"/>
        <v>0.44677070510248384</v>
      </c>
      <c r="W148" s="42">
        <f t="shared" si="75"/>
        <v>0.44254850578092486</v>
      </c>
      <c r="X148" s="42">
        <f t="shared" si="76"/>
        <v>4.2221993215589837E-3</v>
      </c>
      <c r="Y148" s="42">
        <f t="shared" si="59"/>
        <v>1.4096111158178745E-3</v>
      </c>
      <c r="Z148" s="10">
        <f t="shared" si="77"/>
        <v>15.082321301746104</v>
      </c>
      <c r="AA148">
        <f t="shared" si="54"/>
        <v>4977118.066174197</v>
      </c>
      <c r="AB148" s="10">
        <f t="shared" si="55"/>
        <v>4.9771180661741967</v>
      </c>
      <c r="AC148" s="10">
        <f t="shared" si="56"/>
        <v>4.8761180661741967</v>
      </c>
      <c r="AD148" s="3">
        <f t="shared" si="57"/>
        <v>707.19623874897707</v>
      </c>
      <c r="AI148" s="94">
        <f t="shared" si="58"/>
        <v>0.44254850578092486</v>
      </c>
    </row>
    <row r="149" spans="2:35">
      <c r="B149" s="39">
        <f t="shared" si="60"/>
        <v>121</v>
      </c>
      <c r="C149" s="42">
        <f t="shared" si="61"/>
        <v>0.80376498800875329</v>
      </c>
      <c r="D149" s="10">
        <f t="shared" si="62"/>
        <v>4.7362350119911394</v>
      </c>
      <c r="E149" s="40">
        <f t="shared" si="63"/>
        <v>21.60752997601772</v>
      </c>
      <c r="F149" s="40">
        <f t="shared" si="64"/>
        <v>31.08</v>
      </c>
      <c r="G149" s="3">
        <f t="shared" si="65"/>
        <v>219.96988009593085</v>
      </c>
      <c r="H149" s="3">
        <f t="shared" si="66"/>
        <v>81.256230789298584</v>
      </c>
      <c r="I149">
        <f t="shared" si="48"/>
        <v>8.1256230789298584E-5</v>
      </c>
      <c r="J149" s="4">
        <f t="shared" si="67"/>
        <v>366.69089771447346</v>
      </c>
      <c r="K149" s="40">
        <f t="shared" si="68"/>
        <v>4.5127726717391194</v>
      </c>
      <c r="L149" s="40">
        <f t="shared" si="49"/>
        <v>1.4872273282608806</v>
      </c>
      <c r="M149" s="10">
        <f t="shared" si="69"/>
        <v>4.9771180661741967</v>
      </c>
      <c r="N149" s="10">
        <f t="shared" si="50"/>
        <v>8.26</v>
      </c>
      <c r="O149" s="10">
        <f t="shared" si="51"/>
        <v>0.31900000000000001</v>
      </c>
      <c r="P149" s="10">
        <f t="shared" si="70"/>
        <v>13.782119498738174</v>
      </c>
      <c r="Q149" s="42">
        <f t="shared" si="71"/>
        <v>6.1135586552323873E-2</v>
      </c>
      <c r="R149" s="4">
        <f t="shared" si="72"/>
        <v>86223.208204977287</v>
      </c>
      <c r="S149">
        <f t="shared" si="52"/>
        <v>8.6223208204977284E-5</v>
      </c>
      <c r="T149" s="41">
        <f t="shared" si="53"/>
        <v>9.358116383690655E-5</v>
      </c>
      <c r="U149" s="42">
        <f t="shared" si="73"/>
        <v>0.15473185828424199</v>
      </c>
      <c r="V149" s="42">
        <f t="shared" si="74"/>
        <v>0.44684184206930244</v>
      </c>
      <c r="W149" s="42">
        <f t="shared" si="75"/>
        <v>0.44261932353120764</v>
      </c>
      <c r="X149" s="42">
        <f t="shared" si="76"/>
        <v>4.2225185380947994E-3</v>
      </c>
      <c r="Y149" s="42">
        <f t="shared" si="59"/>
        <v>1.4116462791432594E-3</v>
      </c>
      <c r="Z149" s="10">
        <f t="shared" si="77"/>
        <v>15.084726682855532</v>
      </c>
      <c r="AA149">
        <f t="shared" si="54"/>
        <v>4977895.7264593123</v>
      </c>
      <c r="AB149" s="10">
        <f t="shared" si="55"/>
        <v>4.9778957264593124</v>
      </c>
      <c r="AC149" s="10">
        <f t="shared" si="56"/>
        <v>4.8768957264593125</v>
      </c>
      <c r="AD149" s="3">
        <f t="shared" si="57"/>
        <v>707.30902486719538</v>
      </c>
      <c r="AI149" s="94">
        <f t="shared" si="58"/>
        <v>0.44261932353120764</v>
      </c>
    </row>
    <row r="150" spans="2:35">
      <c r="B150" s="39">
        <f t="shared" si="60"/>
        <v>122</v>
      </c>
      <c r="C150" s="42">
        <f t="shared" si="61"/>
        <v>0.81040767386006529</v>
      </c>
      <c r="D150" s="10">
        <f t="shared" si="62"/>
        <v>4.7295923261398265</v>
      </c>
      <c r="E150" s="40">
        <f t="shared" si="63"/>
        <v>21.620815347720345</v>
      </c>
      <c r="F150" s="40">
        <f t="shared" si="64"/>
        <v>31.08</v>
      </c>
      <c r="G150" s="3">
        <f t="shared" si="65"/>
        <v>219.91673860912036</v>
      </c>
      <c r="H150" s="3">
        <f t="shared" si="66"/>
        <v>81.256230789298584</v>
      </c>
      <c r="I150">
        <f t="shared" si="48"/>
        <v>8.1256230789298584E-5</v>
      </c>
      <c r="J150" s="4">
        <f t="shared" si="67"/>
        <v>367.14195552059493</v>
      </c>
      <c r="K150" s="40">
        <f t="shared" si="68"/>
        <v>4.5183237267381022</v>
      </c>
      <c r="L150" s="40">
        <f t="shared" si="49"/>
        <v>1.4816762732618978</v>
      </c>
      <c r="M150" s="10">
        <f t="shared" si="69"/>
        <v>4.9778957264593124</v>
      </c>
      <c r="N150" s="10">
        <f t="shared" si="50"/>
        <v>8.26</v>
      </c>
      <c r="O150" s="10">
        <f t="shared" si="51"/>
        <v>0.31900000000000001</v>
      </c>
      <c r="P150" s="10">
        <f t="shared" si="70"/>
        <v>13.782806401982111</v>
      </c>
      <c r="Q150" s="42">
        <f t="shared" si="71"/>
        <v>6.161754107287469E-2</v>
      </c>
      <c r="R150" s="4">
        <f t="shared" si="72"/>
        <v>86103.182784753721</v>
      </c>
      <c r="S150">
        <f t="shared" si="52"/>
        <v>8.6103182784753722E-5</v>
      </c>
      <c r="T150" s="41">
        <f t="shared" si="53"/>
        <v>9.3701189257130112E-5</v>
      </c>
      <c r="U150" s="42">
        <f t="shared" si="73"/>
        <v>0.15451646666637978</v>
      </c>
      <c r="V150" s="42">
        <f t="shared" si="74"/>
        <v>0.44691274524419383</v>
      </c>
      <c r="W150" s="42">
        <f t="shared" si="75"/>
        <v>0.44268991400187785</v>
      </c>
      <c r="X150" s="42">
        <f t="shared" si="76"/>
        <v>4.2228312423159831E-3</v>
      </c>
      <c r="Y150" s="42">
        <f t="shared" si="59"/>
        <v>1.4136814917500168E-3</v>
      </c>
      <c r="Z150" s="10">
        <f t="shared" si="77"/>
        <v>15.087124325291782</v>
      </c>
      <c r="AA150">
        <f t="shared" si="54"/>
        <v>4978670.8848295473</v>
      </c>
      <c r="AB150" s="10">
        <f t="shared" si="55"/>
        <v>4.9786708848295476</v>
      </c>
      <c r="AC150" s="10">
        <f t="shared" si="56"/>
        <v>4.8776708848295476</v>
      </c>
      <c r="AD150" s="3">
        <f t="shared" si="57"/>
        <v>707.42144812611275</v>
      </c>
      <c r="AI150" s="94">
        <f t="shared" si="58"/>
        <v>0.44268991400187785</v>
      </c>
    </row>
    <row r="151" spans="2:35">
      <c r="B151" s="39">
        <f t="shared" si="60"/>
        <v>123</v>
      </c>
      <c r="C151" s="42">
        <f t="shared" si="61"/>
        <v>0.81705035971137729</v>
      </c>
      <c r="D151" s="10">
        <f t="shared" si="62"/>
        <v>4.7229496402885136</v>
      </c>
      <c r="E151" s="40">
        <f t="shared" si="63"/>
        <v>21.634100719422971</v>
      </c>
      <c r="F151" s="40">
        <f t="shared" si="64"/>
        <v>31.08</v>
      </c>
      <c r="G151" s="3">
        <f t="shared" si="65"/>
        <v>219.86359712230987</v>
      </c>
      <c r="H151" s="3">
        <f t="shared" si="66"/>
        <v>81.256230789298584</v>
      </c>
      <c r="I151">
        <f t="shared" si="48"/>
        <v>8.1256230789298584E-5</v>
      </c>
      <c r="J151" s="4">
        <f t="shared" si="67"/>
        <v>367.59329057399793</v>
      </c>
      <c r="K151" s="40">
        <f t="shared" si="68"/>
        <v>4.5238781937496642</v>
      </c>
      <c r="L151" s="40">
        <f t="shared" si="49"/>
        <v>1.4761218062503358</v>
      </c>
      <c r="M151" s="10">
        <f t="shared" si="69"/>
        <v>4.9786708848295476</v>
      </c>
      <c r="N151" s="10">
        <f t="shared" si="50"/>
        <v>8.26</v>
      </c>
      <c r="O151" s="10">
        <f t="shared" si="51"/>
        <v>0.31900000000000001</v>
      </c>
      <c r="P151" s="10">
        <f t="shared" si="70"/>
        <v>13.783491022575889</v>
      </c>
      <c r="Q151" s="42">
        <f t="shared" si="71"/>
        <v>6.2099471654933472E-2</v>
      </c>
      <c r="R151" s="4">
        <f t="shared" si="72"/>
        <v>85983.144347710448</v>
      </c>
      <c r="S151">
        <f t="shared" si="52"/>
        <v>8.5983144347710454E-5</v>
      </c>
      <c r="T151" s="41">
        <f t="shared" si="53"/>
        <v>9.382122769417338E-5</v>
      </c>
      <c r="U151" s="42">
        <f t="shared" si="73"/>
        <v>0.15430105168918379</v>
      </c>
      <c r="V151" s="42">
        <f t="shared" si="74"/>
        <v>0.44698341465641522</v>
      </c>
      <c r="W151" s="42">
        <f t="shared" si="75"/>
        <v>0.44276027736650658</v>
      </c>
      <c r="X151" s="42">
        <f t="shared" si="76"/>
        <v>4.2231372899086406E-3</v>
      </c>
      <c r="Y151" s="42">
        <f t="shared" si="59"/>
        <v>1.4157167507622566E-3</v>
      </c>
      <c r="Z151" s="10">
        <f t="shared" si="77"/>
        <v>15.08951423420968</v>
      </c>
      <c r="AA151">
        <f t="shared" si="54"/>
        <v>4979443.5429514591</v>
      </c>
      <c r="AB151" s="10">
        <f t="shared" si="55"/>
        <v>4.9794435429514587</v>
      </c>
      <c r="AC151" s="10">
        <f t="shared" si="56"/>
        <v>4.8784435429514588</v>
      </c>
      <c r="AD151" s="3">
        <f t="shared" si="57"/>
        <v>707.53350876743423</v>
      </c>
      <c r="AI151" s="94">
        <f t="shared" si="58"/>
        <v>0.44276027736650658</v>
      </c>
    </row>
    <row r="152" spans="2:35">
      <c r="B152" s="39">
        <f t="shared" si="60"/>
        <v>124</v>
      </c>
      <c r="C152" s="42">
        <f t="shared" si="61"/>
        <v>0.8236930455626893</v>
      </c>
      <c r="D152" s="10">
        <f t="shared" si="62"/>
        <v>4.7163069544372007</v>
      </c>
      <c r="E152" s="40">
        <f t="shared" si="63"/>
        <v>21.647386091125597</v>
      </c>
      <c r="F152" s="40">
        <f t="shared" si="64"/>
        <v>31.08</v>
      </c>
      <c r="G152" s="3">
        <f t="shared" si="65"/>
        <v>219.81045563549938</v>
      </c>
      <c r="H152" s="3">
        <f t="shared" si="66"/>
        <v>81.256230789298584</v>
      </c>
      <c r="I152">
        <f t="shared" si="48"/>
        <v>8.1256230789298584E-5</v>
      </c>
      <c r="J152" s="4">
        <f t="shared" si="67"/>
        <v>368.04490287468252</v>
      </c>
      <c r="K152" s="40">
        <f t="shared" si="68"/>
        <v>4.5294360727738052</v>
      </c>
      <c r="L152" s="40">
        <f t="shared" si="49"/>
        <v>1.4705639272261948</v>
      </c>
      <c r="M152" s="10">
        <f t="shared" si="69"/>
        <v>4.9794435429514587</v>
      </c>
      <c r="N152" s="10">
        <f t="shared" si="50"/>
        <v>8.26</v>
      </c>
      <c r="O152" s="10">
        <f t="shared" si="51"/>
        <v>0.31900000000000001</v>
      </c>
      <c r="P152" s="10">
        <f t="shared" si="70"/>
        <v>13.784173362713105</v>
      </c>
      <c r="Q152" s="42">
        <f t="shared" si="71"/>
        <v>6.2581378380604874E-2</v>
      </c>
      <c r="R152" s="4">
        <f t="shared" si="72"/>
        <v>85863.09293804747</v>
      </c>
      <c r="S152">
        <f t="shared" si="52"/>
        <v>8.5863092938047464E-5</v>
      </c>
      <c r="T152" s="41">
        <f t="shared" si="53"/>
        <v>9.394127910383637E-5</v>
      </c>
      <c r="U152" s="42">
        <f t="shared" si="73"/>
        <v>0.15408561343197305</v>
      </c>
      <c r="V152" s="42">
        <f t="shared" si="74"/>
        <v>0.44705385032878359</v>
      </c>
      <c r="W152" s="42">
        <f t="shared" si="75"/>
        <v>0.442830413776372</v>
      </c>
      <c r="X152" s="42">
        <f t="shared" si="76"/>
        <v>4.2234365524115858E-3</v>
      </c>
      <c r="Y152" s="42">
        <f t="shared" si="59"/>
        <v>1.4177520532423103E-3</v>
      </c>
      <c r="Z152" s="10">
        <f t="shared" si="77"/>
        <v>15.091896414091003</v>
      </c>
      <c r="AA152">
        <f t="shared" si="54"/>
        <v>4980213.7022740059</v>
      </c>
      <c r="AB152" s="10">
        <f t="shared" si="55"/>
        <v>4.9802137022740061</v>
      </c>
      <c r="AC152" s="10">
        <f t="shared" si="56"/>
        <v>4.8792137022740061</v>
      </c>
      <c r="AD152" s="3">
        <f t="shared" si="57"/>
        <v>707.64520700130618</v>
      </c>
      <c r="AI152" s="94">
        <f t="shared" si="58"/>
        <v>0.442830413776372</v>
      </c>
    </row>
    <row r="153" spans="2:35">
      <c r="B153" s="39">
        <f t="shared" si="60"/>
        <v>125</v>
      </c>
      <c r="C153" s="42">
        <f t="shared" si="61"/>
        <v>0.8303357314140013</v>
      </c>
      <c r="D153" s="10">
        <f t="shared" si="62"/>
        <v>4.7096642685858878</v>
      </c>
      <c r="E153" s="40">
        <f t="shared" si="63"/>
        <v>21.660671462828223</v>
      </c>
      <c r="F153" s="40">
        <f t="shared" si="64"/>
        <v>31.08</v>
      </c>
      <c r="G153" s="3">
        <f t="shared" si="65"/>
        <v>219.75731414868889</v>
      </c>
      <c r="H153" s="3">
        <f t="shared" si="66"/>
        <v>81.256230789298584</v>
      </c>
      <c r="I153">
        <f t="shared" si="48"/>
        <v>8.1256230789298584E-5</v>
      </c>
      <c r="J153" s="4">
        <f t="shared" si="67"/>
        <v>368.49679242264864</v>
      </c>
      <c r="K153" s="40">
        <f t="shared" si="68"/>
        <v>4.5349973638105245</v>
      </c>
      <c r="L153" s="40">
        <f t="shared" si="49"/>
        <v>1.4650026361894755</v>
      </c>
      <c r="M153" s="10">
        <f t="shared" si="69"/>
        <v>4.9802137022740061</v>
      </c>
      <c r="N153" s="10">
        <f t="shared" si="50"/>
        <v>8.26</v>
      </c>
      <c r="O153" s="10">
        <f t="shared" si="51"/>
        <v>0.31900000000000001</v>
      </c>
      <c r="P153" s="10">
        <f t="shared" si="70"/>
        <v>13.784853424391969</v>
      </c>
      <c r="Q153" s="42">
        <f t="shared" si="71"/>
        <v>6.3063261331899656E-2</v>
      </c>
      <c r="R153" s="4">
        <f t="shared" si="72"/>
        <v>85743.028599964789</v>
      </c>
      <c r="S153">
        <f t="shared" si="52"/>
        <v>8.5743028599964786E-5</v>
      </c>
      <c r="T153" s="41">
        <f t="shared" si="53"/>
        <v>9.4061343441919048E-5</v>
      </c>
      <c r="U153" s="42">
        <f t="shared" si="73"/>
        <v>0.15387015197406681</v>
      </c>
      <c r="V153" s="42">
        <f t="shared" si="74"/>
        <v>0.44712405227724422</v>
      </c>
      <c r="W153" s="42">
        <f t="shared" si="75"/>
        <v>0.44290032336300034</v>
      </c>
      <c r="X153" s="42">
        <f t="shared" si="76"/>
        <v>4.223728914243885E-3</v>
      </c>
      <c r="Y153" s="42">
        <f t="shared" si="59"/>
        <v>1.4197873961969752E-3</v>
      </c>
      <c r="Z153" s="10">
        <f t="shared" si="77"/>
        <v>15.094270868815146</v>
      </c>
      <c r="AA153">
        <f t="shared" si="54"/>
        <v>4980981.3640513988</v>
      </c>
      <c r="AB153" s="10">
        <f t="shared" si="55"/>
        <v>4.9809813640513987</v>
      </c>
      <c r="AC153" s="10">
        <f t="shared" si="56"/>
        <v>4.8799813640513987</v>
      </c>
      <c r="AD153" s="3">
        <f t="shared" si="57"/>
        <v>707.75654300963004</v>
      </c>
      <c r="AI153" s="94">
        <f t="shared" si="58"/>
        <v>0.44290032336300034</v>
      </c>
    </row>
    <row r="154" spans="2:35">
      <c r="B154" s="39">
        <f t="shared" si="60"/>
        <v>126</v>
      </c>
      <c r="C154" s="42">
        <f t="shared" si="61"/>
        <v>0.8369784172653133</v>
      </c>
      <c r="D154" s="10">
        <f t="shared" si="62"/>
        <v>4.7030215827345749</v>
      </c>
      <c r="E154" s="40">
        <f t="shared" si="63"/>
        <v>21.673956834530848</v>
      </c>
      <c r="F154" s="40">
        <f t="shared" si="64"/>
        <v>31.08</v>
      </c>
      <c r="G154" s="3">
        <f t="shared" si="65"/>
        <v>219.7041726618784</v>
      </c>
      <c r="H154" s="3">
        <f t="shared" si="66"/>
        <v>81.256230789298584</v>
      </c>
      <c r="I154">
        <f t="shared" si="48"/>
        <v>8.1256230789298584E-5</v>
      </c>
      <c r="J154" s="4">
        <f t="shared" si="67"/>
        <v>368.94895921789634</v>
      </c>
      <c r="K154" s="40">
        <f t="shared" si="68"/>
        <v>4.540562066859823</v>
      </c>
      <c r="L154" s="40">
        <f t="shared" si="49"/>
        <v>1.459437933140177</v>
      </c>
      <c r="M154" s="10">
        <f t="shared" si="69"/>
        <v>4.9809813640513987</v>
      </c>
      <c r="N154" s="10">
        <f t="shared" si="50"/>
        <v>8.26</v>
      </c>
      <c r="O154" s="10">
        <f t="shared" si="51"/>
        <v>0.31900000000000001</v>
      </c>
      <c r="P154" s="10">
        <f t="shared" si="70"/>
        <v>13.785531209435575</v>
      </c>
      <c r="Q154" s="42">
        <f t="shared" si="71"/>
        <v>6.3545120590740939E-2</v>
      </c>
      <c r="R154" s="4">
        <f t="shared" si="72"/>
        <v>85622.951377662379</v>
      </c>
      <c r="S154">
        <f t="shared" si="52"/>
        <v>8.5622951377662375E-5</v>
      </c>
      <c r="T154" s="41">
        <f t="shared" si="53"/>
        <v>9.4181420664221459E-5</v>
      </c>
      <c r="U154" s="42">
        <f t="shared" si="73"/>
        <v>0.15365466739478401</v>
      </c>
      <c r="V154" s="42">
        <f t="shared" si="74"/>
        <v>0.44719402051332485</v>
      </c>
      <c r="W154" s="42">
        <f t="shared" si="75"/>
        <v>0.44297000624023974</v>
      </c>
      <c r="X154" s="42">
        <f t="shared" si="76"/>
        <v>4.2240142730851082E-3</v>
      </c>
      <c r="Y154" s="42">
        <f t="shared" si="59"/>
        <v>1.421822776583939E-3</v>
      </c>
      <c r="Z154" s="10">
        <f t="shared" si="77"/>
        <v>15.096637601731087</v>
      </c>
      <c r="AA154">
        <f t="shared" si="54"/>
        <v>4981746.5293663619</v>
      </c>
      <c r="AB154" s="10">
        <f t="shared" si="55"/>
        <v>4.9817465293663616</v>
      </c>
      <c r="AC154" s="10">
        <f t="shared" si="56"/>
        <v>4.8807465293663617</v>
      </c>
      <c r="AD154" s="3">
        <f t="shared" si="57"/>
        <v>707.86751694943609</v>
      </c>
      <c r="AI154" s="94">
        <f t="shared" si="58"/>
        <v>0.44297000624023974</v>
      </c>
    </row>
    <row r="155" spans="2:35">
      <c r="B155" s="39">
        <f t="shared" si="60"/>
        <v>127</v>
      </c>
      <c r="C155" s="42">
        <f t="shared" si="61"/>
        <v>0.8436211031166253</v>
      </c>
      <c r="D155" s="10">
        <f t="shared" si="62"/>
        <v>4.696378896883262</v>
      </c>
      <c r="E155" s="40">
        <f t="shared" si="63"/>
        <v>21.687242206233474</v>
      </c>
      <c r="F155" s="40">
        <f t="shared" si="64"/>
        <v>31.08</v>
      </c>
      <c r="G155" s="3">
        <f t="shared" si="65"/>
        <v>219.65103117506791</v>
      </c>
      <c r="H155" s="3">
        <f t="shared" si="66"/>
        <v>81.256230789298584</v>
      </c>
      <c r="I155">
        <f t="shared" si="48"/>
        <v>8.1256230789298584E-5</v>
      </c>
      <c r="J155" s="4">
        <f t="shared" si="67"/>
        <v>369.40140326042564</v>
      </c>
      <c r="K155" s="40">
        <f t="shared" si="68"/>
        <v>4.5461301819217006</v>
      </c>
      <c r="L155" s="40">
        <f t="shared" si="49"/>
        <v>1.4538698180782994</v>
      </c>
      <c r="M155" s="10">
        <f t="shared" si="69"/>
        <v>4.9817465293663616</v>
      </c>
      <c r="N155" s="10">
        <f t="shared" si="50"/>
        <v>8.26</v>
      </c>
      <c r="O155" s="10">
        <f t="shared" si="51"/>
        <v>0.31900000000000001</v>
      </c>
      <c r="P155" s="10">
        <f t="shared" si="70"/>
        <v>13.786206719512535</v>
      </c>
      <c r="Q155" s="42">
        <f t="shared" si="71"/>
        <v>6.4026956238969701E-2</v>
      </c>
      <c r="R155" s="4">
        <f t="shared" si="72"/>
        <v>85502.861315340255</v>
      </c>
      <c r="S155">
        <f t="shared" si="52"/>
        <v>8.5502861315340254E-5</v>
      </c>
      <c r="T155" s="41">
        <f t="shared" si="53"/>
        <v>9.430151072654358E-5</v>
      </c>
      <c r="U155" s="42">
        <f t="shared" si="73"/>
        <v>0.15343915977344386</v>
      </c>
      <c r="V155" s="42">
        <f t="shared" si="74"/>
        <v>0.44726375504253396</v>
      </c>
      <c r="W155" s="42">
        <f t="shared" si="75"/>
        <v>0.44303946250637249</v>
      </c>
      <c r="X155" s="42">
        <f t="shared" si="76"/>
        <v>4.2242925361614669E-3</v>
      </c>
      <c r="Y155" s="42">
        <f t="shared" si="59"/>
        <v>1.4238581913164083E-3</v>
      </c>
      <c r="Z155" s="10">
        <f t="shared" si="77"/>
        <v>15.098996615709858</v>
      </c>
      <c r="AA155">
        <f t="shared" si="54"/>
        <v>4982509.1991471015</v>
      </c>
      <c r="AB155" s="10">
        <f t="shared" si="55"/>
        <v>4.9825091991471018</v>
      </c>
      <c r="AC155" s="10">
        <f t="shared" si="56"/>
        <v>4.8815091991471018</v>
      </c>
      <c r="AD155" s="3">
        <f t="shared" si="57"/>
        <v>707.97812895534469</v>
      </c>
      <c r="AI155" s="94">
        <f t="shared" si="58"/>
        <v>0.44303946250637249</v>
      </c>
    </row>
    <row r="156" spans="2:35">
      <c r="B156" s="39">
        <f t="shared" si="60"/>
        <v>128</v>
      </c>
      <c r="C156" s="42">
        <f t="shared" si="61"/>
        <v>0.85026378896793731</v>
      </c>
      <c r="D156" s="10">
        <f t="shared" si="62"/>
        <v>4.6897362110319492</v>
      </c>
      <c r="E156" s="40">
        <f t="shared" si="63"/>
        <v>21.7005275779361</v>
      </c>
      <c r="F156" s="40">
        <f t="shared" si="64"/>
        <v>31.08</v>
      </c>
      <c r="G156" s="3">
        <f t="shared" si="65"/>
        <v>219.59788968825742</v>
      </c>
      <c r="H156" s="3">
        <f t="shared" si="66"/>
        <v>81.256230789298584</v>
      </c>
      <c r="I156">
        <f t="shared" ref="I156:I219" si="78">H156/1000^2</f>
        <v>8.1256230789298584E-5</v>
      </c>
      <c r="J156" s="4">
        <f t="shared" si="67"/>
        <v>369.85412455023646</v>
      </c>
      <c r="K156" s="40">
        <f t="shared" si="68"/>
        <v>4.5517017089961564</v>
      </c>
      <c r="L156" s="40">
        <f t="shared" ref="L156:L219" si="79">IF((gstar-K156)&lt;0,0,gstar-K156)</f>
        <v>1.4482982910038436</v>
      </c>
      <c r="M156" s="10">
        <f t="shared" si="69"/>
        <v>4.9825091991471018</v>
      </c>
      <c r="N156" s="10">
        <f t="shared" ref="N156:N219" si="80">IF(fueltype=1,VLOOKUP($M156,kndxbn_,4),IF(fueltype=2,VLOOKUP($M156,knsobn_,4),IF(fueltype=3,VLOOKUP($M156,knsbcobn_,4),IF(fueltype=4,VLOOKUP($M156,knsubn_,4),IF(fueltype=5,am_1,IF(fueltype=6,am_0,IF(fueltype=7,am_3,am_4)))))))</f>
        <v>8.26</v>
      </c>
      <c r="O156" s="10">
        <f t="shared" ref="O156:O219" si="81">IF(fueltype=1,VLOOKUP($M156,kndxbn_,5),IF(fueltype=2,VLOOKUP($M156,knsobn_,5),IF(fueltype=3,VLOOKUP($M156,knsbcobn_,5),IF(fueltype=4,VLOOKUP($M156,knsubn_,5),IF(fueltype=5,nm_1,IF(fueltype=6,an_0,IF(fueltype=7,nm_3,nm_4)))))))</f>
        <v>0.31900000000000001</v>
      </c>
      <c r="P156" s="10">
        <f t="shared" si="70"/>
        <v>13.786879956152053</v>
      </c>
      <c r="Q156" s="42">
        <f t="shared" si="71"/>
        <v>6.4508768358349761E-2</v>
      </c>
      <c r="R156" s="4">
        <f t="shared" si="72"/>
        <v>85382.758457198419</v>
      </c>
      <c r="S156">
        <f t="shared" ref="S156:S219" si="82">R156/1000^3</f>
        <v>8.5382758457198417E-5</v>
      </c>
      <c r="T156" s="41">
        <f t="shared" ref="T156:T219" si="83">(vc/1000^3-S156)</f>
        <v>9.4421613584685417E-5</v>
      </c>
      <c r="U156" s="42">
        <f t="shared" si="73"/>
        <v>0.15322362918936538</v>
      </c>
      <c r="V156" s="42">
        <f t="shared" si="74"/>
        <v>0.4473332558670205</v>
      </c>
      <c r="W156" s="42">
        <f t="shared" si="75"/>
        <v>0.4431086922456543</v>
      </c>
      <c r="X156" s="42">
        <f t="shared" si="76"/>
        <v>4.2245636213661952E-3</v>
      </c>
      <c r="Y156" s="42">
        <f t="shared" si="59"/>
        <v>1.4258936372682747E-3</v>
      </c>
      <c r="Z156" s="10">
        <f t="shared" si="77"/>
        <v>15.101347913202211</v>
      </c>
      <c r="AA156">
        <f t="shared" ref="AA156:AA219" si="84">Z156*rat*to+patm*1000000</f>
        <v>4983269.3741859458</v>
      </c>
      <c r="AB156" s="10">
        <f t="shared" ref="AB156:AB219" si="85">AA156/1000000</f>
        <v>4.9832693741859462</v>
      </c>
      <c r="AC156" s="10">
        <f t="shared" ref="AC156:AC219" si="86">AB156-patm</f>
        <v>4.8822693741859462</v>
      </c>
      <c r="AD156" s="3">
        <f t="shared" ref="AD156:AD219" si="87">AC156*1000000/6895</f>
        <v>708.0883791422691</v>
      </c>
      <c r="AI156" s="94">
        <f t="shared" si="58"/>
        <v>0.4431086922456543</v>
      </c>
    </row>
    <row r="157" spans="2:35">
      <c r="B157" s="39">
        <f t="shared" si="60"/>
        <v>129</v>
      </c>
      <c r="C157" s="42">
        <f t="shared" si="61"/>
        <v>0.85690647481924931</v>
      </c>
      <c r="D157" s="10">
        <f t="shared" si="62"/>
        <v>4.6830935251806363</v>
      </c>
      <c r="E157" s="40">
        <f t="shared" si="63"/>
        <v>21.713812949638726</v>
      </c>
      <c r="F157" s="40">
        <f t="shared" si="64"/>
        <v>31.08</v>
      </c>
      <c r="G157" s="3">
        <f t="shared" si="65"/>
        <v>219.54474820144694</v>
      </c>
      <c r="H157" s="3">
        <f t="shared" si="66"/>
        <v>81.256230789298584</v>
      </c>
      <c r="I157">
        <f t="shared" si="78"/>
        <v>8.1256230789298584E-5</v>
      </c>
      <c r="J157" s="4">
        <f t="shared" si="67"/>
        <v>370.30712308732882</v>
      </c>
      <c r="K157" s="40">
        <f t="shared" si="68"/>
        <v>4.5572766480831906</v>
      </c>
      <c r="L157" s="40">
        <f t="shared" si="79"/>
        <v>1.4427233519168094</v>
      </c>
      <c r="M157" s="10">
        <f t="shared" si="69"/>
        <v>4.9832693741859462</v>
      </c>
      <c r="N157" s="10">
        <f t="shared" si="80"/>
        <v>8.26</v>
      </c>
      <c r="O157" s="10">
        <f t="shared" si="81"/>
        <v>0.31900000000000001</v>
      </c>
      <c r="P157" s="10">
        <f t="shared" si="70"/>
        <v>13.78755092076044</v>
      </c>
      <c r="Q157" s="42">
        <f t="shared" si="71"/>
        <v>6.4990557030572174E-2</v>
      </c>
      <c r="R157" s="4">
        <f t="shared" si="72"/>
        <v>85262.642847436873</v>
      </c>
      <c r="S157">
        <f t="shared" si="82"/>
        <v>8.5262642847436874E-5</v>
      </c>
      <c r="T157" s="41">
        <f t="shared" si="83"/>
        <v>9.4541729194446959E-5</v>
      </c>
      <c r="U157" s="42">
        <f t="shared" si="73"/>
        <v>0.15300807572186781</v>
      </c>
      <c r="V157" s="42">
        <f t="shared" si="74"/>
        <v>0.4474025229843247</v>
      </c>
      <c r="W157" s="42">
        <f t="shared" si="75"/>
        <v>0.44317769553000724</v>
      </c>
      <c r="X157" s="42">
        <f t="shared" si="76"/>
        <v>4.2248274543174591E-3</v>
      </c>
      <c r="Y157" s="42">
        <f t="shared" si="59"/>
        <v>1.4279291112778592E-3</v>
      </c>
      <c r="Z157" s="10">
        <f t="shared" si="77"/>
        <v>15.10369149628089</v>
      </c>
      <c r="AA157">
        <f t="shared" si="84"/>
        <v>4984027.0551530132</v>
      </c>
      <c r="AB157" s="10">
        <f t="shared" si="85"/>
        <v>4.984027055153013</v>
      </c>
      <c r="AC157" s="10">
        <f t="shared" si="86"/>
        <v>4.8830270551530131</v>
      </c>
      <c r="AD157" s="3">
        <f t="shared" si="87"/>
        <v>708.19826760739863</v>
      </c>
      <c r="AI157" s="94">
        <f t="shared" ref="AI157:AI220" si="88">($M157-patm)*1000000*$I157/SQRT(rat*to)*SQRT(k)*(2/(k+1))^((k+1)/2/(k-1))</f>
        <v>0.44317769553000724</v>
      </c>
    </row>
    <row r="158" spans="2:35">
      <c r="B158" s="39">
        <f t="shared" si="60"/>
        <v>130</v>
      </c>
      <c r="C158" s="42">
        <f t="shared" si="61"/>
        <v>0.86354916067056131</v>
      </c>
      <c r="D158" s="10">
        <f t="shared" si="62"/>
        <v>4.6764508393293234</v>
      </c>
      <c r="E158" s="40">
        <f t="shared" si="63"/>
        <v>21.727098321341352</v>
      </c>
      <c r="F158" s="40">
        <f t="shared" si="64"/>
        <v>31.08</v>
      </c>
      <c r="G158" s="3">
        <f t="shared" si="65"/>
        <v>219.49160671463645</v>
      </c>
      <c r="H158" s="3">
        <f t="shared" si="66"/>
        <v>81.256230789298584</v>
      </c>
      <c r="I158">
        <f t="shared" si="78"/>
        <v>8.1256230789298584E-5</v>
      </c>
      <c r="J158" s="4">
        <f t="shared" si="67"/>
        <v>370.76039887170276</v>
      </c>
      <c r="K158" s="40">
        <f t="shared" si="68"/>
        <v>4.5628549991828047</v>
      </c>
      <c r="L158" s="40">
        <f t="shared" si="79"/>
        <v>1.4371450008171953</v>
      </c>
      <c r="M158" s="10">
        <f t="shared" si="69"/>
        <v>4.984027055153013</v>
      </c>
      <c r="N158" s="10">
        <f t="shared" si="80"/>
        <v>8.26</v>
      </c>
      <c r="O158" s="10">
        <f t="shared" si="81"/>
        <v>0.31900000000000001</v>
      </c>
      <c r="P158" s="10">
        <f t="shared" si="70"/>
        <v>13.788219614633256</v>
      </c>
      <c r="Q158" s="42">
        <f t="shared" si="71"/>
        <v>6.5472322337259206E-2</v>
      </c>
      <c r="R158" s="4">
        <f t="shared" si="72"/>
        <v>85142.514530255605</v>
      </c>
      <c r="S158">
        <f t="shared" si="82"/>
        <v>8.5142514530255607E-5</v>
      </c>
      <c r="T158" s="41">
        <f t="shared" si="83"/>
        <v>9.4661857511628227E-5</v>
      </c>
      <c r="U158" s="42">
        <f t="shared" si="73"/>
        <v>0.15279249945027018</v>
      </c>
      <c r="V158" s="42">
        <f t="shared" si="74"/>
        <v>0.44747155638932851</v>
      </c>
      <c r="W158" s="42">
        <f t="shared" si="75"/>
        <v>0.44324647242025972</v>
      </c>
      <c r="X158" s="42">
        <f t="shared" si="76"/>
        <v>4.225083969068788E-3</v>
      </c>
      <c r="Y158" s="42">
        <f t="shared" ref="Y158:Y221" si="89">IF((X158*(Q158-Q157)+Y157)&lt;0,0,X158*(Q158-Q157)+Y157)</f>
        <v>1.4299646101519961E-3</v>
      </c>
      <c r="Z158" s="10">
        <f t="shared" si="77"/>
        <v>15.106027366686099</v>
      </c>
      <c r="AA158">
        <f t="shared" si="84"/>
        <v>4984782.2426109118</v>
      </c>
      <c r="AB158" s="10">
        <f t="shared" si="85"/>
        <v>4.9847822426109119</v>
      </c>
      <c r="AC158" s="10">
        <f t="shared" si="86"/>
        <v>4.8837822426109119</v>
      </c>
      <c r="AD158" s="3">
        <f t="shared" si="87"/>
        <v>708.3077944323295</v>
      </c>
      <c r="AI158" s="94">
        <f t="shared" si="88"/>
        <v>0.44324647242025972</v>
      </c>
    </row>
    <row r="159" spans="2:35">
      <c r="B159" s="39">
        <f t="shared" si="60"/>
        <v>131</v>
      </c>
      <c r="C159" s="42">
        <f t="shared" si="61"/>
        <v>0.87019184652187331</v>
      </c>
      <c r="D159" s="10">
        <f t="shared" si="62"/>
        <v>4.6698081534780105</v>
      </c>
      <c r="E159" s="40">
        <f t="shared" si="63"/>
        <v>21.740383693043977</v>
      </c>
      <c r="F159" s="40">
        <f t="shared" si="64"/>
        <v>31.08</v>
      </c>
      <c r="G159" s="3">
        <f t="shared" si="65"/>
        <v>219.43846522782596</v>
      </c>
      <c r="H159" s="3">
        <f t="shared" si="66"/>
        <v>81.256230789298584</v>
      </c>
      <c r="I159">
        <f t="shared" si="78"/>
        <v>8.1256230789298584E-5</v>
      </c>
      <c r="J159" s="4">
        <f t="shared" si="67"/>
        <v>371.21395190335829</v>
      </c>
      <c r="K159" s="40">
        <f t="shared" si="68"/>
        <v>4.5684367622949971</v>
      </c>
      <c r="L159" s="40">
        <f t="shared" si="79"/>
        <v>1.4315632377050029</v>
      </c>
      <c r="M159" s="10">
        <f t="shared" si="69"/>
        <v>4.9847822426109119</v>
      </c>
      <c r="N159" s="10">
        <f t="shared" si="80"/>
        <v>8.26</v>
      </c>
      <c r="O159" s="10">
        <f t="shared" si="81"/>
        <v>0.31900000000000001</v>
      </c>
      <c r="P159" s="10">
        <f t="shared" si="70"/>
        <v>13.788886038968339</v>
      </c>
      <c r="Q159" s="42">
        <f t="shared" si="71"/>
        <v>6.5954064359967882E-2</v>
      </c>
      <c r="R159" s="4">
        <f t="shared" si="72"/>
        <v>85022.373549854616</v>
      </c>
      <c r="S159">
        <f t="shared" si="82"/>
        <v>8.5022373549854609E-5</v>
      </c>
      <c r="T159" s="41">
        <f t="shared" si="83"/>
        <v>9.4781998492029224E-5</v>
      </c>
      <c r="U159" s="42">
        <f t="shared" si="73"/>
        <v>0.15257690045389158</v>
      </c>
      <c r="V159" s="42">
        <f t="shared" si="74"/>
        <v>0.44754035607348602</v>
      </c>
      <c r="W159" s="42">
        <f t="shared" si="75"/>
        <v>0.44331502296748149</v>
      </c>
      <c r="X159" s="42">
        <f t="shared" si="76"/>
        <v>4.2253331060045363E-3</v>
      </c>
      <c r="Y159" s="42">
        <f t="shared" si="89"/>
        <v>1.4320001306691007E-3</v>
      </c>
      <c r="Z159" s="10">
        <f t="shared" si="77"/>
        <v>15.108355525859965</v>
      </c>
      <c r="AA159">
        <f t="shared" si="84"/>
        <v>4985534.9370258823</v>
      </c>
      <c r="AB159" s="10">
        <f t="shared" si="85"/>
        <v>4.9855349370258821</v>
      </c>
      <c r="AC159" s="10">
        <f t="shared" si="86"/>
        <v>4.8845349370258822</v>
      </c>
      <c r="AD159" s="3">
        <f t="shared" si="87"/>
        <v>708.41695968468196</v>
      </c>
      <c r="AI159" s="94">
        <f t="shared" si="88"/>
        <v>0.44331502296748149</v>
      </c>
    </row>
    <row r="160" spans="2:35">
      <c r="B160" s="39">
        <f t="shared" si="60"/>
        <v>132</v>
      </c>
      <c r="C160" s="42">
        <f t="shared" si="61"/>
        <v>0.87683453237318532</v>
      </c>
      <c r="D160" s="10">
        <f t="shared" si="62"/>
        <v>4.6631654676266976</v>
      </c>
      <c r="E160" s="40">
        <f t="shared" si="63"/>
        <v>21.753669064746603</v>
      </c>
      <c r="F160" s="40">
        <f t="shared" si="64"/>
        <v>31.08</v>
      </c>
      <c r="G160" s="3">
        <f t="shared" si="65"/>
        <v>219.38532374101547</v>
      </c>
      <c r="H160" s="3">
        <f t="shared" si="66"/>
        <v>81.256230789298584</v>
      </c>
      <c r="I160">
        <f t="shared" si="78"/>
        <v>8.1256230789298584E-5</v>
      </c>
      <c r="J160" s="4">
        <f t="shared" si="67"/>
        <v>371.6677821822953</v>
      </c>
      <c r="K160" s="40">
        <f t="shared" si="68"/>
        <v>4.5740219374197677</v>
      </c>
      <c r="L160" s="40">
        <f t="shared" si="79"/>
        <v>1.4259780625802323</v>
      </c>
      <c r="M160" s="10">
        <f t="shared" si="69"/>
        <v>4.9855349370258821</v>
      </c>
      <c r="N160" s="10">
        <f t="shared" si="80"/>
        <v>8.26</v>
      </c>
      <c r="O160" s="10">
        <f t="shared" si="81"/>
        <v>0.31900000000000001</v>
      </c>
      <c r="P160" s="10">
        <f t="shared" si="70"/>
        <v>13.789550194875684</v>
      </c>
      <c r="Q160" s="42">
        <f t="shared" si="71"/>
        <v>6.6435783180193109E-2</v>
      </c>
      <c r="R160" s="4">
        <f t="shared" si="72"/>
        <v>84902.219950433922</v>
      </c>
      <c r="S160">
        <f t="shared" si="82"/>
        <v>8.4902219950433919E-5</v>
      </c>
      <c r="T160" s="41">
        <f t="shared" si="83"/>
        <v>9.4902152091449915E-5</v>
      </c>
      <c r="U160" s="42">
        <f t="shared" si="73"/>
        <v>0.15236127881205119</v>
      </c>
      <c r="V160" s="42">
        <f t="shared" si="74"/>
        <v>0.44760892202545033</v>
      </c>
      <c r="W160" s="42">
        <f t="shared" si="75"/>
        <v>0.44338334721399453</v>
      </c>
      <c r="X160" s="42">
        <f t="shared" si="76"/>
        <v>4.2255748114558012E-3</v>
      </c>
      <c r="Y160" s="42">
        <f t="shared" si="89"/>
        <v>1.4340356695820486E-3</v>
      </c>
      <c r="Z160" s="10">
        <f t="shared" si="77"/>
        <v>15.110675974978719</v>
      </c>
      <c r="AA160">
        <f t="shared" si="84"/>
        <v>4986285.1387782004</v>
      </c>
      <c r="AB160" s="10">
        <f t="shared" si="85"/>
        <v>4.9862851387782001</v>
      </c>
      <c r="AC160" s="10">
        <f t="shared" si="86"/>
        <v>4.8852851387782001</v>
      </c>
      <c r="AD160" s="3">
        <f t="shared" si="87"/>
        <v>708.52576341960844</v>
      </c>
      <c r="AI160" s="94">
        <f t="shared" si="88"/>
        <v>0.44338334721399453</v>
      </c>
    </row>
    <row r="161" spans="2:35">
      <c r="B161" s="39">
        <f t="shared" si="60"/>
        <v>133</v>
      </c>
      <c r="C161" s="42">
        <f t="shared" si="61"/>
        <v>0.88347721822449732</v>
      </c>
      <c r="D161" s="10">
        <f t="shared" si="62"/>
        <v>4.6565227817753847</v>
      </c>
      <c r="E161" s="40">
        <f t="shared" si="63"/>
        <v>21.766954436449229</v>
      </c>
      <c r="F161" s="40">
        <f t="shared" si="64"/>
        <v>31.08</v>
      </c>
      <c r="G161" s="3">
        <f t="shared" si="65"/>
        <v>219.33218225420498</v>
      </c>
      <c r="H161" s="3">
        <f t="shared" si="66"/>
        <v>81.256230789298584</v>
      </c>
      <c r="I161">
        <f t="shared" si="78"/>
        <v>8.1256230789298584E-5</v>
      </c>
      <c r="J161" s="4">
        <f t="shared" si="67"/>
        <v>372.12188970851395</v>
      </c>
      <c r="K161" s="40">
        <f t="shared" si="68"/>
        <v>4.5796105245571184</v>
      </c>
      <c r="L161" s="40">
        <f t="shared" si="79"/>
        <v>1.4203894754428816</v>
      </c>
      <c r="M161" s="10">
        <f t="shared" si="69"/>
        <v>4.9862851387782001</v>
      </c>
      <c r="N161" s="10">
        <f t="shared" si="80"/>
        <v>8.26</v>
      </c>
      <c r="O161" s="10">
        <f t="shared" si="81"/>
        <v>0.31900000000000001</v>
      </c>
      <c r="P161" s="10">
        <f t="shared" si="70"/>
        <v>13.790212083386679</v>
      </c>
      <c r="Q161" s="42">
        <f t="shared" si="71"/>
        <v>6.6917478879370537E-2</v>
      </c>
      <c r="R161" s="4">
        <f t="shared" si="72"/>
        <v>84782.053776193483</v>
      </c>
      <c r="S161">
        <f t="shared" si="82"/>
        <v>8.4782053776193489E-5</v>
      </c>
      <c r="T161" s="41">
        <f t="shared" si="83"/>
        <v>9.5022318265690345E-5</v>
      </c>
      <c r="U161" s="42">
        <f t="shared" si="73"/>
        <v>0.15214563460406802</v>
      </c>
      <c r="V161" s="42">
        <f t="shared" si="74"/>
        <v>0.44767725423212174</v>
      </c>
      <c r="W161" s="42">
        <f t="shared" si="75"/>
        <v>0.44345144519431756</v>
      </c>
      <c r="X161" s="42">
        <f t="shared" si="76"/>
        <v>4.2258090378041735E-3</v>
      </c>
      <c r="Y161" s="42">
        <f t="shared" si="89"/>
        <v>1.436071223621104E-3</v>
      </c>
      <c r="Z161" s="10">
        <f t="shared" si="77"/>
        <v>15.112988714985134</v>
      </c>
      <c r="AA161">
        <f t="shared" si="84"/>
        <v>4987032.8481726646</v>
      </c>
      <c r="AB161" s="10">
        <f t="shared" si="85"/>
        <v>4.9870328481726647</v>
      </c>
      <c r="AC161" s="10">
        <f t="shared" si="86"/>
        <v>4.8860328481726647</v>
      </c>
      <c r="AD161" s="3">
        <f t="shared" si="87"/>
        <v>708.63420568131471</v>
      </c>
      <c r="AI161" s="94">
        <f t="shared" si="88"/>
        <v>0.44345144519431756</v>
      </c>
    </row>
    <row r="162" spans="2:35">
      <c r="B162" s="39">
        <f t="shared" si="60"/>
        <v>134</v>
      </c>
      <c r="C162" s="42">
        <f t="shared" si="61"/>
        <v>0.89011990407580932</v>
      </c>
      <c r="D162" s="10">
        <f t="shared" si="62"/>
        <v>4.6498800959240718</v>
      </c>
      <c r="E162" s="40">
        <f t="shared" si="63"/>
        <v>21.780239808151855</v>
      </c>
      <c r="F162" s="40">
        <f t="shared" si="64"/>
        <v>31.08</v>
      </c>
      <c r="G162" s="3">
        <f t="shared" si="65"/>
        <v>219.27904076739449</v>
      </c>
      <c r="H162" s="3">
        <f t="shared" si="66"/>
        <v>81.256230789298584</v>
      </c>
      <c r="I162">
        <f t="shared" si="78"/>
        <v>8.1256230789298584E-5</v>
      </c>
      <c r="J162" s="4">
        <f t="shared" si="67"/>
        <v>372.57627448201413</v>
      </c>
      <c r="K162" s="40">
        <f t="shared" si="68"/>
        <v>4.5852025237070473</v>
      </c>
      <c r="L162" s="40">
        <f t="shared" si="79"/>
        <v>1.4147974762929527</v>
      </c>
      <c r="M162" s="10">
        <f t="shared" si="69"/>
        <v>4.9870328481726647</v>
      </c>
      <c r="N162" s="10">
        <f t="shared" si="80"/>
        <v>8.26</v>
      </c>
      <c r="O162" s="10">
        <f t="shared" si="81"/>
        <v>0.31900000000000001</v>
      </c>
      <c r="P162" s="10">
        <f t="shared" si="70"/>
        <v>13.790871705463397</v>
      </c>
      <c r="Q162" s="42">
        <f t="shared" si="71"/>
        <v>6.7399151538879112E-2</v>
      </c>
      <c r="R162" s="4">
        <f t="shared" si="72"/>
        <v>84661.875071333314</v>
      </c>
      <c r="S162">
        <f t="shared" si="82"/>
        <v>8.4661875071333315E-5</v>
      </c>
      <c r="T162" s="41">
        <f t="shared" si="83"/>
        <v>9.5142496970550519E-5</v>
      </c>
      <c r="U162" s="42">
        <f t="shared" si="73"/>
        <v>0.15192996790926117</v>
      </c>
      <c r="V162" s="42">
        <f t="shared" si="74"/>
        <v>0.44774535267766158</v>
      </c>
      <c r="W162" s="42">
        <f t="shared" si="75"/>
        <v>0.44351931693611796</v>
      </c>
      <c r="X162" s="42">
        <f t="shared" si="76"/>
        <v>4.2260357415436212E-3</v>
      </c>
      <c r="Y162" s="42">
        <f t="shared" si="89"/>
        <v>1.4381067894959115E-3</v>
      </c>
      <c r="Z162" s="10">
        <f t="shared" si="77"/>
        <v>15.115293746610929</v>
      </c>
      <c r="AA162">
        <f t="shared" si="84"/>
        <v>4987778.0654458404</v>
      </c>
      <c r="AB162" s="10">
        <f t="shared" si="85"/>
        <v>4.9877780654458403</v>
      </c>
      <c r="AC162" s="10">
        <f t="shared" si="86"/>
        <v>4.8867780654458404</v>
      </c>
      <c r="AD162" s="3">
        <f t="shared" si="87"/>
        <v>708.74228650411033</v>
      </c>
      <c r="AI162" s="94">
        <f t="shared" si="88"/>
        <v>0.44351931693611796</v>
      </c>
    </row>
    <row r="163" spans="2:35">
      <c r="B163" s="39">
        <f t="shared" si="60"/>
        <v>135</v>
      </c>
      <c r="C163" s="42">
        <f t="shared" si="61"/>
        <v>0.89676258992712132</v>
      </c>
      <c r="D163" s="10">
        <f t="shared" si="62"/>
        <v>4.6432374100727589</v>
      </c>
      <c r="E163" s="40">
        <f t="shared" si="63"/>
        <v>21.79352517985448</v>
      </c>
      <c r="F163" s="40">
        <f t="shared" si="64"/>
        <v>31.08</v>
      </c>
      <c r="G163" s="3">
        <f t="shared" si="65"/>
        <v>219.225899280584</v>
      </c>
      <c r="H163" s="3">
        <f t="shared" si="66"/>
        <v>81.256230789298584</v>
      </c>
      <c r="I163">
        <f t="shared" si="78"/>
        <v>8.1256230789298584E-5</v>
      </c>
      <c r="J163" s="4">
        <f t="shared" si="67"/>
        <v>373.0309365027959</v>
      </c>
      <c r="K163" s="40">
        <f t="shared" si="68"/>
        <v>4.5907979348695553</v>
      </c>
      <c r="L163" s="40">
        <f t="shared" si="79"/>
        <v>1.4092020651304447</v>
      </c>
      <c r="M163" s="10">
        <f t="shared" si="69"/>
        <v>4.9877780654458403</v>
      </c>
      <c r="N163" s="10">
        <f t="shared" si="80"/>
        <v>8.26</v>
      </c>
      <c r="O163" s="10">
        <f t="shared" si="81"/>
        <v>0.31900000000000001</v>
      </c>
      <c r="P163" s="10">
        <f t="shared" si="70"/>
        <v>13.791529062005017</v>
      </c>
      <c r="Q163" s="42">
        <f t="shared" si="71"/>
        <v>6.7880801240043309E-2</v>
      </c>
      <c r="R163" s="4">
        <f t="shared" si="72"/>
        <v>84541.683880053417</v>
      </c>
      <c r="S163">
        <f t="shared" si="82"/>
        <v>8.454168388005342E-5</v>
      </c>
      <c r="T163" s="41">
        <f t="shared" si="83"/>
        <v>9.5262688161830414E-5</v>
      </c>
      <c r="U163" s="42">
        <f t="shared" si="73"/>
        <v>0.15171427880694985</v>
      </c>
      <c r="V163" s="42">
        <f t="shared" si="74"/>
        <v>0.44781321734441959</v>
      </c>
      <c r="W163" s="42">
        <f t="shared" si="75"/>
        <v>0.44358696246086959</v>
      </c>
      <c r="X163" s="42">
        <f t="shared" si="76"/>
        <v>4.2262548835499958E-3</v>
      </c>
      <c r="Y163" s="42">
        <f t="shared" si="89"/>
        <v>1.4401423638976171E-3</v>
      </c>
      <c r="Z163" s="10">
        <f t="shared" si="77"/>
        <v>15.117591070400312</v>
      </c>
      <c r="AA163">
        <f t="shared" si="84"/>
        <v>4988520.7907736693</v>
      </c>
      <c r="AB163" s="10">
        <f t="shared" si="85"/>
        <v>4.9885207907736691</v>
      </c>
      <c r="AC163" s="10">
        <f t="shared" si="86"/>
        <v>4.8875207907736691</v>
      </c>
      <c r="AD163" s="3">
        <f t="shared" si="87"/>
        <v>708.85000591351263</v>
      </c>
      <c r="AI163" s="94">
        <f t="shared" si="88"/>
        <v>0.44358696246086959</v>
      </c>
    </row>
    <row r="164" spans="2:35">
      <c r="B164" s="39">
        <f t="shared" si="60"/>
        <v>136</v>
      </c>
      <c r="C164" s="42">
        <f t="shared" si="61"/>
        <v>0.90340527577843333</v>
      </c>
      <c r="D164" s="10">
        <f t="shared" si="62"/>
        <v>4.636594724221446</v>
      </c>
      <c r="E164" s="40">
        <f t="shared" si="63"/>
        <v>21.806810551557106</v>
      </c>
      <c r="F164" s="40">
        <f t="shared" si="64"/>
        <v>31.08</v>
      </c>
      <c r="G164" s="3">
        <f t="shared" si="65"/>
        <v>219.17275779377351</v>
      </c>
      <c r="H164" s="3">
        <f t="shared" si="66"/>
        <v>81.256230789298584</v>
      </c>
      <c r="I164">
        <f t="shared" si="78"/>
        <v>8.1256230789298584E-5</v>
      </c>
      <c r="J164" s="4">
        <f t="shared" si="67"/>
        <v>373.4858757708592</v>
      </c>
      <c r="K164" s="40">
        <f t="shared" si="68"/>
        <v>4.5963967580446417</v>
      </c>
      <c r="L164" s="40">
        <f t="shared" si="79"/>
        <v>1.4036032419553583</v>
      </c>
      <c r="M164" s="10">
        <f t="shared" si="69"/>
        <v>4.9885207907736691</v>
      </c>
      <c r="N164" s="10">
        <f t="shared" si="80"/>
        <v>8.26</v>
      </c>
      <c r="O164" s="10">
        <f t="shared" si="81"/>
        <v>0.31900000000000001</v>
      </c>
      <c r="P164" s="10">
        <f t="shared" si="70"/>
        <v>13.79218415385458</v>
      </c>
      <c r="Q164" s="42">
        <f t="shared" si="71"/>
        <v>6.8362428064135242E-2</v>
      </c>
      <c r="R164" s="4">
        <f t="shared" si="72"/>
        <v>84421.480246553809</v>
      </c>
      <c r="S164">
        <f t="shared" si="82"/>
        <v>8.4421480246553812E-5</v>
      </c>
      <c r="T164" s="41">
        <f t="shared" si="83"/>
        <v>9.5382891795330022E-5</v>
      </c>
      <c r="U164" s="42">
        <f t="shared" si="73"/>
        <v>0.15149856737645315</v>
      </c>
      <c r="V164" s="42">
        <f t="shared" si="74"/>
        <v>0.44788084821356705</v>
      </c>
      <c r="W164" s="42">
        <f t="shared" si="75"/>
        <v>0.44365438178454292</v>
      </c>
      <c r="X164" s="42">
        <f t="shared" si="76"/>
        <v>4.2264664290241338E-3</v>
      </c>
      <c r="Y164" s="42">
        <f t="shared" si="89"/>
        <v>1.4421779435009592E-3</v>
      </c>
      <c r="Z164" s="10">
        <f t="shared" si="77"/>
        <v>15.119880686733055</v>
      </c>
      <c r="AA164">
        <f t="shared" si="84"/>
        <v>4989261.0242789323</v>
      </c>
      <c r="AB164" s="10">
        <f t="shared" si="85"/>
        <v>4.9892610242789326</v>
      </c>
      <c r="AC164" s="10">
        <f t="shared" si="86"/>
        <v>4.8882610242789326</v>
      </c>
      <c r="AD164" s="3">
        <f t="shared" si="87"/>
        <v>708.95736392732886</v>
      </c>
      <c r="AI164" s="94">
        <f t="shared" si="88"/>
        <v>0.44365438178454292</v>
      </c>
    </row>
    <row r="165" spans="2:35">
      <c r="B165" s="39">
        <f t="shared" si="60"/>
        <v>137</v>
      </c>
      <c r="C165" s="42">
        <f t="shared" si="61"/>
        <v>0.91004796162974533</v>
      </c>
      <c r="D165" s="10">
        <f t="shared" si="62"/>
        <v>4.6299520383701331</v>
      </c>
      <c r="E165" s="40">
        <f t="shared" si="63"/>
        <v>21.820095923259732</v>
      </c>
      <c r="F165" s="40">
        <f t="shared" si="64"/>
        <v>31.08</v>
      </c>
      <c r="G165" s="3">
        <f t="shared" si="65"/>
        <v>219.11961630696302</v>
      </c>
      <c r="H165" s="3">
        <f t="shared" si="66"/>
        <v>81.256230789298584</v>
      </c>
      <c r="I165">
        <f t="shared" si="78"/>
        <v>8.1256230789298584E-5</v>
      </c>
      <c r="J165" s="4">
        <f t="shared" si="67"/>
        <v>373.94109228620408</v>
      </c>
      <c r="K165" s="40">
        <f t="shared" si="68"/>
        <v>4.6019989932323071</v>
      </c>
      <c r="L165" s="40">
        <f t="shared" si="79"/>
        <v>1.3980010067676929</v>
      </c>
      <c r="M165" s="10">
        <f t="shared" si="69"/>
        <v>4.9892610242789326</v>
      </c>
      <c r="N165" s="10">
        <f t="shared" si="80"/>
        <v>8.26</v>
      </c>
      <c r="O165" s="10">
        <f t="shared" si="81"/>
        <v>0.31900000000000001</v>
      </c>
      <c r="P165" s="10">
        <f t="shared" si="70"/>
        <v>13.792836981805596</v>
      </c>
      <c r="Q165" s="42">
        <f t="shared" si="71"/>
        <v>6.8844032092376467E-2</v>
      </c>
      <c r="R165" s="4">
        <f t="shared" si="72"/>
        <v>84301.264215034447</v>
      </c>
      <c r="S165">
        <f t="shared" si="82"/>
        <v>8.4301264215034445E-5</v>
      </c>
      <c r="T165" s="41">
        <f t="shared" si="83"/>
        <v>9.5503107826849388E-5</v>
      </c>
      <c r="U165" s="42">
        <f t="shared" si="73"/>
        <v>0.15128283369709003</v>
      </c>
      <c r="V165" s="42">
        <f t="shared" si="74"/>
        <v>0.44794824526480198</v>
      </c>
      <c r="W165" s="42">
        <f t="shared" si="75"/>
        <v>0.44372157491828346</v>
      </c>
      <c r="X165" s="42">
        <f t="shared" si="76"/>
        <v>4.226670346518524E-3</v>
      </c>
      <c r="Y165" s="42">
        <f t="shared" si="89"/>
        <v>1.4442135249658902E-3</v>
      </c>
      <c r="Z165" s="10">
        <f t="shared" si="77"/>
        <v>15.12216259584245</v>
      </c>
      <c r="AA165">
        <f t="shared" si="84"/>
        <v>4989998.7660370525</v>
      </c>
      <c r="AB165" s="10">
        <f t="shared" si="85"/>
        <v>4.9899987660370524</v>
      </c>
      <c r="AC165" s="10">
        <f t="shared" si="86"/>
        <v>4.8889987660370524</v>
      </c>
      <c r="AD165" s="3">
        <f t="shared" si="87"/>
        <v>709.06436055649783</v>
      </c>
      <c r="AI165" s="94">
        <f t="shared" si="88"/>
        <v>0.44372157491828346</v>
      </c>
    </row>
    <row r="166" spans="2:35">
      <c r="B166" s="39">
        <f t="shared" si="60"/>
        <v>138</v>
      </c>
      <c r="C166" s="42">
        <f t="shared" si="61"/>
        <v>0.91669064748105733</v>
      </c>
      <c r="D166" s="10">
        <f t="shared" si="62"/>
        <v>4.6233093525188202</v>
      </c>
      <c r="E166" s="40">
        <f t="shared" si="63"/>
        <v>21.833381294962358</v>
      </c>
      <c r="F166" s="40">
        <f t="shared" si="64"/>
        <v>31.08</v>
      </c>
      <c r="G166" s="3">
        <f t="shared" si="65"/>
        <v>219.06647482015254</v>
      </c>
      <c r="H166" s="3">
        <f t="shared" si="66"/>
        <v>81.256230789298584</v>
      </c>
      <c r="I166">
        <f t="shared" si="78"/>
        <v>8.1256230789298584E-5</v>
      </c>
      <c r="J166" s="4">
        <f t="shared" si="67"/>
        <v>374.3965860488305</v>
      </c>
      <c r="K166" s="40">
        <f t="shared" si="68"/>
        <v>4.6076046404325508</v>
      </c>
      <c r="L166" s="40">
        <f t="shared" si="79"/>
        <v>1.3923953595674492</v>
      </c>
      <c r="M166" s="10">
        <f t="shared" si="69"/>
        <v>4.9899987660370524</v>
      </c>
      <c r="N166" s="10">
        <f t="shared" si="80"/>
        <v>8.26</v>
      </c>
      <c r="O166" s="10">
        <f t="shared" si="81"/>
        <v>0.31900000000000001</v>
      </c>
      <c r="P166" s="10">
        <f t="shared" si="70"/>
        <v>13.793487546607189</v>
      </c>
      <c r="Q166" s="42">
        <f t="shared" si="71"/>
        <v>6.932561340593961E-2</v>
      </c>
      <c r="R166" s="4">
        <f t="shared" si="72"/>
        <v>84181.035829695378</v>
      </c>
      <c r="S166">
        <f t="shared" si="82"/>
        <v>8.4181035829695384E-5</v>
      </c>
      <c r="T166" s="41">
        <f t="shared" si="83"/>
        <v>9.562333621218845E-5</v>
      </c>
      <c r="U166" s="42">
        <f t="shared" si="73"/>
        <v>0.15106707784817983</v>
      </c>
      <c r="V166" s="42">
        <f t="shared" si="74"/>
        <v>0.44801540847559329</v>
      </c>
      <c r="W166" s="42">
        <f t="shared" si="75"/>
        <v>0.44378854186893724</v>
      </c>
      <c r="X166" s="42">
        <f t="shared" si="76"/>
        <v>4.2268666066560545E-3</v>
      </c>
      <c r="Y166" s="42">
        <f t="shared" si="89"/>
        <v>1.4462491049385797E-3</v>
      </c>
      <c r="Z166" s="10">
        <f t="shared" si="77"/>
        <v>15.124436797826723</v>
      </c>
      <c r="AA166">
        <f t="shared" si="84"/>
        <v>4990734.0160797872</v>
      </c>
      <c r="AB166" s="10">
        <f t="shared" si="85"/>
        <v>4.9907340160797871</v>
      </c>
      <c r="AC166" s="10">
        <f t="shared" si="86"/>
        <v>4.8897340160797871</v>
      </c>
      <c r="AD166" s="3">
        <f t="shared" si="87"/>
        <v>709.17099580562535</v>
      </c>
      <c r="AI166" s="94">
        <f t="shared" si="88"/>
        <v>0.44378854186893724</v>
      </c>
    </row>
    <row r="167" spans="2:35">
      <c r="B167" s="39">
        <f t="shared" si="60"/>
        <v>139</v>
      </c>
      <c r="C167" s="42">
        <f t="shared" si="61"/>
        <v>0.92333333333236933</v>
      </c>
      <c r="D167" s="10">
        <f t="shared" si="62"/>
        <v>4.6166666666675074</v>
      </c>
      <c r="E167" s="40">
        <f t="shared" si="63"/>
        <v>21.846666666664984</v>
      </c>
      <c r="F167" s="40">
        <f t="shared" si="64"/>
        <v>31.08</v>
      </c>
      <c r="G167" s="3">
        <f t="shared" si="65"/>
        <v>219.01333333334205</v>
      </c>
      <c r="H167" s="3">
        <f t="shared" si="66"/>
        <v>81.256230789298584</v>
      </c>
      <c r="I167">
        <f t="shared" si="78"/>
        <v>8.1256230789298584E-5</v>
      </c>
      <c r="J167" s="4">
        <f t="shared" si="67"/>
        <v>374.85235705873851</v>
      </c>
      <c r="K167" s="40">
        <f t="shared" si="68"/>
        <v>4.6132136996453745</v>
      </c>
      <c r="L167" s="40">
        <f t="shared" si="79"/>
        <v>1.3867863003546255</v>
      </c>
      <c r="M167" s="10">
        <f t="shared" si="69"/>
        <v>4.9907340160797871</v>
      </c>
      <c r="N167" s="10">
        <f t="shared" si="80"/>
        <v>8.26</v>
      </c>
      <c r="O167" s="10">
        <f t="shared" si="81"/>
        <v>0.31900000000000001</v>
      </c>
      <c r="P167" s="10">
        <f t="shared" si="70"/>
        <v>13.794135848967372</v>
      </c>
      <c r="Q167" s="42">
        <f t="shared" si="71"/>
        <v>6.9807172085949942E-2</v>
      </c>
      <c r="R167" s="4">
        <f t="shared" si="72"/>
        <v>84060.79513473656</v>
      </c>
      <c r="S167">
        <f t="shared" si="82"/>
        <v>8.4060795134736555E-5</v>
      </c>
      <c r="T167" s="41">
        <f t="shared" si="83"/>
        <v>9.5743576907147279E-5</v>
      </c>
      <c r="U167" s="42">
        <f t="shared" si="73"/>
        <v>0.1508512999090415</v>
      </c>
      <c r="V167" s="42">
        <f t="shared" si="74"/>
        <v>0.44808233782369589</v>
      </c>
      <c r="W167" s="42">
        <f t="shared" si="75"/>
        <v>0.44385528263938712</v>
      </c>
      <c r="X167" s="42">
        <f t="shared" si="76"/>
        <v>4.22705518430877E-3</v>
      </c>
      <c r="Y167" s="42">
        <f t="shared" si="89"/>
        <v>1.4482846800534662E-3</v>
      </c>
      <c r="Z167" s="10">
        <f t="shared" si="77"/>
        <v>15.126703292671234</v>
      </c>
      <c r="AA167">
        <f t="shared" si="84"/>
        <v>4991466.7744024023</v>
      </c>
      <c r="AB167" s="10">
        <f t="shared" si="85"/>
        <v>4.9914667744024026</v>
      </c>
      <c r="AC167" s="10">
        <f t="shared" si="86"/>
        <v>4.8904667744024026</v>
      </c>
      <c r="AD167" s="3">
        <f t="shared" si="87"/>
        <v>709.27726967402498</v>
      </c>
      <c r="AI167" s="94">
        <f t="shared" si="88"/>
        <v>0.44385528263938712</v>
      </c>
    </row>
    <row r="168" spans="2:35">
      <c r="B168" s="39">
        <f t="shared" ref="B168:B231" si="90">1+B167</f>
        <v>140</v>
      </c>
      <c r="C168" s="42">
        <f t="shared" ref="C168:C231" si="91">xincp+C167</f>
        <v>0.92997601918368134</v>
      </c>
      <c r="D168" s="10">
        <f t="shared" ref="D168:D231" si="92">(F168-E168)/2</f>
        <v>4.6100239808161945</v>
      </c>
      <c r="E168" s="40">
        <f t="shared" ref="E168:E231" si="93">E167+ci*2*xincp</f>
        <v>21.859952038367609</v>
      </c>
      <c r="F168" s="40">
        <f t="shared" ref="F168:F231" si="94">F167-osi*2*xincp</f>
        <v>31.08</v>
      </c>
      <c r="G168" s="3">
        <f t="shared" ref="G168:G231" si="95">G167-ei*n*2*xincp</f>
        <v>218.96019184653156</v>
      </c>
      <c r="H168" s="3">
        <f t="shared" ref="H168:H231" si="96">PI()/4*(dto+erate*(two-D168)/two)^2</f>
        <v>81.256230789298584</v>
      </c>
      <c r="I168">
        <f t="shared" si="78"/>
        <v>8.1256230789298584E-5</v>
      </c>
      <c r="J168" s="4">
        <f t="shared" ref="J168:J231" si="97">PI()/4*dc^2-PI()/4*(F168^2-E168^2)</f>
        <v>375.3084053159281</v>
      </c>
      <c r="K168" s="40">
        <f t="shared" ref="K168:K231" si="98">J168/H168</f>
        <v>4.6188261708707765</v>
      </c>
      <c r="L168" s="40">
        <f t="shared" si="79"/>
        <v>1.3811738291292235</v>
      </c>
      <c r="M168" s="10">
        <f t="shared" ref="M168:M231" si="99">AB167</f>
        <v>4.9914667744024026</v>
      </c>
      <c r="N168" s="10">
        <f t="shared" si="80"/>
        <v>8.26</v>
      </c>
      <c r="O168" s="10">
        <f t="shared" si="81"/>
        <v>0.31900000000000001</v>
      </c>
      <c r="P168" s="10">
        <f t="shared" ref="P168:P231" si="100">(1+kv*L168)*N168*M168^O168</f>
        <v>13.794781889559404</v>
      </c>
      <c r="Q168" s="42">
        <f t="shared" ref="Q168:Q231" si="101">xincp/P168+Q167</f>
        <v>7.028870821348665E-2</v>
      </c>
      <c r="R168" s="4">
        <f t="shared" ref="R168:R231" si="102">PI()/4*(F168^2-E168^2)*G168</f>
        <v>83940.542174357994</v>
      </c>
      <c r="S168">
        <f t="shared" si="82"/>
        <v>8.3940542174357994E-5</v>
      </c>
      <c r="T168" s="41">
        <f t="shared" si="83"/>
        <v>9.586382986752584E-5</v>
      </c>
      <c r="U168" s="42">
        <f t="shared" ref="U168:U231" si="103">rhopgrain*R168/1000^2</f>
        <v>0.15063549995899414</v>
      </c>
      <c r="V168" s="42">
        <f t="shared" ref="V168:V231" si="104">(U167-U168)/(Q168-Q167)</f>
        <v>0.44814903328496819</v>
      </c>
      <c r="W168" s="42">
        <f t="shared" ref="W168:W231" si="105">IF(V168&lt;AI168,IF(AB167&gt;pbd,AI168,0),AI168)</f>
        <v>0.44392179722920355</v>
      </c>
      <c r="X168" s="42">
        <f t="shared" ref="X168:X231" si="106">V168-W168</f>
        <v>4.2272360557646382E-3</v>
      </c>
      <c r="Y168" s="42">
        <f t="shared" si="89"/>
        <v>1.4503202469339426E-3</v>
      </c>
      <c r="Z168" s="10">
        <f t="shared" ref="Z168:Z231" si="107">Y168/T168</f>
        <v>15.128962080256331</v>
      </c>
      <c r="AA168">
        <f t="shared" si="84"/>
        <v>4992197.0409662146</v>
      </c>
      <c r="AB168" s="10">
        <f t="shared" si="85"/>
        <v>4.9921970409662144</v>
      </c>
      <c r="AC168" s="10">
        <f t="shared" si="86"/>
        <v>4.8911970409662144</v>
      </c>
      <c r="AD168" s="3">
        <f t="shared" si="87"/>
        <v>709.38318215608626</v>
      </c>
      <c r="AI168" s="94">
        <f t="shared" si="88"/>
        <v>0.44392179722920355</v>
      </c>
    </row>
    <row r="169" spans="2:35">
      <c r="B169" s="39">
        <f t="shared" si="90"/>
        <v>141</v>
      </c>
      <c r="C169" s="42">
        <f t="shared" si="91"/>
        <v>0.93661870503499334</v>
      </c>
      <c r="D169" s="10">
        <f t="shared" si="92"/>
        <v>4.6033812949648816</v>
      </c>
      <c r="E169" s="40">
        <f t="shared" si="93"/>
        <v>21.873237410070235</v>
      </c>
      <c r="F169" s="40">
        <f t="shared" si="94"/>
        <v>31.08</v>
      </c>
      <c r="G169" s="3">
        <f t="shared" si="95"/>
        <v>218.90705035972107</v>
      </c>
      <c r="H169" s="3">
        <f t="shared" si="96"/>
        <v>81.256230789298584</v>
      </c>
      <c r="I169">
        <f t="shared" si="78"/>
        <v>8.1256230789298584E-5</v>
      </c>
      <c r="J169" s="4">
        <f t="shared" si="97"/>
        <v>375.76473082039917</v>
      </c>
      <c r="K169" s="40">
        <f t="shared" si="98"/>
        <v>4.6244420541087567</v>
      </c>
      <c r="L169" s="40">
        <f t="shared" si="79"/>
        <v>1.3755579458912433</v>
      </c>
      <c r="M169" s="10">
        <f t="shared" si="99"/>
        <v>4.9921970409662144</v>
      </c>
      <c r="N169" s="10">
        <f t="shared" si="80"/>
        <v>8.26</v>
      </c>
      <c r="O169" s="10">
        <f t="shared" si="81"/>
        <v>0.31900000000000001</v>
      </c>
      <c r="P169" s="10">
        <f t="shared" si="100"/>
        <v>13.795425669024043</v>
      </c>
      <c r="Q169" s="42">
        <f t="shared" si="101"/>
        <v>7.077022186958408E-2</v>
      </c>
      <c r="R169" s="4">
        <f t="shared" si="102"/>
        <v>83820.276992759711</v>
      </c>
      <c r="S169">
        <f t="shared" si="82"/>
        <v>8.382027699275971E-5</v>
      </c>
      <c r="T169" s="41">
        <f t="shared" si="83"/>
        <v>9.5984095049124124E-5</v>
      </c>
      <c r="U169" s="42">
        <f t="shared" si="103"/>
        <v>0.15041967807735693</v>
      </c>
      <c r="V169" s="42">
        <f t="shared" si="104"/>
        <v>0.44821549483436313</v>
      </c>
      <c r="W169" s="42">
        <f t="shared" si="105"/>
        <v>0.44398808563487502</v>
      </c>
      <c r="X169" s="42">
        <f t="shared" si="106"/>
        <v>4.227409199488108E-3</v>
      </c>
      <c r="Y169" s="42">
        <f t="shared" si="89"/>
        <v>1.4523558021934081E-3</v>
      </c>
      <c r="Z169" s="10">
        <f t="shared" si="107"/>
        <v>15.131213160368919</v>
      </c>
      <c r="AA169">
        <f t="shared" si="84"/>
        <v>4992924.8157023313</v>
      </c>
      <c r="AB169" s="10">
        <f t="shared" si="85"/>
        <v>4.9929248157023309</v>
      </c>
      <c r="AC169" s="10">
        <f t="shared" si="86"/>
        <v>4.891924815702331</v>
      </c>
      <c r="AD169" s="3">
        <f t="shared" si="87"/>
        <v>709.48873324181739</v>
      </c>
      <c r="AI169" s="94">
        <f t="shared" si="88"/>
        <v>0.44398808563487502</v>
      </c>
    </row>
    <row r="170" spans="2:35">
      <c r="B170" s="39">
        <f t="shared" si="90"/>
        <v>142</v>
      </c>
      <c r="C170" s="42">
        <f t="shared" si="91"/>
        <v>0.94326139088630534</v>
      </c>
      <c r="D170" s="10">
        <f t="shared" si="92"/>
        <v>4.5967386091135687</v>
      </c>
      <c r="E170" s="40">
        <f t="shared" si="93"/>
        <v>21.886522781772861</v>
      </c>
      <c r="F170" s="40">
        <f t="shared" si="94"/>
        <v>31.08</v>
      </c>
      <c r="G170" s="3">
        <f t="shared" si="95"/>
        <v>218.85390887291058</v>
      </c>
      <c r="H170" s="3">
        <f t="shared" si="96"/>
        <v>81.256230789298584</v>
      </c>
      <c r="I170">
        <f t="shared" si="78"/>
        <v>8.1256230789298584E-5</v>
      </c>
      <c r="J170" s="4">
        <f t="shared" si="97"/>
        <v>376.22133357215188</v>
      </c>
      <c r="K170" s="40">
        <f t="shared" si="98"/>
        <v>4.630061349359317</v>
      </c>
      <c r="L170" s="40">
        <f t="shared" si="79"/>
        <v>1.369938650640683</v>
      </c>
      <c r="M170" s="10">
        <f t="shared" si="99"/>
        <v>4.9929248157023309</v>
      </c>
      <c r="N170" s="10">
        <f t="shared" si="80"/>
        <v>8.26</v>
      </c>
      <c r="O170" s="10">
        <f t="shared" si="81"/>
        <v>0.31900000000000001</v>
      </c>
      <c r="P170" s="10">
        <f t="shared" si="100"/>
        <v>13.796067187972865</v>
      </c>
      <c r="Q170" s="42">
        <f t="shared" si="101"/>
        <v>7.1251713135232819E-2</v>
      </c>
      <c r="R170" s="4">
        <f t="shared" si="102"/>
        <v>83699.99963414167</v>
      </c>
      <c r="S170">
        <f t="shared" si="82"/>
        <v>8.3699999634141671E-5</v>
      </c>
      <c r="T170" s="41">
        <f t="shared" si="83"/>
        <v>9.6104372407742163E-5</v>
      </c>
      <c r="U170" s="42">
        <f t="shared" si="103"/>
        <v>0.15020383434344892</v>
      </c>
      <c r="V170" s="42">
        <f t="shared" si="104"/>
        <v>0.44828172244660119</v>
      </c>
      <c r="W170" s="42">
        <f t="shared" si="105"/>
        <v>0.44405414785014768</v>
      </c>
      <c r="X170" s="42">
        <f t="shared" si="106"/>
        <v>4.2275745964535094E-3</v>
      </c>
      <c r="Y170" s="42">
        <f t="shared" si="89"/>
        <v>1.4543913424364789E-3</v>
      </c>
      <c r="Z170" s="10">
        <f t="shared" si="107"/>
        <v>15.133456532715604</v>
      </c>
      <c r="AA170">
        <f t="shared" si="84"/>
        <v>4993650.0985158961</v>
      </c>
      <c r="AB170" s="10">
        <f t="shared" si="85"/>
        <v>4.9936500985158965</v>
      </c>
      <c r="AC170" s="10">
        <f t="shared" si="86"/>
        <v>4.8926500985158965</v>
      </c>
      <c r="AD170" s="3">
        <f t="shared" si="87"/>
        <v>709.59392291746133</v>
      </c>
      <c r="AI170" s="94">
        <f t="shared" si="88"/>
        <v>0.44405414785014768</v>
      </c>
    </row>
    <row r="171" spans="2:35">
      <c r="B171" s="39">
        <f t="shared" si="90"/>
        <v>143</v>
      </c>
      <c r="C171" s="42">
        <f t="shared" si="91"/>
        <v>0.94990407673761734</v>
      </c>
      <c r="D171" s="10">
        <f t="shared" si="92"/>
        <v>4.5900959232622558</v>
      </c>
      <c r="E171" s="40">
        <f t="shared" si="93"/>
        <v>21.899808153475487</v>
      </c>
      <c r="F171" s="40">
        <f t="shared" si="94"/>
        <v>31.08</v>
      </c>
      <c r="G171" s="3">
        <f t="shared" si="95"/>
        <v>218.80076738610009</v>
      </c>
      <c r="H171" s="3">
        <f t="shared" si="96"/>
        <v>81.256230789298584</v>
      </c>
      <c r="I171">
        <f t="shared" si="78"/>
        <v>8.1256230789298584E-5</v>
      </c>
      <c r="J171" s="4">
        <f t="shared" si="97"/>
        <v>376.67821357118612</v>
      </c>
      <c r="K171" s="40">
        <f t="shared" si="98"/>
        <v>4.6356840566224555</v>
      </c>
      <c r="L171" s="40">
        <f t="shared" si="79"/>
        <v>1.3643159433775445</v>
      </c>
      <c r="M171" s="10">
        <f t="shared" si="99"/>
        <v>4.9936500985158965</v>
      </c>
      <c r="N171" s="10">
        <f t="shared" si="80"/>
        <v>8.26</v>
      </c>
      <c r="O171" s="10">
        <f t="shared" si="81"/>
        <v>0.31900000000000001</v>
      </c>
      <c r="P171" s="10">
        <f t="shared" si="100"/>
        <v>13.796706446992012</v>
      </c>
      <c r="Q171" s="42">
        <f t="shared" si="101"/>
        <v>7.1733182091380701E-2</v>
      </c>
      <c r="R171" s="4">
        <f t="shared" si="102"/>
        <v>83579.710142703902</v>
      </c>
      <c r="S171">
        <f t="shared" si="82"/>
        <v>8.3579710142703899E-5</v>
      </c>
      <c r="T171" s="41">
        <f t="shared" si="83"/>
        <v>9.6224661899179935E-5</v>
      </c>
      <c r="U171" s="42">
        <f t="shared" si="103"/>
        <v>0.14998796883658927</v>
      </c>
      <c r="V171" s="42">
        <f t="shared" si="104"/>
        <v>0.4483477160952089</v>
      </c>
      <c r="W171" s="42">
        <f t="shared" si="105"/>
        <v>0.44411998386641161</v>
      </c>
      <c r="X171" s="42">
        <f t="shared" si="106"/>
        <v>4.2277322287972985E-3</v>
      </c>
      <c r="Y171" s="42">
        <f t="shared" si="89"/>
        <v>1.4564268642595507E-3</v>
      </c>
      <c r="Z171" s="10">
        <f t="shared" si="107"/>
        <v>15.135692196929018</v>
      </c>
      <c r="AA171">
        <f t="shared" si="84"/>
        <v>4994372.8892881405</v>
      </c>
      <c r="AB171" s="10">
        <f t="shared" si="85"/>
        <v>4.9943728892881403</v>
      </c>
      <c r="AC171" s="10">
        <f t="shared" si="86"/>
        <v>4.8933728892881403</v>
      </c>
      <c r="AD171" s="3">
        <f t="shared" si="87"/>
        <v>709.69875116579271</v>
      </c>
      <c r="AI171" s="94">
        <f t="shared" si="88"/>
        <v>0.44411998386641161</v>
      </c>
    </row>
    <row r="172" spans="2:35">
      <c r="B172" s="39">
        <f t="shared" si="90"/>
        <v>144</v>
      </c>
      <c r="C172" s="42">
        <f t="shared" si="91"/>
        <v>0.95654676258892934</v>
      </c>
      <c r="D172" s="10">
        <f t="shared" si="92"/>
        <v>4.5834532374109429</v>
      </c>
      <c r="E172" s="40">
        <f t="shared" si="93"/>
        <v>21.913093525178112</v>
      </c>
      <c r="F172" s="40">
        <f t="shared" si="94"/>
        <v>31.08</v>
      </c>
      <c r="G172" s="3">
        <f t="shared" si="95"/>
        <v>218.7476258992896</v>
      </c>
      <c r="H172" s="3">
        <f t="shared" si="96"/>
        <v>81.256230789298584</v>
      </c>
      <c r="I172">
        <f t="shared" si="78"/>
        <v>8.1256230789298584E-5</v>
      </c>
      <c r="J172" s="4">
        <f t="shared" si="97"/>
        <v>377.13537081750189</v>
      </c>
      <c r="K172" s="40">
        <f t="shared" si="98"/>
        <v>4.6413101758981723</v>
      </c>
      <c r="L172" s="40">
        <f t="shared" si="79"/>
        <v>1.3586898241018277</v>
      </c>
      <c r="M172" s="10">
        <f t="shared" si="99"/>
        <v>4.9943728892881403</v>
      </c>
      <c r="N172" s="10">
        <f t="shared" si="80"/>
        <v>8.26</v>
      </c>
      <c r="O172" s="10">
        <f t="shared" si="81"/>
        <v>0.31900000000000001</v>
      </c>
      <c r="P172" s="10">
        <f t="shared" si="100"/>
        <v>13.79734344664403</v>
      </c>
      <c r="Q172" s="42">
        <f t="shared" si="101"/>
        <v>7.2214628818933729E-2</v>
      </c>
      <c r="R172" s="4">
        <f t="shared" si="102"/>
        <v>83459.408562646393</v>
      </c>
      <c r="S172">
        <f t="shared" si="82"/>
        <v>8.345940856264639E-5</v>
      </c>
      <c r="T172" s="41">
        <f t="shared" si="83"/>
        <v>9.6344963479237444E-5</v>
      </c>
      <c r="U172" s="42">
        <f t="shared" si="103"/>
        <v>0.14977208163609707</v>
      </c>
      <c r="V172" s="42">
        <f t="shared" si="104"/>
        <v>0.44841347575350493</v>
      </c>
      <c r="W172" s="42">
        <f t="shared" si="105"/>
        <v>0.4441855936728854</v>
      </c>
      <c r="X172" s="42">
        <f t="shared" si="106"/>
        <v>4.2278820806195272E-3</v>
      </c>
      <c r="Y172" s="42">
        <f t="shared" si="89"/>
        <v>1.4584623642517451E-3</v>
      </c>
      <c r="Z172" s="10">
        <f t="shared" si="107"/>
        <v>15.137920152578053</v>
      </c>
      <c r="AA172">
        <f t="shared" si="84"/>
        <v>4995093.1878796862</v>
      </c>
      <c r="AB172" s="10">
        <f t="shared" si="85"/>
        <v>4.9950931878796858</v>
      </c>
      <c r="AC172" s="10">
        <f t="shared" si="86"/>
        <v>4.8940931878796858</v>
      </c>
      <c r="AD172" s="3">
        <f t="shared" si="87"/>
        <v>709.803217966597</v>
      </c>
      <c r="AI172" s="94">
        <f t="shared" si="88"/>
        <v>0.4441855936728854</v>
      </c>
    </row>
    <row r="173" spans="2:35">
      <c r="B173" s="39">
        <f t="shared" si="90"/>
        <v>145</v>
      </c>
      <c r="C173" s="42">
        <f t="shared" si="91"/>
        <v>0.96318944844024135</v>
      </c>
      <c r="D173" s="10">
        <f t="shared" si="92"/>
        <v>4.57681055155963</v>
      </c>
      <c r="E173" s="40">
        <f t="shared" si="93"/>
        <v>21.926378896880738</v>
      </c>
      <c r="F173" s="40">
        <f t="shared" si="94"/>
        <v>31.08</v>
      </c>
      <c r="G173" s="3">
        <f t="shared" si="95"/>
        <v>218.69448441247911</v>
      </c>
      <c r="H173" s="3">
        <f t="shared" si="96"/>
        <v>81.256230789298584</v>
      </c>
      <c r="I173">
        <f t="shared" si="78"/>
        <v>8.1256230789298584E-5</v>
      </c>
      <c r="J173" s="4">
        <f t="shared" si="97"/>
        <v>377.59280531109926</v>
      </c>
      <c r="K173" s="40">
        <f t="shared" si="98"/>
        <v>4.6469397071864682</v>
      </c>
      <c r="L173" s="40">
        <f t="shared" si="79"/>
        <v>1.3530602928135318</v>
      </c>
      <c r="M173" s="10">
        <f t="shared" si="99"/>
        <v>4.9950931878796858</v>
      </c>
      <c r="N173" s="10">
        <f t="shared" si="80"/>
        <v>8.26</v>
      </c>
      <c r="O173" s="10">
        <f t="shared" si="81"/>
        <v>0.31900000000000001</v>
      </c>
      <c r="P173" s="10">
        <f t="shared" si="100"/>
        <v>13.797978187470777</v>
      </c>
      <c r="Q173" s="42">
        <f t="shared" si="101"/>
        <v>7.2696053398756871E-2</v>
      </c>
      <c r="R173" s="4">
        <f t="shared" si="102"/>
        <v>83339.094938169132</v>
      </c>
      <c r="S173">
        <f t="shared" si="82"/>
        <v>8.3339094938169125E-5</v>
      </c>
      <c r="T173" s="41">
        <f t="shared" si="83"/>
        <v>9.6465277103714709E-5</v>
      </c>
      <c r="U173" s="42">
        <f t="shared" si="103"/>
        <v>0.14955617282129141</v>
      </c>
      <c r="V173" s="42">
        <f t="shared" si="104"/>
        <v>0.44847900139409452</v>
      </c>
      <c r="W173" s="42">
        <f t="shared" si="105"/>
        <v>0.44425097725691759</v>
      </c>
      <c r="X173" s="42">
        <f t="shared" si="106"/>
        <v>4.2280241371769334E-3</v>
      </c>
      <c r="Y173" s="42">
        <f t="shared" si="89"/>
        <v>1.4604978389954676E-3</v>
      </c>
      <c r="Z173" s="10">
        <f t="shared" si="107"/>
        <v>15.140140399174019</v>
      </c>
      <c r="AA173">
        <f t="shared" si="84"/>
        <v>4995810.9941325411</v>
      </c>
      <c r="AB173" s="10">
        <f t="shared" si="85"/>
        <v>4.9958109941325413</v>
      </c>
      <c r="AC173" s="10">
        <f t="shared" si="86"/>
        <v>4.8948109941325413</v>
      </c>
      <c r="AD173" s="3">
        <f t="shared" si="87"/>
        <v>709.90732329696027</v>
      </c>
      <c r="AI173" s="94">
        <f t="shared" si="88"/>
        <v>0.44425097725691759</v>
      </c>
    </row>
    <row r="174" spans="2:35">
      <c r="B174" s="39">
        <f t="shared" si="90"/>
        <v>146</v>
      </c>
      <c r="C174" s="42">
        <f t="shared" si="91"/>
        <v>0.96983213429155335</v>
      </c>
      <c r="D174" s="10">
        <f t="shared" si="92"/>
        <v>4.5701678657083171</v>
      </c>
      <c r="E174" s="40">
        <f t="shared" si="93"/>
        <v>21.939664268583364</v>
      </c>
      <c r="F174" s="40">
        <f t="shared" si="94"/>
        <v>31.08</v>
      </c>
      <c r="G174" s="3">
        <f t="shared" si="95"/>
        <v>218.64134292566862</v>
      </c>
      <c r="H174" s="3">
        <f t="shared" si="96"/>
        <v>81.256230789298584</v>
      </c>
      <c r="I174">
        <f t="shared" si="78"/>
        <v>8.1256230789298584E-5</v>
      </c>
      <c r="J174" s="4">
        <f t="shared" si="97"/>
        <v>378.0505170519782</v>
      </c>
      <c r="K174" s="40">
        <f t="shared" si="98"/>
        <v>4.6525726504873433</v>
      </c>
      <c r="L174" s="40">
        <f t="shared" si="79"/>
        <v>1.3474273495126567</v>
      </c>
      <c r="M174" s="10">
        <f t="shared" si="99"/>
        <v>4.9958109941325413</v>
      </c>
      <c r="N174" s="10">
        <f t="shared" si="80"/>
        <v>8.26</v>
      </c>
      <c r="O174" s="10">
        <f t="shared" si="81"/>
        <v>0.31900000000000001</v>
      </c>
      <c r="P174" s="10">
        <f t="shared" si="100"/>
        <v>13.798610669995201</v>
      </c>
      <c r="Q174" s="42">
        <f t="shared" si="101"/>
        <v>7.3177455911674807E-2</v>
      </c>
      <c r="R174" s="4">
        <f t="shared" si="102"/>
        <v>83218.769313472119</v>
      </c>
      <c r="S174">
        <f t="shared" si="82"/>
        <v>8.3218769313472113E-5</v>
      </c>
      <c r="T174" s="41">
        <f t="shared" si="83"/>
        <v>9.658560272841172E-5</v>
      </c>
      <c r="U174" s="42">
        <f t="shared" si="103"/>
        <v>0.14934024247149139</v>
      </c>
      <c r="V174" s="42">
        <f t="shared" si="104"/>
        <v>0.44854429298925291</v>
      </c>
      <c r="W174" s="42">
        <f t="shared" si="105"/>
        <v>0.44431613460416663</v>
      </c>
      <c r="X174" s="42">
        <f t="shared" si="106"/>
        <v>4.2281583850862781E-3</v>
      </c>
      <c r="Y174" s="42">
        <f t="shared" si="89"/>
        <v>1.4625332850670631E-3</v>
      </c>
      <c r="Z174" s="10">
        <f t="shared" si="107"/>
        <v>15.142352936177751</v>
      </c>
      <c r="AA174">
        <f t="shared" si="84"/>
        <v>4996526.3078723913</v>
      </c>
      <c r="AB174" s="10">
        <f t="shared" si="85"/>
        <v>4.9965263078723909</v>
      </c>
      <c r="AC174" s="10">
        <f t="shared" si="86"/>
        <v>4.895526307872391</v>
      </c>
      <c r="AD174" s="3">
        <f t="shared" si="87"/>
        <v>710.01106713160129</v>
      </c>
      <c r="AI174" s="94">
        <f t="shared" si="88"/>
        <v>0.44431613460416663</v>
      </c>
    </row>
    <row r="175" spans="2:35">
      <c r="B175" s="39">
        <f t="shared" si="90"/>
        <v>147</v>
      </c>
      <c r="C175" s="42">
        <f t="shared" si="91"/>
        <v>0.97647482014286535</v>
      </c>
      <c r="D175" s="10">
        <f t="shared" si="92"/>
        <v>4.5635251798570042</v>
      </c>
      <c r="E175" s="40">
        <f t="shared" si="93"/>
        <v>21.95294964028599</v>
      </c>
      <c r="F175" s="40">
        <f t="shared" si="94"/>
        <v>31.08</v>
      </c>
      <c r="G175" s="3">
        <f t="shared" si="95"/>
        <v>218.58820143885814</v>
      </c>
      <c r="H175" s="3">
        <f t="shared" si="96"/>
        <v>81.256230789298584</v>
      </c>
      <c r="I175">
        <f t="shared" si="78"/>
        <v>8.1256230789298584E-5</v>
      </c>
      <c r="J175" s="4">
        <f t="shared" si="97"/>
        <v>378.50850604013868</v>
      </c>
      <c r="K175" s="40">
        <f t="shared" si="98"/>
        <v>4.6582090058007974</v>
      </c>
      <c r="L175" s="40">
        <f t="shared" si="79"/>
        <v>1.3417909941992026</v>
      </c>
      <c r="M175" s="10">
        <f t="shared" si="99"/>
        <v>4.9965263078723909</v>
      </c>
      <c r="N175" s="10">
        <f t="shared" si="80"/>
        <v>8.26</v>
      </c>
      <c r="O175" s="10">
        <f t="shared" si="81"/>
        <v>0.31900000000000001</v>
      </c>
      <c r="P175" s="10">
        <f t="shared" si="100"/>
        <v>13.799240894723368</v>
      </c>
      <c r="Q175" s="42">
        <f t="shared" si="101"/>
        <v>7.3658836438472639E-2</v>
      </c>
      <c r="R175" s="4">
        <f t="shared" si="102"/>
        <v>83098.431732755358</v>
      </c>
      <c r="S175">
        <f t="shared" si="82"/>
        <v>8.3098431732755364E-5</v>
      </c>
      <c r="T175" s="41">
        <f t="shared" si="83"/>
        <v>9.670594030912847E-5</v>
      </c>
      <c r="U175" s="42">
        <f t="shared" si="103"/>
        <v>0.1491242906660161</v>
      </c>
      <c r="V175" s="42">
        <f t="shared" si="104"/>
        <v>0.4486093505107332</v>
      </c>
      <c r="W175" s="42">
        <f t="shared" si="105"/>
        <v>0.44438106569880959</v>
      </c>
      <c r="X175" s="42">
        <f t="shared" si="106"/>
        <v>4.2282848119236105E-3</v>
      </c>
      <c r="Y175" s="42">
        <f t="shared" si="89"/>
        <v>1.4645686990372782E-3</v>
      </c>
      <c r="Z175" s="10">
        <f t="shared" si="107"/>
        <v>15.144557763004673</v>
      </c>
      <c r="AA175">
        <f t="shared" si="84"/>
        <v>4997239.1289102444</v>
      </c>
      <c r="AB175" s="10">
        <f t="shared" si="85"/>
        <v>4.9972391289102447</v>
      </c>
      <c r="AC175" s="10">
        <f t="shared" si="86"/>
        <v>4.8962391289102447</v>
      </c>
      <c r="AD175" s="3">
        <f t="shared" si="87"/>
        <v>710.11444944311017</v>
      </c>
      <c r="AI175" s="94">
        <f t="shared" si="88"/>
        <v>0.44438106569880959</v>
      </c>
    </row>
    <row r="176" spans="2:35">
      <c r="B176" s="39">
        <f t="shared" si="90"/>
        <v>148</v>
      </c>
      <c r="C176" s="42">
        <f t="shared" si="91"/>
        <v>0.98311750599417735</v>
      </c>
      <c r="D176" s="10">
        <f t="shared" si="92"/>
        <v>4.5568824940056913</v>
      </c>
      <c r="E176" s="40">
        <f t="shared" si="93"/>
        <v>21.966235011988616</v>
      </c>
      <c r="F176" s="40">
        <f t="shared" si="94"/>
        <v>31.08</v>
      </c>
      <c r="G176" s="3">
        <f t="shared" si="95"/>
        <v>218.53505995204765</v>
      </c>
      <c r="H176" s="3">
        <f t="shared" si="96"/>
        <v>81.256230789298584</v>
      </c>
      <c r="I176">
        <f t="shared" si="78"/>
        <v>8.1256230789298584E-5</v>
      </c>
      <c r="J176" s="4">
        <f t="shared" si="97"/>
        <v>378.96677227558069</v>
      </c>
      <c r="K176" s="40">
        <f t="shared" si="98"/>
        <v>4.663848773126829</v>
      </c>
      <c r="L176" s="40">
        <f t="shared" si="79"/>
        <v>1.336151226873171</v>
      </c>
      <c r="M176" s="10">
        <f t="shared" si="99"/>
        <v>4.9972391289102447</v>
      </c>
      <c r="N176" s="10">
        <f t="shared" si="80"/>
        <v>8.26</v>
      </c>
      <c r="O176" s="10">
        <f t="shared" si="81"/>
        <v>0.31900000000000001</v>
      </c>
      <c r="P176" s="10">
        <f t="shared" si="100"/>
        <v>13.799868862145921</v>
      </c>
      <c r="Q176" s="42">
        <f t="shared" si="101"/>
        <v>7.4140195059896455E-2</v>
      </c>
      <c r="R176" s="4">
        <f t="shared" si="102"/>
        <v>82978.082240218864</v>
      </c>
      <c r="S176">
        <f t="shared" si="82"/>
        <v>8.2978082240218871E-5</v>
      </c>
      <c r="T176" s="41">
        <f t="shared" si="83"/>
        <v>9.6826289801664963E-5</v>
      </c>
      <c r="U176" s="42">
        <f t="shared" si="103"/>
        <v>0.14890831748418476</v>
      </c>
      <c r="V176" s="42">
        <f t="shared" si="104"/>
        <v>0.44867417392983705</v>
      </c>
      <c r="W176" s="42">
        <f t="shared" si="105"/>
        <v>0.44444577052369111</v>
      </c>
      <c r="X176" s="42">
        <f t="shared" si="106"/>
        <v>4.2284034061459419E-3</v>
      </c>
      <c r="Y176" s="42">
        <f t="shared" si="89"/>
        <v>1.4666040774716845E-3</v>
      </c>
      <c r="Z176" s="10">
        <f t="shared" si="107"/>
        <v>15.146754879029411</v>
      </c>
      <c r="AA176">
        <f t="shared" si="84"/>
        <v>4997949.457043916</v>
      </c>
      <c r="AB176" s="10">
        <f t="shared" si="85"/>
        <v>4.9979494570439158</v>
      </c>
      <c r="AC176" s="10">
        <f t="shared" si="86"/>
        <v>4.8969494570439158</v>
      </c>
      <c r="AD176" s="3">
        <f t="shared" si="87"/>
        <v>710.21747020216333</v>
      </c>
      <c r="AI176" s="94">
        <f t="shared" si="88"/>
        <v>0.44444577052369111</v>
      </c>
    </row>
    <row r="177" spans="2:35">
      <c r="B177" s="39">
        <f t="shared" si="90"/>
        <v>149</v>
      </c>
      <c r="C177" s="42">
        <f t="shared" si="91"/>
        <v>0.98976019184548936</v>
      </c>
      <c r="D177" s="10">
        <f t="shared" si="92"/>
        <v>4.5502398081543785</v>
      </c>
      <c r="E177" s="40">
        <f t="shared" si="93"/>
        <v>21.979520383691241</v>
      </c>
      <c r="F177" s="40">
        <f t="shared" si="94"/>
        <v>31.08</v>
      </c>
      <c r="G177" s="3">
        <f t="shared" si="95"/>
        <v>218.48191846523716</v>
      </c>
      <c r="H177" s="3">
        <f t="shared" si="96"/>
        <v>81.256230789298584</v>
      </c>
      <c r="I177">
        <f t="shared" si="78"/>
        <v>8.1256230789298584E-5</v>
      </c>
      <c r="J177" s="4">
        <f t="shared" si="97"/>
        <v>379.42531575830429</v>
      </c>
      <c r="K177" s="40">
        <f t="shared" si="98"/>
        <v>4.6694919524654406</v>
      </c>
      <c r="L177" s="40">
        <f t="shared" si="79"/>
        <v>1.3305080475345594</v>
      </c>
      <c r="M177" s="10">
        <f t="shared" si="99"/>
        <v>4.9979494570439158</v>
      </c>
      <c r="N177" s="10">
        <f t="shared" si="80"/>
        <v>8.26</v>
      </c>
      <c r="O177" s="10">
        <f t="shared" si="81"/>
        <v>0.31900000000000001</v>
      </c>
      <c r="P177" s="10">
        <f t="shared" si="100"/>
        <v>13.800494572739392</v>
      </c>
      <c r="Q177" s="42">
        <f t="shared" si="101"/>
        <v>7.4621531856653989E-2</v>
      </c>
      <c r="R177" s="4">
        <f t="shared" si="102"/>
        <v>82857.72088006261</v>
      </c>
      <c r="S177">
        <f t="shared" si="82"/>
        <v>8.2857720880062617E-5</v>
      </c>
      <c r="T177" s="41">
        <f t="shared" si="83"/>
        <v>9.6946651161821217E-5</v>
      </c>
      <c r="U177" s="42">
        <f t="shared" si="103"/>
        <v>0.14869232300531635</v>
      </c>
      <c r="V177" s="42">
        <f t="shared" si="104"/>
        <v>0.44873876321825912</v>
      </c>
      <c r="W177" s="42">
        <f t="shared" si="105"/>
        <v>0.44451024906045827</v>
      </c>
      <c r="X177" s="42">
        <f t="shared" si="106"/>
        <v>4.2285141578008445E-3</v>
      </c>
      <c r="Y177" s="42">
        <f t="shared" si="89"/>
        <v>1.4686394169314443E-3</v>
      </c>
      <c r="Z177" s="10">
        <f t="shared" si="107"/>
        <v>15.148944283593909</v>
      </c>
      <c r="AA177">
        <f t="shared" si="84"/>
        <v>4998657.2920606574</v>
      </c>
      <c r="AB177" s="10">
        <f t="shared" si="85"/>
        <v>4.9986572920606571</v>
      </c>
      <c r="AC177" s="10">
        <f t="shared" si="86"/>
        <v>4.8976572920606571</v>
      </c>
      <c r="AD177" s="3">
        <f t="shared" si="87"/>
        <v>710.32012937790535</v>
      </c>
      <c r="AI177" s="94">
        <f t="shared" si="88"/>
        <v>0.44451024906045827</v>
      </c>
    </row>
    <row r="178" spans="2:35">
      <c r="B178" s="39">
        <f t="shared" si="90"/>
        <v>150</v>
      </c>
      <c r="C178" s="42">
        <f t="shared" si="91"/>
        <v>0.99640287769680136</v>
      </c>
      <c r="D178" s="10">
        <f t="shared" si="92"/>
        <v>4.5435971223030656</v>
      </c>
      <c r="E178" s="40">
        <f t="shared" si="93"/>
        <v>21.992805755393867</v>
      </c>
      <c r="F178" s="40">
        <f t="shared" si="94"/>
        <v>31.08</v>
      </c>
      <c r="G178" s="3">
        <f t="shared" si="95"/>
        <v>218.42877697842667</v>
      </c>
      <c r="H178" s="3">
        <f t="shared" si="96"/>
        <v>81.256230789298584</v>
      </c>
      <c r="I178">
        <f t="shared" si="78"/>
        <v>8.1256230789298584E-5</v>
      </c>
      <c r="J178" s="4">
        <f t="shared" si="97"/>
        <v>379.88413648830948</v>
      </c>
      <c r="K178" s="40">
        <f t="shared" si="98"/>
        <v>4.6751385438166313</v>
      </c>
      <c r="L178" s="40">
        <f t="shared" si="79"/>
        <v>1.3248614561833687</v>
      </c>
      <c r="M178" s="10">
        <f t="shared" si="99"/>
        <v>4.9986572920606571</v>
      </c>
      <c r="N178" s="10">
        <f t="shared" si="80"/>
        <v>8.26</v>
      </c>
      <c r="O178" s="10">
        <f t="shared" si="81"/>
        <v>0.31900000000000001</v>
      </c>
      <c r="P178" s="10">
        <f t="shared" si="100"/>
        <v>13.801118026968529</v>
      </c>
      <c r="Q178" s="42">
        <f t="shared" si="101"/>
        <v>7.5102846909415058E-2</v>
      </c>
      <c r="R178" s="4">
        <f t="shared" si="102"/>
        <v>82737.347696486584</v>
      </c>
      <c r="S178">
        <f t="shared" si="82"/>
        <v>8.2737347696486583E-5</v>
      </c>
      <c r="T178" s="41">
        <f t="shared" si="83"/>
        <v>9.7067024345397251E-5</v>
      </c>
      <c r="U178" s="42">
        <f t="shared" si="103"/>
        <v>0.14847630730872999</v>
      </c>
      <c r="V178" s="42">
        <f t="shared" si="104"/>
        <v>0.44880311834666603</v>
      </c>
      <c r="W178" s="42">
        <f t="shared" si="105"/>
        <v>0.44457450128979936</v>
      </c>
      <c r="X178" s="42">
        <f t="shared" si="106"/>
        <v>4.2286170568666681E-3</v>
      </c>
      <c r="Y178" s="42">
        <f t="shared" si="89"/>
        <v>1.4706747139732765E-3</v>
      </c>
      <c r="Z178" s="10">
        <f t="shared" si="107"/>
        <v>15.151125976007251</v>
      </c>
      <c r="AA178">
        <f t="shared" si="84"/>
        <v>4999362.6337370938</v>
      </c>
      <c r="AB178" s="10">
        <f t="shared" si="85"/>
        <v>4.9993626337370936</v>
      </c>
      <c r="AC178" s="10">
        <f t="shared" si="86"/>
        <v>4.8983626337370936</v>
      </c>
      <c r="AD178" s="3">
        <f t="shared" si="87"/>
        <v>710.42242693793958</v>
      </c>
      <c r="AI178" s="94">
        <f t="shared" si="88"/>
        <v>0.44457450128979936</v>
      </c>
    </row>
    <row r="179" spans="2:35">
      <c r="B179" s="39">
        <f t="shared" si="90"/>
        <v>151</v>
      </c>
      <c r="C179" s="42">
        <f t="shared" si="91"/>
        <v>1.0030455635481135</v>
      </c>
      <c r="D179" s="10">
        <f t="shared" si="92"/>
        <v>4.5369544364517527</v>
      </c>
      <c r="E179" s="40">
        <f t="shared" si="93"/>
        <v>22.006091127096493</v>
      </c>
      <c r="F179" s="40">
        <f t="shared" si="94"/>
        <v>31.08</v>
      </c>
      <c r="G179" s="3">
        <f t="shared" si="95"/>
        <v>218.37563549161618</v>
      </c>
      <c r="H179" s="3">
        <f t="shared" si="96"/>
        <v>81.256230789298584</v>
      </c>
      <c r="I179">
        <f t="shared" si="78"/>
        <v>8.1256230789298584E-5</v>
      </c>
      <c r="J179" s="4">
        <f t="shared" si="97"/>
        <v>380.3432344655962</v>
      </c>
      <c r="K179" s="40">
        <f t="shared" si="98"/>
        <v>4.6807885471804003</v>
      </c>
      <c r="L179" s="40">
        <f t="shared" si="79"/>
        <v>1.3192114528195997</v>
      </c>
      <c r="M179" s="10">
        <f t="shared" si="99"/>
        <v>4.9993626337370936</v>
      </c>
      <c r="N179" s="10">
        <f t="shared" si="80"/>
        <v>8.26</v>
      </c>
      <c r="O179" s="10">
        <f t="shared" si="81"/>
        <v>0.31900000000000001</v>
      </c>
      <c r="P179" s="10">
        <f t="shared" si="100"/>
        <v>13.80173922528625</v>
      </c>
      <c r="Q179" s="42">
        <f t="shared" si="101"/>
        <v>7.5584140298812094E-2</v>
      </c>
      <c r="R179" s="4">
        <f t="shared" si="102"/>
        <v>82616.962733690831</v>
      </c>
      <c r="S179">
        <f t="shared" si="82"/>
        <v>8.2616962733690833E-5</v>
      </c>
      <c r="T179" s="41">
        <f t="shared" si="83"/>
        <v>9.7187409308193001E-5</v>
      </c>
      <c r="U179" s="42">
        <f t="shared" si="103"/>
        <v>0.14826027047374488</v>
      </c>
      <c r="V179" s="42">
        <f t="shared" si="104"/>
        <v>0.4488672392857137</v>
      </c>
      <c r="W179" s="42">
        <f t="shared" si="105"/>
        <v>0.44463852719143782</v>
      </c>
      <c r="X179" s="42">
        <f t="shared" si="106"/>
        <v>4.2287120942758882E-3</v>
      </c>
      <c r="Y179" s="42">
        <f t="shared" si="89"/>
        <v>1.4727099651499148E-3</v>
      </c>
      <c r="Z179" s="10">
        <f t="shared" si="107"/>
        <v>15.153299955550558</v>
      </c>
      <c r="AA179">
        <f t="shared" si="84"/>
        <v>5000065.4818408126</v>
      </c>
      <c r="AB179" s="10">
        <f t="shared" si="85"/>
        <v>5.0000654818408128</v>
      </c>
      <c r="AC179" s="10">
        <f t="shared" si="86"/>
        <v>4.8990654818408128</v>
      </c>
      <c r="AD179" s="3">
        <f t="shared" si="87"/>
        <v>710.52436284855878</v>
      </c>
      <c r="AI179" s="94">
        <f t="shared" si="88"/>
        <v>0.44463852719143782</v>
      </c>
    </row>
    <row r="180" spans="2:35">
      <c r="B180" s="39">
        <f t="shared" si="90"/>
        <v>152</v>
      </c>
      <c r="C180" s="42">
        <f t="shared" si="91"/>
        <v>1.0096882493994255</v>
      </c>
      <c r="D180" s="10">
        <f t="shared" si="92"/>
        <v>4.5303117506004398</v>
      </c>
      <c r="E180" s="40">
        <f t="shared" si="93"/>
        <v>22.019376498799119</v>
      </c>
      <c r="F180" s="40">
        <f t="shared" si="94"/>
        <v>31.08</v>
      </c>
      <c r="G180" s="3">
        <f t="shared" si="95"/>
        <v>218.32249400480569</v>
      </c>
      <c r="H180" s="3">
        <f t="shared" si="96"/>
        <v>81.256230789298584</v>
      </c>
      <c r="I180">
        <f t="shared" si="78"/>
        <v>8.1256230789298584E-5</v>
      </c>
      <c r="J180" s="4">
        <f t="shared" si="97"/>
        <v>380.8026096901645</v>
      </c>
      <c r="K180" s="40">
        <f t="shared" si="98"/>
        <v>4.6864419625567475</v>
      </c>
      <c r="L180" s="40">
        <f t="shared" si="79"/>
        <v>1.3135580374432525</v>
      </c>
      <c r="M180" s="10">
        <f t="shared" si="99"/>
        <v>5.0000654818408128</v>
      </c>
      <c r="N180" s="10">
        <f t="shared" si="80"/>
        <v>8.26</v>
      </c>
      <c r="O180" s="10">
        <f t="shared" si="81"/>
        <v>0.31900000000000001</v>
      </c>
      <c r="P180" s="10">
        <f t="shared" si="100"/>
        <v>13.802358168135042</v>
      </c>
      <c r="Q180" s="42">
        <f t="shared" si="101"/>
        <v>7.60654121054406E-2</v>
      </c>
      <c r="R180" s="4">
        <f t="shared" si="102"/>
        <v>82496.566035875294</v>
      </c>
      <c r="S180">
        <f t="shared" si="82"/>
        <v>8.2496566035875294E-5</v>
      </c>
      <c r="T180" s="41">
        <f t="shared" si="83"/>
        <v>9.730780600600854E-5</v>
      </c>
      <c r="U180" s="42">
        <f t="shared" si="103"/>
        <v>0.14804421257968001</v>
      </c>
      <c r="V180" s="42">
        <f t="shared" si="104"/>
        <v>0.44893112600640012</v>
      </c>
      <c r="W180" s="42">
        <f t="shared" si="105"/>
        <v>0.44470232674427701</v>
      </c>
      <c r="X180" s="42">
        <f t="shared" si="106"/>
        <v>4.2287992621231063E-3</v>
      </c>
      <c r="Y180" s="42">
        <f t="shared" si="89"/>
        <v>1.4747451670106661E-3</v>
      </c>
      <c r="Z180" s="10">
        <f t="shared" si="107"/>
        <v>15.155466221482826</v>
      </c>
      <c r="AA180">
        <f t="shared" si="84"/>
        <v>5000765.836132247</v>
      </c>
      <c r="AB180" s="10">
        <f t="shared" si="85"/>
        <v>5.0007658361322473</v>
      </c>
      <c r="AC180" s="10">
        <f t="shared" si="86"/>
        <v>4.8997658361322474</v>
      </c>
      <c r="AD180" s="3">
        <f t="shared" si="87"/>
        <v>710.62593707501765</v>
      </c>
      <c r="AI180" s="94">
        <f t="shared" si="88"/>
        <v>0.44470232674427701</v>
      </c>
    </row>
    <row r="181" spans="2:35">
      <c r="B181" s="39">
        <f t="shared" si="90"/>
        <v>153</v>
      </c>
      <c r="C181" s="42">
        <f t="shared" si="91"/>
        <v>1.0163309352507375</v>
      </c>
      <c r="D181" s="10">
        <f t="shared" si="92"/>
        <v>4.5236690647491269</v>
      </c>
      <c r="E181" s="40">
        <f t="shared" si="93"/>
        <v>22.032661870501745</v>
      </c>
      <c r="F181" s="40">
        <f t="shared" si="94"/>
        <v>31.08</v>
      </c>
      <c r="G181" s="3">
        <f t="shared" si="95"/>
        <v>218.2693525179952</v>
      </c>
      <c r="H181" s="3">
        <f t="shared" si="96"/>
        <v>81.256230789298584</v>
      </c>
      <c r="I181">
        <f t="shared" si="78"/>
        <v>8.1256230789298584E-5</v>
      </c>
      <c r="J181" s="4">
        <f t="shared" si="97"/>
        <v>381.26226216201434</v>
      </c>
      <c r="K181" s="40">
        <f t="shared" si="98"/>
        <v>4.6920987899456748</v>
      </c>
      <c r="L181" s="40">
        <f t="shared" si="79"/>
        <v>1.3079012100543252</v>
      </c>
      <c r="M181" s="10">
        <f t="shared" si="99"/>
        <v>5.0007658361322473</v>
      </c>
      <c r="N181" s="10">
        <f t="shared" si="80"/>
        <v>8.26</v>
      </c>
      <c r="O181" s="10">
        <f t="shared" si="81"/>
        <v>0.31900000000000001</v>
      </c>
      <c r="P181" s="10">
        <f t="shared" si="100"/>
        <v>13.802974855948634</v>
      </c>
      <c r="Q181" s="42">
        <f t="shared" si="101"/>
        <v>7.6546662409859523E-2</v>
      </c>
      <c r="R181" s="4">
        <f t="shared" si="102"/>
        <v>82376.157647240019</v>
      </c>
      <c r="S181">
        <f t="shared" si="82"/>
        <v>8.2376157647240015E-5</v>
      </c>
      <c r="T181" s="41">
        <f t="shared" si="83"/>
        <v>9.7428214394643819E-5</v>
      </c>
      <c r="U181" s="42">
        <f t="shared" si="103"/>
        <v>0.14782813370585457</v>
      </c>
      <c r="V181" s="42">
        <f t="shared" si="104"/>
        <v>0.44899477847881591</v>
      </c>
      <c r="W181" s="42">
        <f t="shared" si="105"/>
        <v>0.4447658999265709</v>
      </c>
      <c r="X181" s="42">
        <f t="shared" si="106"/>
        <v>4.228878552245019E-3</v>
      </c>
      <c r="Y181" s="42">
        <f t="shared" si="89"/>
        <v>1.4767803161012847E-3</v>
      </c>
      <c r="Z181" s="10">
        <f t="shared" si="107"/>
        <v>15.157624773039787</v>
      </c>
      <c r="AA181">
        <f t="shared" si="84"/>
        <v>5001463.6963643087</v>
      </c>
      <c r="AB181" s="10">
        <f t="shared" si="85"/>
        <v>5.0014636963643087</v>
      </c>
      <c r="AC181" s="10">
        <f t="shared" si="86"/>
        <v>4.9004636963643087</v>
      </c>
      <c r="AD181" s="3">
        <f t="shared" si="87"/>
        <v>710.7271495814806</v>
      </c>
      <c r="AI181" s="94">
        <f t="shared" si="88"/>
        <v>0.4447658999265709</v>
      </c>
    </row>
    <row r="182" spans="2:35">
      <c r="B182" s="39">
        <f t="shared" si="90"/>
        <v>154</v>
      </c>
      <c r="C182" s="42">
        <f t="shared" si="91"/>
        <v>1.0229736211020495</v>
      </c>
      <c r="D182" s="10">
        <f t="shared" si="92"/>
        <v>4.517026378897814</v>
      </c>
      <c r="E182" s="40">
        <f t="shared" si="93"/>
        <v>22.04594724220437</v>
      </c>
      <c r="F182" s="40">
        <f t="shared" si="94"/>
        <v>31.08</v>
      </c>
      <c r="G182" s="3">
        <f t="shared" si="95"/>
        <v>218.21621103118471</v>
      </c>
      <c r="H182" s="3">
        <f t="shared" si="96"/>
        <v>81.256230789298584</v>
      </c>
      <c r="I182">
        <f t="shared" si="78"/>
        <v>8.1256230789298584E-5</v>
      </c>
      <c r="J182" s="4">
        <f t="shared" si="97"/>
        <v>381.72219188114576</v>
      </c>
      <c r="K182" s="40">
        <f t="shared" si="98"/>
        <v>4.6977590293471803</v>
      </c>
      <c r="L182" s="40">
        <f t="shared" si="79"/>
        <v>1.3022409706528197</v>
      </c>
      <c r="M182" s="10">
        <f t="shared" si="99"/>
        <v>5.0014636963643087</v>
      </c>
      <c r="N182" s="10">
        <f t="shared" si="80"/>
        <v>8.26</v>
      </c>
      <c r="O182" s="10">
        <f t="shared" si="81"/>
        <v>0.31900000000000001</v>
      </c>
      <c r="P182" s="10">
        <f t="shared" si="100"/>
        <v>13.803589289151667</v>
      </c>
      <c r="Q182" s="42">
        <f t="shared" si="101"/>
        <v>7.7027891292591674E-2</v>
      </c>
      <c r="R182" s="4">
        <f t="shared" si="102"/>
        <v>82255.737611984965</v>
      </c>
      <c r="S182">
        <f t="shared" si="82"/>
        <v>8.2255737611984964E-5</v>
      </c>
      <c r="T182" s="41">
        <f t="shared" si="83"/>
        <v>9.754863442989887E-5</v>
      </c>
      <c r="U182" s="42">
        <f t="shared" si="103"/>
        <v>0.14761203393158762</v>
      </c>
      <c r="V182" s="42">
        <f t="shared" si="104"/>
        <v>0.44905819667360458</v>
      </c>
      <c r="W182" s="42">
        <f t="shared" si="105"/>
        <v>0.44482924671589025</v>
      </c>
      <c r="X182" s="42">
        <f t="shared" si="106"/>
        <v>4.2289499577143341E-3</v>
      </c>
      <c r="Y182" s="42">
        <f t="shared" si="89"/>
        <v>1.4788154089645658E-3</v>
      </c>
      <c r="Z182" s="10">
        <f t="shared" si="107"/>
        <v>15.159775609440061</v>
      </c>
      <c r="AA182">
        <f t="shared" si="84"/>
        <v>5002159.0622843774</v>
      </c>
      <c r="AB182" s="10">
        <f t="shared" si="85"/>
        <v>5.0021590622843775</v>
      </c>
      <c r="AC182" s="10">
        <f t="shared" si="86"/>
        <v>4.9011590622843775</v>
      </c>
      <c r="AD182" s="3">
        <f t="shared" si="87"/>
        <v>710.82800033130923</v>
      </c>
      <c r="AI182" s="94">
        <f t="shared" si="88"/>
        <v>0.44482924671589025</v>
      </c>
    </row>
    <row r="183" spans="2:35">
      <c r="B183" s="39">
        <f t="shared" si="90"/>
        <v>155</v>
      </c>
      <c r="C183" s="42">
        <f t="shared" si="91"/>
        <v>1.0296163069533615</v>
      </c>
      <c r="D183" s="10">
        <f t="shared" si="92"/>
        <v>4.5103836930465011</v>
      </c>
      <c r="E183" s="40">
        <f t="shared" si="93"/>
        <v>22.059232613906996</v>
      </c>
      <c r="F183" s="40">
        <f t="shared" si="94"/>
        <v>31.08</v>
      </c>
      <c r="G183" s="3">
        <f t="shared" si="95"/>
        <v>218.16306954437422</v>
      </c>
      <c r="H183" s="3">
        <f t="shared" si="96"/>
        <v>81.256230789298584</v>
      </c>
      <c r="I183">
        <f t="shared" si="78"/>
        <v>8.1256230789298584E-5</v>
      </c>
      <c r="J183" s="4">
        <f t="shared" si="97"/>
        <v>382.18239884755877</v>
      </c>
      <c r="K183" s="40">
        <f t="shared" si="98"/>
        <v>4.7034226807612649</v>
      </c>
      <c r="L183" s="40">
        <f t="shared" si="79"/>
        <v>1.2965773192387351</v>
      </c>
      <c r="M183" s="10">
        <f t="shared" si="99"/>
        <v>5.0021590622843775</v>
      </c>
      <c r="N183" s="10">
        <f t="shared" si="80"/>
        <v>8.26</v>
      </c>
      <c r="O183" s="10">
        <f t="shared" si="81"/>
        <v>0.31900000000000001</v>
      </c>
      <c r="P183" s="10">
        <f t="shared" si="100"/>
        <v>13.804201468161464</v>
      </c>
      <c r="Q183" s="42">
        <f t="shared" si="101"/>
        <v>7.7509098834124088E-2</v>
      </c>
      <c r="R183" s="4">
        <f t="shared" si="102"/>
        <v>82135.305974310162</v>
      </c>
      <c r="S183">
        <f t="shared" si="82"/>
        <v>8.2135305974310164E-5</v>
      </c>
      <c r="T183" s="41">
        <f t="shared" si="83"/>
        <v>9.766906606757367E-5</v>
      </c>
      <c r="U183" s="42">
        <f t="shared" si="103"/>
        <v>0.14739591333619828</v>
      </c>
      <c r="V183" s="42">
        <f t="shared" si="104"/>
        <v>0.44912138056086065</v>
      </c>
      <c r="W183" s="42">
        <f t="shared" si="105"/>
        <v>0.44489236708930419</v>
      </c>
      <c r="X183" s="42">
        <f t="shared" si="106"/>
        <v>4.2290134715564642E-3</v>
      </c>
      <c r="Y183" s="42">
        <f t="shared" si="89"/>
        <v>1.480850442140321E-3</v>
      </c>
      <c r="Z183" s="10">
        <f t="shared" si="107"/>
        <v>15.161918729885002</v>
      </c>
      <c r="AA183">
        <f t="shared" si="84"/>
        <v>5002851.9336342504</v>
      </c>
      <c r="AB183" s="10">
        <f t="shared" si="85"/>
        <v>5.0028519336342505</v>
      </c>
      <c r="AC183" s="10">
        <f t="shared" si="86"/>
        <v>4.9018519336342505</v>
      </c>
      <c r="AD183" s="3">
        <f t="shared" si="87"/>
        <v>710.92848928705587</v>
      </c>
      <c r="AI183" s="94">
        <f t="shared" si="88"/>
        <v>0.44489236708930419</v>
      </c>
    </row>
    <row r="184" spans="2:35">
      <c r="B184" s="39">
        <f t="shared" si="90"/>
        <v>156</v>
      </c>
      <c r="C184" s="42">
        <f t="shared" si="91"/>
        <v>1.0362589928046735</v>
      </c>
      <c r="D184" s="10">
        <f t="shared" si="92"/>
        <v>4.5037410071951882</v>
      </c>
      <c r="E184" s="40">
        <f t="shared" si="93"/>
        <v>22.072517985609622</v>
      </c>
      <c r="F184" s="40">
        <f t="shared" si="94"/>
        <v>31.08</v>
      </c>
      <c r="G184" s="3">
        <f t="shared" si="95"/>
        <v>218.10992805756374</v>
      </c>
      <c r="H184" s="3">
        <f t="shared" si="96"/>
        <v>81.256230789298584</v>
      </c>
      <c r="I184">
        <f t="shared" si="78"/>
        <v>8.1256230789298584E-5</v>
      </c>
      <c r="J184" s="4">
        <f t="shared" si="97"/>
        <v>382.64288306125326</v>
      </c>
      <c r="K184" s="40">
        <f t="shared" si="98"/>
        <v>4.7090897441879278</v>
      </c>
      <c r="L184" s="40">
        <f t="shared" si="79"/>
        <v>1.2909102558120722</v>
      </c>
      <c r="M184" s="10">
        <f t="shared" si="99"/>
        <v>5.0028519336342505</v>
      </c>
      <c r="N184" s="10">
        <f t="shared" si="80"/>
        <v>8.26</v>
      </c>
      <c r="O184" s="10">
        <f t="shared" si="81"/>
        <v>0.31900000000000001</v>
      </c>
      <c r="P184" s="10">
        <f t="shared" si="100"/>
        <v>13.804811393387979</v>
      </c>
      <c r="Q184" s="42">
        <f t="shared" si="101"/>
        <v>7.7990285114908312E-2</v>
      </c>
      <c r="R184" s="4">
        <f t="shared" si="102"/>
        <v>82014.862778415598</v>
      </c>
      <c r="S184">
        <f t="shared" si="82"/>
        <v>8.2014862778415597E-5</v>
      </c>
      <c r="T184" s="41">
        <f t="shared" si="83"/>
        <v>9.7789509263468237E-5</v>
      </c>
      <c r="U184" s="42">
        <f t="shared" si="103"/>
        <v>0.1471797719990057</v>
      </c>
      <c r="V184" s="42">
        <f t="shared" si="104"/>
        <v>0.4491843301108282</v>
      </c>
      <c r="W184" s="42">
        <f t="shared" si="105"/>
        <v>0.4449552610233749</v>
      </c>
      <c r="X184" s="42">
        <f t="shared" si="106"/>
        <v>4.2290690874532966E-3</v>
      </c>
      <c r="Y184" s="42">
        <f t="shared" si="89"/>
        <v>1.4828854121656922E-3</v>
      </c>
      <c r="Z184" s="10">
        <f t="shared" si="107"/>
        <v>15.164054133561971</v>
      </c>
      <c r="AA184">
        <f t="shared" si="84"/>
        <v>5003542.3101512026</v>
      </c>
      <c r="AB184" s="10">
        <f t="shared" si="85"/>
        <v>5.0035423101512029</v>
      </c>
      <c r="AC184" s="10">
        <f t="shared" si="86"/>
        <v>4.9025423101512029</v>
      </c>
      <c r="AD184" s="3">
        <f t="shared" si="87"/>
        <v>711.02861641061679</v>
      </c>
      <c r="AI184" s="94">
        <f t="shared" si="88"/>
        <v>0.4449552610233749</v>
      </c>
    </row>
    <row r="185" spans="2:35">
      <c r="B185" s="39">
        <f t="shared" si="90"/>
        <v>157</v>
      </c>
      <c r="C185" s="42">
        <f t="shared" si="91"/>
        <v>1.0429016786559855</v>
      </c>
      <c r="D185" s="10">
        <f t="shared" si="92"/>
        <v>4.4970983213438753</v>
      </c>
      <c r="E185" s="40">
        <f t="shared" si="93"/>
        <v>22.085803357312248</v>
      </c>
      <c r="F185" s="40">
        <f t="shared" si="94"/>
        <v>31.08</v>
      </c>
      <c r="G185" s="3">
        <f t="shared" si="95"/>
        <v>218.05678657075325</v>
      </c>
      <c r="H185" s="3">
        <f t="shared" si="96"/>
        <v>81.256230789298584</v>
      </c>
      <c r="I185">
        <f t="shared" si="78"/>
        <v>8.1256230789298584E-5</v>
      </c>
      <c r="J185" s="4">
        <f t="shared" si="97"/>
        <v>383.10364452222933</v>
      </c>
      <c r="K185" s="40">
        <f t="shared" si="98"/>
        <v>4.714760219627169</v>
      </c>
      <c r="L185" s="40">
        <f t="shared" si="79"/>
        <v>1.285239780372831</v>
      </c>
      <c r="M185" s="10">
        <f t="shared" si="99"/>
        <v>5.0035423101512029</v>
      </c>
      <c r="N185" s="10">
        <f t="shared" si="80"/>
        <v>8.26</v>
      </c>
      <c r="O185" s="10">
        <f t="shared" si="81"/>
        <v>0.31900000000000001</v>
      </c>
      <c r="P185" s="10">
        <f t="shared" si="100"/>
        <v>13.805419065234739</v>
      </c>
      <c r="Q185" s="42">
        <f t="shared" si="101"/>
        <v>7.8471450215360769E-2</v>
      </c>
      <c r="R185" s="4">
        <f t="shared" si="102"/>
        <v>81894.408068501274</v>
      </c>
      <c r="S185">
        <f t="shared" si="82"/>
        <v>8.1894408068501271E-5</v>
      </c>
      <c r="T185" s="41">
        <f t="shared" si="83"/>
        <v>9.7909963973382563E-5</v>
      </c>
      <c r="U185" s="42">
        <f t="shared" si="103"/>
        <v>0.14696360999932895</v>
      </c>
      <c r="V185" s="42">
        <f t="shared" si="104"/>
        <v>0.44924704529377824</v>
      </c>
      <c r="W185" s="42">
        <f t="shared" si="105"/>
        <v>0.44501792849425409</v>
      </c>
      <c r="X185" s="42">
        <f t="shared" si="106"/>
        <v>4.2291167995241463E-3</v>
      </c>
      <c r="Y185" s="42">
        <f t="shared" si="89"/>
        <v>1.4849203155753604E-3</v>
      </c>
      <c r="Z185" s="10">
        <f t="shared" si="107"/>
        <v>15.166181819646519</v>
      </c>
      <c r="AA185">
        <f t="shared" si="84"/>
        <v>5004230.1915686876</v>
      </c>
      <c r="AB185" s="10">
        <f t="shared" si="85"/>
        <v>5.0042301915686878</v>
      </c>
      <c r="AC185" s="10">
        <f t="shared" si="86"/>
        <v>4.9032301915686878</v>
      </c>
      <c r="AD185" s="3">
        <f t="shared" si="87"/>
        <v>711.12838166333393</v>
      </c>
      <c r="AI185" s="94">
        <f t="shared" si="88"/>
        <v>0.44501792849425409</v>
      </c>
    </row>
    <row r="186" spans="2:35">
      <c r="B186" s="39">
        <f t="shared" si="90"/>
        <v>158</v>
      </c>
      <c r="C186" s="42">
        <f t="shared" si="91"/>
        <v>1.0495443645072975</v>
      </c>
      <c r="D186" s="10">
        <f t="shared" si="92"/>
        <v>4.4904556354925624</v>
      </c>
      <c r="E186" s="40">
        <f t="shared" si="93"/>
        <v>22.099088729014873</v>
      </c>
      <c r="F186" s="40">
        <f t="shared" si="94"/>
        <v>31.08</v>
      </c>
      <c r="G186" s="3">
        <f t="shared" si="95"/>
        <v>218.00364508394276</v>
      </c>
      <c r="H186" s="3">
        <f t="shared" si="96"/>
        <v>81.256230789298584</v>
      </c>
      <c r="I186">
        <f t="shared" si="78"/>
        <v>8.1256230789298584E-5</v>
      </c>
      <c r="J186" s="4">
        <f t="shared" si="97"/>
        <v>383.56468323048705</v>
      </c>
      <c r="K186" s="40">
        <f t="shared" si="98"/>
        <v>4.720434107078991</v>
      </c>
      <c r="L186" s="40">
        <f t="shared" si="79"/>
        <v>1.279565892921009</v>
      </c>
      <c r="M186" s="10">
        <f t="shared" si="99"/>
        <v>5.0042301915686878</v>
      </c>
      <c r="N186" s="10">
        <f t="shared" si="80"/>
        <v>8.26</v>
      </c>
      <c r="O186" s="10">
        <f t="shared" si="81"/>
        <v>0.31900000000000001</v>
      </c>
      <c r="P186" s="10">
        <f t="shared" si="100"/>
        <v>13.806024484099467</v>
      </c>
      <c r="Q186" s="42">
        <f t="shared" si="101"/>
        <v>7.8952594215863051E-2</v>
      </c>
      <c r="R186" s="4">
        <f t="shared" si="102"/>
        <v>81773.941888767149</v>
      </c>
      <c r="S186">
        <f t="shared" si="82"/>
        <v>8.1773941888767154E-5</v>
      </c>
      <c r="T186" s="41">
        <f t="shared" si="83"/>
        <v>9.803043015311668E-5</v>
      </c>
      <c r="U186" s="42">
        <f t="shared" si="103"/>
        <v>0.14674742741648708</v>
      </c>
      <c r="V186" s="42">
        <f t="shared" si="104"/>
        <v>0.44930952607990005</v>
      </c>
      <c r="W186" s="42">
        <f t="shared" si="105"/>
        <v>0.44508036947774643</v>
      </c>
      <c r="X186" s="42">
        <f t="shared" si="106"/>
        <v>4.2291566021536164E-3</v>
      </c>
      <c r="Y186" s="42">
        <f t="shared" si="89"/>
        <v>1.4869551489016712E-3</v>
      </c>
      <c r="Z186" s="10">
        <f t="shared" si="107"/>
        <v>15.16830178730371</v>
      </c>
      <c r="AA186">
        <f t="shared" si="84"/>
        <v>5004915.5776167717</v>
      </c>
      <c r="AB186" s="10">
        <f t="shared" si="85"/>
        <v>5.0049155776167717</v>
      </c>
      <c r="AC186" s="10">
        <f t="shared" si="86"/>
        <v>4.9039155776167718</v>
      </c>
      <c r="AD186" s="3">
        <f t="shared" si="87"/>
        <v>711.2277850060583</v>
      </c>
      <c r="AI186" s="94">
        <f t="shared" si="88"/>
        <v>0.44508036947774643</v>
      </c>
    </row>
    <row r="187" spans="2:35">
      <c r="B187" s="39">
        <f t="shared" si="90"/>
        <v>159</v>
      </c>
      <c r="C187" s="42">
        <f t="shared" si="91"/>
        <v>1.0561870503586095</v>
      </c>
      <c r="D187" s="10">
        <f t="shared" si="92"/>
        <v>4.4838129496412495</v>
      </c>
      <c r="E187" s="40">
        <f t="shared" si="93"/>
        <v>22.112374100717499</v>
      </c>
      <c r="F187" s="40">
        <f t="shared" si="94"/>
        <v>31.08</v>
      </c>
      <c r="G187" s="3">
        <f t="shared" si="95"/>
        <v>217.95050359713227</v>
      </c>
      <c r="H187" s="3">
        <f t="shared" si="96"/>
        <v>81.256230789298584</v>
      </c>
      <c r="I187">
        <f t="shared" si="78"/>
        <v>8.1256230789298584E-5</v>
      </c>
      <c r="J187" s="4">
        <f t="shared" si="97"/>
        <v>384.02599918602624</v>
      </c>
      <c r="K187" s="40">
        <f t="shared" si="98"/>
        <v>4.7261114065433896</v>
      </c>
      <c r="L187" s="40">
        <f t="shared" si="79"/>
        <v>1.2738885934566104</v>
      </c>
      <c r="M187" s="10">
        <f t="shared" si="99"/>
        <v>5.0049155776167717</v>
      </c>
      <c r="N187" s="10">
        <f t="shared" si="80"/>
        <v>8.26</v>
      </c>
      <c r="O187" s="10">
        <f t="shared" si="81"/>
        <v>0.31900000000000001</v>
      </c>
      <c r="P187" s="10">
        <f t="shared" si="100"/>
        <v>13.806627650374462</v>
      </c>
      <c r="Q187" s="42">
        <f t="shared" si="101"/>
        <v>7.9433717196762149E-2</v>
      </c>
      <c r="R187" s="4">
        <f t="shared" si="102"/>
        <v>81653.464283413283</v>
      </c>
      <c r="S187">
        <f t="shared" si="82"/>
        <v>8.1653464283413282E-5</v>
      </c>
      <c r="T187" s="41">
        <f t="shared" si="83"/>
        <v>9.8150907758470552E-5</v>
      </c>
      <c r="U187" s="42">
        <f t="shared" si="103"/>
        <v>0.14653122432979929</v>
      </c>
      <c r="V187" s="42">
        <f t="shared" si="104"/>
        <v>0.44937177243906429</v>
      </c>
      <c r="W187" s="42">
        <f t="shared" si="105"/>
        <v>0.44514258394934936</v>
      </c>
      <c r="X187" s="42">
        <f t="shared" si="106"/>
        <v>4.2291884897149301E-3</v>
      </c>
      <c r="Y187" s="42">
        <f t="shared" si="89"/>
        <v>1.4889899086746271E-3</v>
      </c>
      <c r="Z187" s="10">
        <f t="shared" si="107"/>
        <v>15.170414035688074</v>
      </c>
      <c r="AA187">
        <f t="shared" si="84"/>
        <v>5005598.4680221127</v>
      </c>
      <c r="AB187" s="10">
        <f t="shared" si="85"/>
        <v>5.0055984680221126</v>
      </c>
      <c r="AC187" s="10">
        <f t="shared" si="86"/>
        <v>4.9045984680221126</v>
      </c>
      <c r="AD187" s="3">
        <f t="shared" si="87"/>
        <v>711.32682639914617</v>
      </c>
      <c r="AI187" s="94">
        <f t="shared" si="88"/>
        <v>0.44514258394934936</v>
      </c>
    </row>
    <row r="188" spans="2:35">
      <c r="B188" s="39">
        <f t="shared" si="90"/>
        <v>160</v>
      </c>
      <c r="C188" s="42">
        <f t="shared" si="91"/>
        <v>1.0628297362099215</v>
      </c>
      <c r="D188" s="10">
        <f t="shared" si="92"/>
        <v>4.4771702637899367</v>
      </c>
      <c r="E188" s="40">
        <f t="shared" si="93"/>
        <v>22.125659472420125</v>
      </c>
      <c r="F188" s="40">
        <f t="shared" si="94"/>
        <v>31.08</v>
      </c>
      <c r="G188" s="3">
        <f t="shared" si="95"/>
        <v>217.89736211032178</v>
      </c>
      <c r="H188" s="3">
        <f t="shared" si="96"/>
        <v>81.256230789298584</v>
      </c>
      <c r="I188">
        <f t="shared" si="78"/>
        <v>8.1256230789298584E-5</v>
      </c>
      <c r="J188" s="4">
        <f t="shared" si="97"/>
        <v>384.48759238884702</v>
      </c>
      <c r="K188" s="40">
        <f t="shared" si="98"/>
        <v>4.7317921180203681</v>
      </c>
      <c r="L188" s="40">
        <f t="shared" si="79"/>
        <v>1.2682078819796319</v>
      </c>
      <c r="M188" s="10">
        <f t="shared" si="99"/>
        <v>5.0055984680221126</v>
      </c>
      <c r="N188" s="10">
        <f t="shared" si="80"/>
        <v>8.26</v>
      </c>
      <c r="O188" s="10">
        <f t="shared" si="81"/>
        <v>0.31900000000000001</v>
      </c>
      <c r="P188" s="10">
        <f t="shared" si="100"/>
        <v>13.807228564446593</v>
      </c>
      <c r="Q188" s="42">
        <f t="shared" si="101"/>
        <v>7.9914819238370766E-2</v>
      </c>
      <c r="R188" s="4">
        <f t="shared" si="102"/>
        <v>81532.975296639648</v>
      </c>
      <c r="S188">
        <f t="shared" si="82"/>
        <v>8.1532975296639651E-5</v>
      </c>
      <c r="T188" s="41">
        <f t="shared" si="83"/>
        <v>9.8271396745244183E-5</v>
      </c>
      <c r="U188" s="42">
        <f t="shared" si="103"/>
        <v>0.14631500081858467</v>
      </c>
      <c r="V188" s="42">
        <f t="shared" si="104"/>
        <v>0.4494337843415655</v>
      </c>
      <c r="W188" s="42">
        <f t="shared" si="105"/>
        <v>0.44520457188425089</v>
      </c>
      <c r="X188" s="42">
        <f t="shared" si="106"/>
        <v>4.2292124573146128E-3</v>
      </c>
      <c r="Y188" s="42">
        <f t="shared" si="89"/>
        <v>1.4910245914222377E-3</v>
      </c>
      <c r="Z188" s="10">
        <f t="shared" si="107"/>
        <v>15.172518563947198</v>
      </c>
      <c r="AA188">
        <f t="shared" si="84"/>
        <v>5006278.8625091277</v>
      </c>
      <c r="AB188" s="10">
        <f t="shared" si="85"/>
        <v>5.0062788625091281</v>
      </c>
      <c r="AC188" s="10">
        <f t="shared" si="86"/>
        <v>4.9052788625091281</v>
      </c>
      <c r="AD188" s="3">
        <f t="shared" si="87"/>
        <v>711.42550580262912</v>
      </c>
      <c r="AI188" s="94">
        <f t="shared" si="88"/>
        <v>0.44520457188425089</v>
      </c>
    </row>
    <row r="189" spans="2:35">
      <c r="B189" s="39">
        <f t="shared" si="90"/>
        <v>161</v>
      </c>
      <c r="C189" s="42">
        <f t="shared" si="91"/>
        <v>1.0694724220612335</v>
      </c>
      <c r="D189" s="10">
        <f t="shared" si="92"/>
        <v>4.4705275779386238</v>
      </c>
      <c r="E189" s="40">
        <f t="shared" si="93"/>
        <v>22.138944844122751</v>
      </c>
      <c r="F189" s="40">
        <f t="shared" si="94"/>
        <v>31.08</v>
      </c>
      <c r="G189" s="3">
        <f t="shared" si="95"/>
        <v>217.84422062351129</v>
      </c>
      <c r="H189" s="3">
        <f t="shared" si="96"/>
        <v>81.256230789298584</v>
      </c>
      <c r="I189">
        <f t="shared" si="78"/>
        <v>8.1256230789298584E-5</v>
      </c>
      <c r="J189" s="4">
        <f t="shared" si="97"/>
        <v>384.94946283894933</v>
      </c>
      <c r="K189" s="40">
        <f t="shared" si="98"/>
        <v>4.737476241509925</v>
      </c>
      <c r="L189" s="40">
        <f t="shared" si="79"/>
        <v>1.262523758490075</v>
      </c>
      <c r="M189" s="10">
        <f t="shared" si="99"/>
        <v>5.0062788625091281</v>
      </c>
      <c r="N189" s="10">
        <f t="shared" si="80"/>
        <v>8.26</v>
      </c>
      <c r="O189" s="10">
        <f t="shared" si="81"/>
        <v>0.31900000000000001</v>
      </c>
      <c r="P189" s="10">
        <f t="shared" si="100"/>
        <v>13.80782722669831</v>
      </c>
      <c r="Q189" s="42">
        <f t="shared" si="101"/>
        <v>8.0395900420967545E-2</v>
      </c>
      <c r="R189" s="4">
        <f t="shared" si="102"/>
        <v>81412.474972646232</v>
      </c>
      <c r="S189">
        <f t="shared" si="82"/>
        <v>8.1412474972646228E-5</v>
      </c>
      <c r="T189" s="41">
        <f t="shared" si="83"/>
        <v>9.8391897069237606E-5</v>
      </c>
      <c r="U189" s="42">
        <f t="shared" si="103"/>
        <v>0.14609875696216229</v>
      </c>
      <c r="V189" s="42">
        <f t="shared" si="104"/>
        <v>0.44949556175766753</v>
      </c>
      <c r="W189" s="42">
        <f t="shared" si="105"/>
        <v>0.44526633325743548</v>
      </c>
      <c r="X189" s="42">
        <f t="shared" si="106"/>
        <v>4.2292285002320518E-3</v>
      </c>
      <c r="Y189" s="42">
        <f t="shared" si="89"/>
        <v>1.4930591936706014E-3</v>
      </c>
      <c r="Z189" s="10">
        <f t="shared" si="107"/>
        <v>15.174615371222565</v>
      </c>
      <c r="AA189">
        <f t="shared" si="84"/>
        <v>5006956.7608002555</v>
      </c>
      <c r="AB189" s="10">
        <f t="shared" si="85"/>
        <v>5.0069567608002554</v>
      </c>
      <c r="AC189" s="10">
        <f t="shared" si="86"/>
        <v>4.9059567608002554</v>
      </c>
      <c r="AD189" s="3">
        <f t="shared" si="87"/>
        <v>711.52382317625165</v>
      </c>
      <c r="AI189" s="94">
        <f t="shared" si="88"/>
        <v>0.44526633325743548</v>
      </c>
    </row>
    <row r="190" spans="2:35">
      <c r="B190" s="39">
        <f t="shared" si="90"/>
        <v>162</v>
      </c>
      <c r="C190" s="42">
        <f t="shared" si="91"/>
        <v>1.0761151079125455</v>
      </c>
      <c r="D190" s="10">
        <f t="shared" si="92"/>
        <v>4.4638848920873109</v>
      </c>
      <c r="E190" s="40">
        <f t="shared" si="93"/>
        <v>22.152230215825377</v>
      </c>
      <c r="F190" s="40">
        <f t="shared" si="94"/>
        <v>31.08</v>
      </c>
      <c r="G190" s="3">
        <f t="shared" si="95"/>
        <v>217.7910791367008</v>
      </c>
      <c r="H190" s="3">
        <f t="shared" si="96"/>
        <v>81.256230789298584</v>
      </c>
      <c r="I190">
        <f t="shared" si="78"/>
        <v>8.1256230789298584E-5</v>
      </c>
      <c r="J190" s="4">
        <f t="shared" si="97"/>
        <v>385.41161053633323</v>
      </c>
      <c r="K190" s="40">
        <f t="shared" si="98"/>
        <v>4.7431637770120618</v>
      </c>
      <c r="L190" s="40">
        <f t="shared" si="79"/>
        <v>1.2568362229879382</v>
      </c>
      <c r="M190" s="10">
        <f t="shared" si="99"/>
        <v>5.0069567608002554</v>
      </c>
      <c r="N190" s="10">
        <f t="shared" si="80"/>
        <v>8.26</v>
      </c>
      <c r="O190" s="10">
        <f t="shared" si="81"/>
        <v>0.31900000000000001</v>
      </c>
      <c r="P190" s="10">
        <f t="shared" si="100"/>
        <v>13.808423637507902</v>
      </c>
      <c r="Q190" s="42">
        <f t="shared" si="101"/>
        <v>8.0876960824797312E-2</v>
      </c>
      <c r="R190" s="4">
        <f t="shared" si="102"/>
        <v>81291.963355633037</v>
      </c>
      <c r="S190">
        <f t="shared" si="82"/>
        <v>8.1291963355633036E-5</v>
      </c>
      <c r="T190" s="41">
        <f t="shared" si="83"/>
        <v>9.8512408686250797E-5</v>
      </c>
      <c r="U190" s="42">
        <f t="shared" si="103"/>
        <v>0.14588249283985125</v>
      </c>
      <c r="V190" s="42">
        <f t="shared" si="104"/>
        <v>0.44955710465743004</v>
      </c>
      <c r="W190" s="42">
        <f t="shared" si="105"/>
        <v>0.445327868043708</v>
      </c>
      <c r="X190" s="42">
        <f t="shared" si="106"/>
        <v>4.2292366137220427E-3</v>
      </c>
      <c r="Y190" s="42">
        <f t="shared" si="89"/>
        <v>1.4950937119438902E-3</v>
      </c>
      <c r="Z190" s="10">
        <f t="shared" si="107"/>
        <v>15.176704456649407</v>
      </c>
      <c r="AA190">
        <f t="shared" si="84"/>
        <v>5007632.1626159186</v>
      </c>
      <c r="AB190" s="10">
        <f t="shared" si="85"/>
        <v>5.0076321626159181</v>
      </c>
      <c r="AC190" s="10">
        <f t="shared" si="86"/>
        <v>4.9066321626159182</v>
      </c>
      <c r="AD190" s="3">
        <f t="shared" si="87"/>
        <v>711.62177847946612</v>
      </c>
      <c r="AI190" s="94">
        <f t="shared" si="88"/>
        <v>0.445327868043708</v>
      </c>
    </row>
    <row r="191" spans="2:35">
      <c r="B191" s="39">
        <f t="shared" si="90"/>
        <v>163</v>
      </c>
      <c r="C191" s="42">
        <f t="shared" si="91"/>
        <v>1.0827577937638575</v>
      </c>
      <c r="D191" s="10">
        <f t="shared" si="92"/>
        <v>4.457242206235998</v>
      </c>
      <c r="E191" s="40">
        <f t="shared" si="93"/>
        <v>22.165515587528002</v>
      </c>
      <c r="F191" s="40">
        <f t="shared" si="94"/>
        <v>31.08</v>
      </c>
      <c r="G191" s="3">
        <f t="shared" si="95"/>
        <v>217.73793764989031</v>
      </c>
      <c r="H191" s="3">
        <f t="shared" si="96"/>
        <v>81.256230789298584</v>
      </c>
      <c r="I191">
        <f t="shared" si="78"/>
        <v>8.1256230789298584E-5</v>
      </c>
      <c r="J191" s="4">
        <f t="shared" si="97"/>
        <v>385.87403548099871</v>
      </c>
      <c r="K191" s="40">
        <f t="shared" si="98"/>
        <v>4.7488547245267769</v>
      </c>
      <c r="L191" s="40">
        <f t="shared" si="79"/>
        <v>1.2511452754732231</v>
      </c>
      <c r="M191" s="10">
        <f t="shared" si="99"/>
        <v>5.0076321626159181</v>
      </c>
      <c r="N191" s="10">
        <f t="shared" si="80"/>
        <v>8.26</v>
      </c>
      <c r="O191" s="10">
        <f t="shared" si="81"/>
        <v>0.31900000000000001</v>
      </c>
      <c r="P191" s="10">
        <f t="shared" si="100"/>
        <v>13.809017797249455</v>
      </c>
      <c r="Q191" s="42">
        <f t="shared" si="101"/>
        <v>8.1358000530071292E-2</v>
      </c>
      <c r="R191" s="4">
        <f t="shared" si="102"/>
        <v>81171.440489800065</v>
      </c>
      <c r="S191">
        <f t="shared" si="82"/>
        <v>8.1171440489800071E-5</v>
      </c>
      <c r="T191" s="41">
        <f t="shared" si="83"/>
        <v>9.8632931552083763E-5</v>
      </c>
      <c r="U191" s="42">
        <f t="shared" si="103"/>
        <v>0.1456662085309707</v>
      </c>
      <c r="V191" s="42">
        <f t="shared" si="104"/>
        <v>0.44961841301095207</v>
      </c>
      <c r="W191" s="42">
        <f t="shared" si="105"/>
        <v>0.44538917621769059</v>
      </c>
      <c r="X191" s="42">
        <f t="shared" si="106"/>
        <v>4.2292367932614816E-3</v>
      </c>
      <c r="Y191" s="42">
        <f t="shared" si="89"/>
        <v>1.4971281427644547E-3</v>
      </c>
      <c r="Z191" s="10">
        <f t="shared" si="107"/>
        <v>15.17878581935777</v>
      </c>
      <c r="AA191">
        <f t="shared" si="84"/>
        <v>5008305.0676748585</v>
      </c>
      <c r="AB191" s="10">
        <f t="shared" si="85"/>
        <v>5.0083050676748586</v>
      </c>
      <c r="AC191" s="10">
        <f t="shared" si="86"/>
        <v>4.9073050676748586</v>
      </c>
      <c r="AD191" s="3">
        <f t="shared" si="87"/>
        <v>711.71937167148053</v>
      </c>
      <c r="AI191" s="94">
        <f t="shared" si="88"/>
        <v>0.44538917621769059</v>
      </c>
    </row>
    <row r="192" spans="2:35">
      <c r="B192" s="39">
        <f t="shared" si="90"/>
        <v>164</v>
      </c>
      <c r="C192" s="42">
        <f t="shared" si="91"/>
        <v>1.0894004796151695</v>
      </c>
      <c r="D192" s="10">
        <f t="shared" si="92"/>
        <v>4.4505995203846851</v>
      </c>
      <c r="E192" s="40">
        <f t="shared" si="93"/>
        <v>22.178800959230628</v>
      </c>
      <c r="F192" s="40">
        <f t="shared" si="94"/>
        <v>31.08</v>
      </c>
      <c r="G192" s="3">
        <f t="shared" si="95"/>
        <v>217.68479616307982</v>
      </c>
      <c r="H192" s="3">
        <f t="shared" si="96"/>
        <v>81.256230789298584</v>
      </c>
      <c r="I192">
        <f t="shared" si="78"/>
        <v>8.1256230789298584E-5</v>
      </c>
      <c r="J192" s="4">
        <f t="shared" si="97"/>
        <v>386.33673767294573</v>
      </c>
      <c r="K192" s="40">
        <f t="shared" si="98"/>
        <v>4.7545490840540703</v>
      </c>
      <c r="L192" s="40">
        <f t="shared" si="79"/>
        <v>1.2454509159459297</v>
      </c>
      <c r="M192" s="10">
        <f t="shared" si="99"/>
        <v>5.0083050676748586</v>
      </c>
      <c r="N192" s="10">
        <f t="shared" si="80"/>
        <v>8.26</v>
      </c>
      <c r="O192" s="10">
        <f t="shared" si="81"/>
        <v>0.31900000000000001</v>
      </c>
      <c r="P192" s="10">
        <f t="shared" si="100"/>
        <v>13.809609706293147</v>
      </c>
      <c r="Q192" s="42">
        <f t="shared" si="101"/>
        <v>8.1839019616967351E-2</v>
      </c>
      <c r="R192" s="4">
        <f t="shared" si="102"/>
        <v>81050.906419347331</v>
      </c>
      <c r="S192">
        <f t="shared" si="82"/>
        <v>8.1050906419347327E-5</v>
      </c>
      <c r="T192" s="41">
        <f t="shared" si="83"/>
        <v>9.8753465622536507E-5</v>
      </c>
      <c r="U192" s="42">
        <f t="shared" si="103"/>
        <v>0.14544990411483974</v>
      </c>
      <c r="V192" s="42">
        <f t="shared" si="104"/>
        <v>0.44967948678864722</v>
      </c>
      <c r="W192" s="42">
        <f t="shared" si="105"/>
        <v>0.4454502577538525</v>
      </c>
      <c r="X192" s="42">
        <f t="shared" si="106"/>
        <v>4.2292290347947237E-3</v>
      </c>
      <c r="Y192" s="42">
        <f t="shared" si="89"/>
        <v>1.4991624826530458E-3</v>
      </c>
      <c r="Z192" s="10">
        <f t="shared" si="107"/>
        <v>15.180859458474764</v>
      </c>
      <c r="AA192">
        <f t="shared" si="84"/>
        <v>5008975.4756948715</v>
      </c>
      <c r="AB192" s="10">
        <f t="shared" si="85"/>
        <v>5.0089754756948714</v>
      </c>
      <c r="AC192" s="10">
        <f t="shared" si="86"/>
        <v>4.9079754756948715</v>
      </c>
      <c r="AD192" s="3">
        <f t="shared" si="87"/>
        <v>711.81660271136639</v>
      </c>
      <c r="AI192" s="94">
        <f t="shared" si="88"/>
        <v>0.4454502577538525</v>
      </c>
    </row>
    <row r="193" spans="2:35">
      <c r="B193" s="39">
        <f t="shared" si="90"/>
        <v>165</v>
      </c>
      <c r="C193" s="42">
        <f t="shared" si="91"/>
        <v>1.0960431654664815</v>
      </c>
      <c r="D193" s="10">
        <f t="shared" si="92"/>
        <v>4.4439568345333722</v>
      </c>
      <c r="E193" s="40">
        <f t="shared" si="93"/>
        <v>22.192086330933254</v>
      </c>
      <c r="F193" s="40">
        <f t="shared" si="94"/>
        <v>31.08</v>
      </c>
      <c r="G193" s="3">
        <f t="shared" si="95"/>
        <v>217.63165467626933</v>
      </c>
      <c r="H193" s="3">
        <f t="shared" si="96"/>
        <v>81.256230789298584</v>
      </c>
      <c r="I193">
        <f t="shared" si="78"/>
        <v>8.1256230789298584E-5</v>
      </c>
      <c r="J193" s="4">
        <f t="shared" si="97"/>
        <v>386.79971711217428</v>
      </c>
      <c r="K193" s="40">
        <f t="shared" si="98"/>
        <v>4.7602468555939428</v>
      </c>
      <c r="L193" s="40">
        <f t="shared" si="79"/>
        <v>1.2397531444060572</v>
      </c>
      <c r="M193" s="10">
        <f t="shared" si="99"/>
        <v>5.0089754756948714</v>
      </c>
      <c r="N193" s="10">
        <f t="shared" si="80"/>
        <v>8.26</v>
      </c>
      <c r="O193" s="10">
        <f t="shared" si="81"/>
        <v>0.31900000000000001</v>
      </c>
      <c r="P193" s="10">
        <f t="shared" si="100"/>
        <v>13.810199365005895</v>
      </c>
      <c r="Q193" s="42">
        <f t="shared" si="101"/>
        <v>8.2320018165630171E-2</v>
      </c>
      <c r="R193" s="4">
        <f t="shared" si="102"/>
        <v>80930.36118847481</v>
      </c>
      <c r="S193">
        <f t="shared" si="82"/>
        <v>8.0930361188474812E-5</v>
      </c>
      <c r="T193" s="41">
        <f t="shared" si="83"/>
        <v>9.8874010853409021E-5</v>
      </c>
      <c r="U193" s="42">
        <f t="shared" si="103"/>
        <v>0.14523357967077746</v>
      </c>
      <c r="V193" s="42">
        <f t="shared" si="104"/>
        <v>0.44974032596077623</v>
      </c>
      <c r="W193" s="42">
        <f t="shared" si="105"/>
        <v>0.44551111262657728</v>
      </c>
      <c r="X193" s="42">
        <f t="shared" si="106"/>
        <v>4.2292133341989557E-3</v>
      </c>
      <c r="Y193" s="42">
        <f t="shared" si="89"/>
        <v>1.501196728128781E-3</v>
      </c>
      <c r="Z193" s="10">
        <f t="shared" si="107"/>
        <v>15.182925373124196</v>
      </c>
      <c r="AA193">
        <f t="shared" si="84"/>
        <v>5009643.3863926837</v>
      </c>
      <c r="AB193" s="10">
        <f t="shared" si="85"/>
        <v>5.0096433863926837</v>
      </c>
      <c r="AC193" s="10">
        <f t="shared" si="86"/>
        <v>4.9086433863926837</v>
      </c>
      <c r="AD193" s="3">
        <f t="shared" si="87"/>
        <v>711.91347155803965</v>
      </c>
      <c r="AI193" s="94">
        <f t="shared" si="88"/>
        <v>0.44551111262657728</v>
      </c>
    </row>
    <row r="194" spans="2:35">
      <c r="B194" s="39">
        <f t="shared" si="90"/>
        <v>166</v>
      </c>
      <c r="C194" s="42">
        <f t="shared" si="91"/>
        <v>1.1026858513177935</v>
      </c>
      <c r="D194" s="10">
        <f t="shared" si="92"/>
        <v>4.4373141486820593</v>
      </c>
      <c r="E194" s="40">
        <f t="shared" si="93"/>
        <v>22.20537170263588</v>
      </c>
      <c r="F194" s="40">
        <f t="shared" si="94"/>
        <v>31.08</v>
      </c>
      <c r="G194" s="3">
        <f t="shared" si="95"/>
        <v>217.57851318945885</v>
      </c>
      <c r="H194" s="3">
        <f t="shared" si="96"/>
        <v>81.256230789298584</v>
      </c>
      <c r="I194">
        <f t="shared" si="78"/>
        <v>8.1256230789298584E-5</v>
      </c>
      <c r="J194" s="4">
        <f t="shared" si="97"/>
        <v>387.26297379868447</v>
      </c>
      <c r="K194" s="40">
        <f t="shared" si="98"/>
        <v>4.7659480391463944</v>
      </c>
      <c r="L194" s="40">
        <f t="shared" si="79"/>
        <v>1.2340519608536056</v>
      </c>
      <c r="M194" s="10">
        <f t="shared" si="99"/>
        <v>5.0096433863926837</v>
      </c>
      <c r="N194" s="10">
        <f t="shared" si="80"/>
        <v>8.26</v>
      </c>
      <c r="O194" s="10">
        <f t="shared" si="81"/>
        <v>0.31900000000000001</v>
      </c>
      <c r="P194" s="10">
        <f t="shared" si="100"/>
        <v>13.810786773751261</v>
      </c>
      <c r="Q194" s="42">
        <f t="shared" si="101"/>
        <v>8.2800996256171475E-2</v>
      </c>
      <c r="R194" s="4">
        <f t="shared" si="102"/>
        <v>80809.804841382502</v>
      </c>
      <c r="S194">
        <f t="shared" si="82"/>
        <v>8.0809804841382496E-5</v>
      </c>
      <c r="T194" s="41">
        <f t="shared" si="83"/>
        <v>9.8994567200501337E-5</v>
      </c>
      <c r="U194" s="42">
        <f t="shared" si="103"/>
        <v>0.14501723527810295</v>
      </c>
      <c r="V194" s="42">
        <f t="shared" si="104"/>
        <v>0.44980093049775377</v>
      </c>
      <c r="W194" s="42">
        <f t="shared" si="105"/>
        <v>0.44557174081015133</v>
      </c>
      <c r="X194" s="42">
        <f t="shared" si="106"/>
        <v>4.2291896876024415E-3</v>
      </c>
      <c r="Y194" s="42">
        <f t="shared" si="89"/>
        <v>1.5032308757092609E-3</v>
      </c>
      <c r="Z194" s="10">
        <f t="shared" si="107"/>
        <v>15.184983562427737</v>
      </c>
      <c r="AA194">
        <f t="shared" si="84"/>
        <v>5010308.7994843302</v>
      </c>
      <c r="AB194" s="10">
        <f t="shared" si="85"/>
        <v>5.0103087994843305</v>
      </c>
      <c r="AC194" s="10">
        <f t="shared" si="86"/>
        <v>4.9093087994843305</v>
      </c>
      <c r="AD194" s="3">
        <f t="shared" si="87"/>
        <v>712.00997817031623</v>
      </c>
      <c r="AI194" s="94">
        <f t="shared" si="88"/>
        <v>0.44557174081015133</v>
      </c>
    </row>
    <row r="195" spans="2:35">
      <c r="B195" s="39">
        <f t="shared" si="90"/>
        <v>167</v>
      </c>
      <c r="C195" s="42">
        <f t="shared" si="91"/>
        <v>1.1093285371691055</v>
      </c>
      <c r="D195" s="10">
        <f t="shared" si="92"/>
        <v>4.4306714628307464</v>
      </c>
      <c r="E195" s="40">
        <f t="shared" si="93"/>
        <v>22.218657074338505</v>
      </c>
      <c r="F195" s="40">
        <f t="shared" si="94"/>
        <v>31.08</v>
      </c>
      <c r="G195" s="3">
        <f t="shared" si="95"/>
        <v>217.52537170264836</v>
      </c>
      <c r="H195" s="3">
        <f t="shared" si="96"/>
        <v>81.256230789298584</v>
      </c>
      <c r="I195">
        <f t="shared" si="78"/>
        <v>8.1256230789298584E-5</v>
      </c>
      <c r="J195" s="4">
        <f t="shared" si="97"/>
        <v>387.72650773247619</v>
      </c>
      <c r="K195" s="40">
        <f t="shared" si="98"/>
        <v>4.7716526347114252</v>
      </c>
      <c r="L195" s="40">
        <f t="shared" si="79"/>
        <v>1.2283473652885748</v>
      </c>
      <c r="M195" s="10">
        <f t="shared" si="99"/>
        <v>5.0103087994843305</v>
      </c>
      <c r="N195" s="10">
        <f t="shared" si="80"/>
        <v>8.26</v>
      </c>
      <c r="O195" s="10">
        <f t="shared" si="81"/>
        <v>0.31900000000000001</v>
      </c>
      <c r="P195" s="10">
        <f t="shared" si="100"/>
        <v>13.811371932889777</v>
      </c>
      <c r="Q195" s="42">
        <f t="shared" si="101"/>
        <v>8.3281953968670219E-2</v>
      </c>
      <c r="R195" s="4">
        <f t="shared" si="102"/>
        <v>80689.237422270409</v>
      </c>
      <c r="S195">
        <f t="shared" si="82"/>
        <v>8.0689237422270415E-5</v>
      </c>
      <c r="T195" s="41">
        <f t="shared" si="83"/>
        <v>9.9115134619613419E-5</v>
      </c>
      <c r="U195" s="42">
        <f t="shared" si="103"/>
        <v>0.14480087101613534</v>
      </c>
      <c r="V195" s="42">
        <f t="shared" si="104"/>
        <v>0.44986130036988581</v>
      </c>
      <c r="W195" s="42">
        <f t="shared" si="105"/>
        <v>0.44563214227879838</v>
      </c>
      <c r="X195" s="42">
        <f t="shared" si="106"/>
        <v>4.229158091087426E-3</v>
      </c>
      <c r="Y195" s="42">
        <f t="shared" si="89"/>
        <v>1.5052649219105458E-3</v>
      </c>
      <c r="Z195" s="10">
        <f t="shared" si="107"/>
        <v>15.18703402550468</v>
      </c>
      <c r="AA195">
        <f t="shared" si="84"/>
        <v>5010971.7146850787</v>
      </c>
      <c r="AB195" s="10">
        <f t="shared" si="85"/>
        <v>5.0109717146850787</v>
      </c>
      <c r="AC195" s="10">
        <f t="shared" si="86"/>
        <v>4.9099717146850788</v>
      </c>
      <c r="AD195" s="3">
        <f t="shared" si="87"/>
        <v>712.10612250690042</v>
      </c>
      <c r="AI195" s="94">
        <f t="shared" si="88"/>
        <v>0.44563214227879838</v>
      </c>
    </row>
    <row r="196" spans="2:35">
      <c r="B196" s="39">
        <f t="shared" si="90"/>
        <v>168</v>
      </c>
      <c r="C196" s="42">
        <f t="shared" si="91"/>
        <v>1.1159712230204175</v>
      </c>
      <c r="D196" s="10">
        <f t="shared" si="92"/>
        <v>4.4240287769794335</v>
      </c>
      <c r="E196" s="40">
        <f t="shared" si="93"/>
        <v>22.231942446041131</v>
      </c>
      <c r="F196" s="40">
        <f t="shared" si="94"/>
        <v>31.08</v>
      </c>
      <c r="G196" s="3">
        <f t="shared" si="95"/>
        <v>217.47223021583787</v>
      </c>
      <c r="H196" s="3">
        <f t="shared" si="96"/>
        <v>81.256230789298584</v>
      </c>
      <c r="I196">
        <f t="shared" si="78"/>
        <v>8.1256230789298584E-5</v>
      </c>
      <c r="J196" s="4">
        <f t="shared" si="97"/>
        <v>388.19031891354939</v>
      </c>
      <c r="K196" s="40">
        <f t="shared" si="98"/>
        <v>4.7773606422890333</v>
      </c>
      <c r="L196" s="40">
        <f t="shared" si="79"/>
        <v>1.2226393577109667</v>
      </c>
      <c r="M196" s="10">
        <f t="shared" si="99"/>
        <v>5.0109717146850787</v>
      </c>
      <c r="N196" s="10">
        <f t="shared" si="80"/>
        <v>8.26</v>
      </c>
      <c r="O196" s="10">
        <f t="shared" si="81"/>
        <v>0.31900000000000001</v>
      </c>
      <c r="P196" s="10">
        <f t="shared" si="100"/>
        <v>13.811954842778881</v>
      </c>
      <c r="Q196" s="42">
        <f t="shared" si="101"/>
        <v>8.3762891383172763E-2</v>
      </c>
      <c r="R196" s="4">
        <f t="shared" si="102"/>
        <v>80568.658975338549</v>
      </c>
      <c r="S196">
        <f t="shared" si="82"/>
        <v>8.0568658975338549E-5</v>
      </c>
      <c r="T196" s="41">
        <f t="shared" si="83"/>
        <v>9.9235713066545285E-5</v>
      </c>
      <c r="U196" s="42">
        <f t="shared" si="103"/>
        <v>0.14458448696419379</v>
      </c>
      <c r="V196" s="42">
        <f t="shared" si="104"/>
        <v>0.44992143554762604</v>
      </c>
      <c r="W196" s="42">
        <f t="shared" si="105"/>
        <v>0.44569231700667256</v>
      </c>
      <c r="X196" s="42">
        <f t="shared" si="106"/>
        <v>4.2291185409534804E-3</v>
      </c>
      <c r="Y196" s="42">
        <f t="shared" si="89"/>
        <v>1.5072988632472567E-3</v>
      </c>
      <c r="Z196" s="10">
        <f t="shared" si="107"/>
        <v>15.189076761472911</v>
      </c>
      <c r="AA196">
        <f t="shared" si="84"/>
        <v>5011632.1317097424</v>
      </c>
      <c r="AB196" s="10">
        <f t="shared" si="85"/>
        <v>5.0116321317097423</v>
      </c>
      <c r="AC196" s="10">
        <f t="shared" si="86"/>
        <v>4.9106321317097423</v>
      </c>
      <c r="AD196" s="3">
        <f t="shared" si="87"/>
        <v>712.20190452643112</v>
      </c>
      <c r="AI196" s="94">
        <f t="shared" si="88"/>
        <v>0.44569231700667256</v>
      </c>
    </row>
    <row r="197" spans="2:35">
      <c r="B197" s="39">
        <f t="shared" si="90"/>
        <v>169</v>
      </c>
      <c r="C197" s="42">
        <f t="shared" si="91"/>
        <v>1.1226139088717295</v>
      </c>
      <c r="D197" s="10">
        <f t="shared" si="92"/>
        <v>4.4173860911281206</v>
      </c>
      <c r="E197" s="40">
        <f t="shared" si="93"/>
        <v>22.245227817743757</v>
      </c>
      <c r="F197" s="40">
        <f t="shared" si="94"/>
        <v>31.08</v>
      </c>
      <c r="G197" s="3">
        <f t="shared" si="95"/>
        <v>217.41908872902738</v>
      </c>
      <c r="H197" s="3">
        <f t="shared" si="96"/>
        <v>81.256230789298584</v>
      </c>
      <c r="I197">
        <f t="shared" si="78"/>
        <v>8.1256230789298584E-5</v>
      </c>
      <c r="J197" s="4">
        <f t="shared" si="97"/>
        <v>388.65440734190423</v>
      </c>
      <c r="K197" s="40">
        <f t="shared" si="98"/>
        <v>4.7830720618792215</v>
      </c>
      <c r="L197" s="40">
        <f t="shared" si="79"/>
        <v>1.2169279381207785</v>
      </c>
      <c r="M197" s="10">
        <f t="shared" si="99"/>
        <v>5.0116321317097423</v>
      </c>
      <c r="N197" s="10">
        <f t="shared" si="80"/>
        <v>8.26</v>
      </c>
      <c r="O197" s="10">
        <f t="shared" si="81"/>
        <v>0.31900000000000001</v>
      </c>
      <c r="P197" s="10">
        <f t="shared" si="100"/>
        <v>13.812535503773194</v>
      </c>
      <c r="Q197" s="42">
        <f t="shared" si="101"/>
        <v>8.4243808579693089E-2</v>
      </c>
      <c r="R197" s="4">
        <f t="shared" si="102"/>
        <v>80448.069544786893</v>
      </c>
      <c r="S197">
        <f t="shared" si="82"/>
        <v>8.0448069544786894E-5</v>
      </c>
      <c r="T197" s="41">
        <f t="shared" si="83"/>
        <v>9.935630249709694E-5</v>
      </c>
      <c r="U197" s="42">
        <f t="shared" si="103"/>
        <v>0.1443680832015973</v>
      </c>
      <c r="V197" s="42">
        <f t="shared" si="104"/>
        <v>0.44998133600187018</v>
      </c>
      <c r="W197" s="42">
        <f t="shared" si="105"/>
        <v>0.44575226496788639</v>
      </c>
      <c r="X197" s="42">
        <f t="shared" si="106"/>
        <v>4.2290710339837889E-3</v>
      </c>
      <c r="Y197" s="42">
        <f t="shared" si="89"/>
        <v>1.5093326962328055E-3</v>
      </c>
      <c r="Z197" s="10">
        <f t="shared" si="107"/>
        <v>15.191111769451226</v>
      </c>
      <c r="AA197">
        <f t="shared" si="84"/>
        <v>5012290.0502734259</v>
      </c>
      <c r="AB197" s="10">
        <f t="shared" si="85"/>
        <v>5.0122900502734256</v>
      </c>
      <c r="AC197" s="10">
        <f t="shared" si="86"/>
        <v>4.9112900502734256</v>
      </c>
      <c r="AD197" s="3">
        <f t="shared" si="87"/>
        <v>712.29732418758897</v>
      </c>
      <c r="AI197" s="94">
        <f t="shared" si="88"/>
        <v>0.44575226496788639</v>
      </c>
    </row>
    <row r="198" spans="2:35">
      <c r="B198" s="39">
        <f t="shared" si="90"/>
        <v>170</v>
      </c>
      <c r="C198" s="42">
        <f t="shared" si="91"/>
        <v>1.1292565947230415</v>
      </c>
      <c r="D198" s="10">
        <f t="shared" si="92"/>
        <v>4.4107434052768077</v>
      </c>
      <c r="E198" s="40">
        <f t="shared" si="93"/>
        <v>22.258513189446383</v>
      </c>
      <c r="F198" s="40">
        <f t="shared" si="94"/>
        <v>31.08</v>
      </c>
      <c r="G198" s="3">
        <f t="shared" si="95"/>
        <v>217.36594724221689</v>
      </c>
      <c r="H198" s="3">
        <f t="shared" si="96"/>
        <v>81.256230789298584</v>
      </c>
      <c r="I198">
        <f t="shared" si="78"/>
        <v>8.1256230789298584E-5</v>
      </c>
      <c r="J198" s="4">
        <f t="shared" si="97"/>
        <v>389.11877301754066</v>
      </c>
      <c r="K198" s="40">
        <f t="shared" si="98"/>
        <v>4.7887868934819879</v>
      </c>
      <c r="L198" s="40">
        <f t="shared" si="79"/>
        <v>1.2112131065180121</v>
      </c>
      <c r="M198" s="10">
        <f t="shared" si="99"/>
        <v>5.0122900502734256</v>
      </c>
      <c r="N198" s="10">
        <f t="shared" si="80"/>
        <v>8.26</v>
      </c>
      <c r="O198" s="10">
        <f t="shared" si="81"/>
        <v>0.31900000000000001</v>
      </c>
      <c r="P198" s="10">
        <f t="shared" si="100"/>
        <v>13.813113916225179</v>
      </c>
      <c r="Q198" s="42">
        <f t="shared" si="101"/>
        <v>8.4724705638212924E-2</v>
      </c>
      <c r="R198" s="4">
        <f t="shared" si="102"/>
        <v>80327.469174815429</v>
      </c>
      <c r="S198">
        <f t="shared" si="82"/>
        <v>8.0327469174815432E-5</v>
      </c>
      <c r="T198" s="41">
        <f t="shared" si="83"/>
        <v>9.9476902867068402E-5</v>
      </c>
      <c r="U198" s="42">
        <f t="shared" si="103"/>
        <v>0.14415165980766501</v>
      </c>
      <c r="V198" s="42">
        <f t="shared" si="104"/>
        <v>0.4500410017030077</v>
      </c>
      <c r="W198" s="42">
        <f t="shared" si="105"/>
        <v>0.44581198613657919</v>
      </c>
      <c r="X198" s="42">
        <f t="shared" si="106"/>
        <v>4.2290155664285178E-3</v>
      </c>
      <c r="Y198" s="42">
        <f t="shared" si="89"/>
        <v>1.5113664173791357E-3</v>
      </c>
      <c r="Z198" s="10">
        <f t="shared" si="107"/>
        <v>15.193139048556668</v>
      </c>
      <c r="AA198">
        <f t="shared" si="84"/>
        <v>5012945.4700906724</v>
      </c>
      <c r="AB198" s="10">
        <f t="shared" si="85"/>
        <v>5.0129454700906724</v>
      </c>
      <c r="AC198" s="10">
        <f t="shared" si="86"/>
        <v>4.9119454700906724</v>
      </c>
      <c r="AD198" s="3">
        <f t="shared" si="87"/>
        <v>712.39238144897354</v>
      </c>
      <c r="AI198" s="94">
        <f t="shared" si="88"/>
        <v>0.44581198613657919</v>
      </c>
    </row>
    <row r="199" spans="2:35">
      <c r="B199" s="39">
        <f t="shared" si="90"/>
        <v>171</v>
      </c>
      <c r="C199" s="42">
        <f t="shared" si="91"/>
        <v>1.1358992805743535</v>
      </c>
      <c r="D199" s="10">
        <f t="shared" si="92"/>
        <v>4.4041007194254949</v>
      </c>
      <c r="E199" s="40">
        <f t="shared" si="93"/>
        <v>22.271798561149009</v>
      </c>
      <c r="F199" s="40">
        <f t="shared" si="94"/>
        <v>31.08</v>
      </c>
      <c r="G199" s="3">
        <f t="shared" si="95"/>
        <v>217.3128057554064</v>
      </c>
      <c r="H199" s="3">
        <f t="shared" si="96"/>
        <v>81.256230789298584</v>
      </c>
      <c r="I199">
        <f t="shared" si="78"/>
        <v>8.1256230789298584E-5</v>
      </c>
      <c r="J199" s="4">
        <f t="shared" si="97"/>
        <v>389.58341594045862</v>
      </c>
      <c r="K199" s="40">
        <f t="shared" si="98"/>
        <v>4.7945051370973344</v>
      </c>
      <c r="L199" s="40">
        <f t="shared" si="79"/>
        <v>1.2054948629026656</v>
      </c>
      <c r="M199" s="10">
        <f t="shared" si="99"/>
        <v>5.0129454700906724</v>
      </c>
      <c r="N199" s="10">
        <f t="shared" si="80"/>
        <v>8.26</v>
      </c>
      <c r="O199" s="10">
        <f t="shared" si="81"/>
        <v>0.31900000000000001</v>
      </c>
      <c r="P199" s="10">
        <f t="shared" si="100"/>
        <v>13.813690080484401</v>
      </c>
      <c r="Q199" s="42">
        <f t="shared" si="101"/>
        <v>8.5205582638681943E-2</v>
      </c>
      <c r="R199" s="4">
        <f t="shared" si="102"/>
        <v>80206.857909624188</v>
      </c>
      <c r="S199">
        <f t="shared" si="82"/>
        <v>8.0206857909624184E-5</v>
      </c>
      <c r="T199" s="41">
        <f t="shared" si="83"/>
        <v>9.9597514132259649E-5</v>
      </c>
      <c r="U199" s="42">
        <f t="shared" si="103"/>
        <v>0.14393521686171606</v>
      </c>
      <c r="V199" s="42">
        <f t="shared" si="104"/>
        <v>0.45010043262172261</v>
      </c>
      <c r="W199" s="42">
        <f t="shared" si="105"/>
        <v>0.44587148048683922</v>
      </c>
      <c r="X199" s="42">
        <f t="shared" si="106"/>
        <v>4.2289521348833903E-3</v>
      </c>
      <c r="Y199" s="42">
        <f t="shared" si="89"/>
        <v>1.5134000231968854E-3</v>
      </c>
      <c r="Z199" s="10">
        <f t="shared" si="107"/>
        <v>15.195158597906159</v>
      </c>
      <c r="AA199">
        <f t="shared" si="84"/>
        <v>5013598.3908759784</v>
      </c>
      <c r="AB199" s="10">
        <f t="shared" si="85"/>
        <v>5.0135983908759787</v>
      </c>
      <c r="AC199" s="10">
        <f t="shared" si="86"/>
        <v>4.9125983908759787</v>
      </c>
      <c r="AD199" s="3">
        <f t="shared" si="87"/>
        <v>712.48707626917746</v>
      </c>
      <c r="AI199" s="94">
        <f t="shared" si="88"/>
        <v>0.44587148048683922</v>
      </c>
    </row>
    <row r="200" spans="2:35">
      <c r="B200" s="39">
        <f t="shared" si="90"/>
        <v>172</v>
      </c>
      <c r="C200" s="42">
        <f t="shared" si="91"/>
        <v>1.1425419664256655</v>
      </c>
      <c r="D200" s="10">
        <f t="shared" si="92"/>
        <v>4.397458033574182</v>
      </c>
      <c r="E200" s="40">
        <f t="shared" si="93"/>
        <v>22.285083932851634</v>
      </c>
      <c r="F200" s="40">
        <f t="shared" si="94"/>
        <v>31.08</v>
      </c>
      <c r="G200" s="3">
        <f t="shared" si="95"/>
        <v>217.25966426859591</v>
      </c>
      <c r="H200" s="3">
        <f t="shared" si="96"/>
        <v>81.256230789298584</v>
      </c>
      <c r="I200">
        <f t="shared" si="78"/>
        <v>8.1256230789298584E-5</v>
      </c>
      <c r="J200" s="4">
        <f t="shared" si="97"/>
        <v>390.04833611065811</v>
      </c>
      <c r="K200" s="40">
        <f t="shared" si="98"/>
        <v>4.8002267927252582</v>
      </c>
      <c r="L200" s="40">
        <f t="shared" si="79"/>
        <v>1.1997732072747418</v>
      </c>
      <c r="M200" s="10">
        <f t="shared" si="99"/>
        <v>5.0135983908759787</v>
      </c>
      <c r="N200" s="10">
        <f t="shared" si="80"/>
        <v>8.26</v>
      </c>
      <c r="O200" s="10">
        <f t="shared" si="81"/>
        <v>0.31900000000000001</v>
      </c>
      <c r="P200" s="10">
        <f t="shared" si="100"/>
        <v>13.814263996897958</v>
      </c>
      <c r="Q200" s="42">
        <f t="shared" si="101"/>
        <v>8.5686439661017966E-2</v>
      </c>
      <c r="R200" s="4">
        <f t="shared" si="102"/>
        <v>80086.235793413172</v>
      </c>
      <c r="S200">
        <f t="shared" si="82"/>
        <v>8.0086235793413175E-5</v>
      </c>
      <c r="T200" s="41">
        <f t="shared" si="83"/>
        <v>9.9718136248470659E-5</v>
      </c>
      <c r="U200" s="42">
        <f t="shared" si="103"/>
        <v>0.14371875444306961</v>
      </c>
      <c r="V200" s="42">
        <f t="shared" si="104"/>
        <v>0.45015962872886445</v>
      </c>
      <c r="W200" s="42">
        <f t="shared" si="105"/>
        <v>0.44593074799275073</v>
      </c>
      <c r="X200" s="42">
        <f t="shared" si="106"/>
        <v>4.228880736113716E-3</v>
      </c>
      <c r="Y200" s="42">
        <f t="shared" si="89"/>
        <v>1.5154335101954673E-3</v>
      </c>
      <c r="Z200" s="10">
        <f t="shared" si="107"/>
        <v>15.197170416617258</v>
      </c>
      <c r="AA200">
        <f t="shared" si="84"/>
        <v>5014248.8123440528</v>
      </c>
      <c r="AB200" s="10">
        <f t="shared" si="85"/>
        <v>5.0142488123440527</v>
      </c>
      <c r="AC200" s="10">
        <f t="shared" si="86"/>
        <v>4.9132488123440528</v>
      </c>
      <c r="AD200" s="3">
        <f t="shared" si="87"/>
        <v>712.5814086068242</v>
      </c>
      <c r="AI200" s="94">
        <f t="shared" si="88"/>
        <v>0.44593074799275073</v>
      </c>
    </row>
    <row r="201" spans="2:35">
      <c r="B201" s="39">
        <f t="shared" si="90"/>
        <v>173</v>
      </c>
      <c r="C201" s="42">
        <f t="shared" si="91"/>
        <v>1.1491846522769775</v>
      </c>
      <c r="D201" s="10">
        <f t="shared" si="92"/>
        <v>4.3908153477228691</v>
      </c>
      <c r="E201" s="40">
        <f t="shared" si="93"/>
        <v>22.29836930455426</v>
      </c>
      <c r="F201" s="40">
        <f t="shared" si="94"/>
        <v>31.08</v>
      </c>
      <c r="G201" s="3">
        <f t="shared" si="95"/>
        <v>217.20652278178542</v>
      </c>
      <c r="H201" s="3">
        <f t="shared" si="96"/>
        <v>81.256230789298584</v>
      </c>
      <c r="I201">
        <f t="shared" si="78"/>
        <v>8.1256230789298584E-5</v>
      </c>
      <c r="J201" s="4">
        <f t="shared" si="97"/>
        <v>390.51353352813919</v>
      </c>
      <c r="K201" s="40">
        <f t="shared" si="98"/>
        <v>4.8059518603657612</v>
      </c>
      <c r="L201" s="40">
        <f t="shared" si="79"/>
        <v>1.1940481396342388</v>
      </c>
      <c r="M201" s="10">
        <f t="shared" si="99"/>
        <v>5.0142488123440527</v>
      </c>
      <c r="N201" s="10">
        <f t="shared" si="80"/>
        <v>8.26</v>
      </c>
      <c r="O201" s="10">
        <f t="shared" si="81"/>
        <v>0.31900000000000001</v>
      </c>
      <c r="P201" s="10">
        <f t="shared" si="100"/>
        <v>13.814835665810739</v>
      </c>
      <c r="Q201" s="42">
        <f t="shared" si="101"/>
        <v>8.6167276785107064E-2</v>
      </c>
      <c r="R201" s="4">
        <f t="shared" si="102"/>
        <v>79965.602870382339</v>
      </c>
      <c r="S201">
        <f t="shared" si="82"/>
        <v>7.9965602870382343E-5</v>
      </c>
      <c r="T201" s="41">
        <f t="shared" si="83"/>
        <v>9.983876917150149E-5</v>
      </c>
      <c r="U201" s="42">
        <f t="shared" si="103"/>
        <v>0.14350227263104462</v>
      </c>
      <c r="V201" s="42">
        <f t="shared" si="104"/>
        <v>0.4502185899957255</v>
      </c>
      <c r="W201" s="42">
        <f t="shared" si="105"/>
        <v>0.44598978862841671</v>
      </c>
      <c r="X201" s="42">
        <f t="shared" si="106"/>
        <v>4.2288013673087987E-3</v>
      </c>
      <c r="Y201" s="42">
        <f t="shared" si="89"/>
        <v>1.5174668748832681E-3</v>
      </c>
      <c r="Z201" s="10">
        <f t="shared" si="107"/>
        <v>15.199174503810109</v>
      </c>
      <c r="AA201">
        <f t="shared" si="84"/>
        <v>5014896.7342104381</v>
      </c>
      <c r="AB201" s="10">
        <f t="shared" si="85"/>
        <v>5.0148967342104385</v>
      </c>
      <c r="AC201" s="10">
        <f t="shared" si="86"/>
        <v>4.9138967342104385</v>
      </c>
      <c r="AD201" s="3">
        <f t="shared" si="87"/>
        <v>712.67537842065815</v>
      </c>
      <c r="AI201" s="94">
        <f t="shared" si="88"/>
        <v>0.44598978862841671</v>
      </c>
    </row>
    <row r="202" spans="2:35">
      <c r="B202" s="39">
        <f t="shared" si="90"/>
        <v>174</v>
      </c>
      <c r="C202" s="42">
        <f t="shared" si="91"/>
        <v>1.1558273381282895</v>
      </c>
      <c r="D202" s="10">
        <f t="shared" si="92"/>
        <v>4.3841726618715562</v>
      </c>
      <c r="E202" s="40">
        <f t="shared" si="93"/>
        <v>22.311654676256886</v>
      </c>
      <c r="F202" s="40">
        <f t="shared" si="94"/>
        <v>31.08</v>
      </c>
      <c r="G202" s="3">
        <f t="shared" si="95"/>
        <v>217.15338129497493</v>
      </c>
      <c r="H202" s="3">
        <f t="shared" si="96"/>
        <v>81.256230789298584</v>
      </c>
      <c r="I202">
        <f t="shared" si="78"/>
        <v>8.1256230789298584E-5</v>
      </c>
      <c r="J202" s="4">
        <f t="shared" si="97"/>
        <v>390.9790081929018</v>
      </c>
      <c r="K202" s="40">
        <f t="shared" si="98"/>
        <v>4.8116803400188433</v>
      </c>
      <c r="L202" s="40">
        <f t="shared" si="79"/>
        <v>1.1883196599811567</v>
      </c>
      <c r="M202" s="10">
        <f t="shared" si="99"/>
        <v>5.0148967342104385</v>
      </c>
      <c r="N202" s="10">
        <f t="shared" si="80"/>
        <v>8.26</v>
      </c>
      <c r="O202" s="10">
        <f t="shared" si="81"/>
        <v>0.31900000000000001</v>
      </c>
      <c r="P202" s="10">
        <f t="shared" si="100"/>
        <v>13.815405087565953</v>
      </c>
      <c r="Q202" s="42">
        <f t="shared" si="101"/>
        <v>8.6648094090803776E-2</v>
      </c>
      <c r="R202" s="4">
        <f t="shared" si="102"/>
        <v>79844.959184731735</v>
      </c>
      <c r="S202">
        <f t="shared" si="82"/>
        <v>7.984495918473174E-5</v>
      </c>
      <c r="T202" s="41">
        <f t="shared" si="83"/>
        <v>9.9959412857152094E-5</v>
      </c>
      <c r="U202" s="42">
        <f t="shared" si="103"/>
        <v>0.1432857715049603</v>
      </c>
      <c r="V202" s="42">
        <f t="shared" si="104"/>
        <v>0.45027731639276936</v>
      </c>
      <c r="W202" s="42">
        <f t="shared" si="105"/>
        <v>0.44604860236801613</v>
      </c>
      <c r="X202" s="42">
        <f t="shared" si="106"/>
        <v>4.2287140247532218E-3</v>
      </c>
      <c r="Y202" s="42">
        <f t="shared" si="89"/>
        <v>1.5195001137672118E-3</v>
      </c>
      <c r="Z202" s="10">
        <f t="shared" si="107"/>
        <v>15.201170858603053</v>
      </c>
      <c r="AA202">
        <f t="shared" si="84"/>
        <v>5015542.1561900936</v>
      </c>
      <c r="AB202" s="10">
        <f t="shared" si="85"/>
        <v>5.0155421561900937</v>
      </c>
      <c r="AC202" s="10">
        <f t="shared" si="86"/>
        <v>4.9145421561900937</v>
      </c>
      <c r="AD202" s="3">
        <f t="shared" si="87"/>
        <v>712.76898566933914</v>
      </c>
      <c r="AI202" s="94">
        <f t="shared" si="88"/>
        <v>0.44604860236801613</v>
      </c>
    </row>
    <row r="203" spans="2:35">
      <c r="B203" s="39">
        <f t="shared" si="90"/>
        <v>175</v>
      </c>
      <c r="C203" s="42">
        <f t="shared" si="91"/>
        <v>1.1624700239796015</v>
      </c>
      <c r="D203" s="10">
        <f t="shared" si="92"/>
        <v>4.3775299760202433</v>
      </c>
      <c r="E203" s="40">
        <f t="shared" si="93"/>
        <v>22.324940047959512</v>
      </c>
      <c r="F203" s="40">
        <f t="shared" si="94"/>
        <v>31.08</v>
      </c>
      <c r="G203" s="3">
        <f t="shared" si="95"/>
        <v>217.10023980816445</v>
      </c>
      <c r="H203" s="3">
        <f t="shared" si="96"/>
        <v>81.256230789298584</v>
      </c>
      <c r="I203">
        <f t="shared" si="78"/>
        <v>8.1256230789298584E-5</v>
      </c>
      <c r="J203" s="4">
        <f t="shared" si="97"/>
        <v>391.444760104946</v>
      </c>
      <c r="K203" s="40">
        <f t="shared" si="98"/>
        <v>4.8174122316845036</v>
      </c>
      <c r="L203" s="40">
        <f t="shared" si="79"/>
        <v>1.1825877683154964</v>
      </c>
      <c r="M203" s="10">
        <f t="shared" si="99"/>
        <v>5.0155421561900937</v>
      </c>
      <c r="N203" s="10">
        <f t="shared" si="80"/>
        <v>8.26</v>
      </c>
      <c r="O203" s="10">
        <f t="shared" si="81"/>
        <v>0.31900000000000001</v>
      </c>
      <c r="P203" s="10">
        <f t="shared" si="100"/>
        <v>13.815972262503889</v>
      </c>
      <c r="Q203" s="42">
        <f t="shared" si="101"/>
        <v>8.7128891657931209E-2</v>
      </c>
      <c r="R203" s="4">
        <f t="shared" si="102"/>
        <v>79724.304780661318</v>
      </c>
      <c r="S203">
        <f t="shared" si="82"/>
        <v>7.9724304780661318E-5</v>
      </c>
      <c r="T203" s="41">
        <f t="shared" si="83"/>
        <v>1.0008006726122252E-4</v>
      </c>
      <c r="U203" s="42">
        <f t="shared" si="103"/>
        <v>0.14306925114413574</v>
      </c>
      <c r="V203" s="42">
        <f t="shared" si="104"/>
        <v>0.45033580789142114</v>
      </c>
      <c r="W203" s="42">
        <f t="shared" si="105"/>
        <v>0.44610718918567532</v>
      </c>
      <c r="X203" s="42">
        <f t="shared" si="106"/>
        <v>4.2286187057458124E-3</v>
      </c>
      <c r="Y203" s="42">
        <f t="shared" si="89"/>
        <v>1.5215332233532439E-3</v>
      </c>
      <c r="Z203" s="10">
        <f t="shared" si="107"/>
        <v>15.203159480117417</v>
      </c>
      <c r="AA203">
        <f t="shared" si="84"/>
        <v>5016185.0779989436</v>
      </c>
      <c r="AB203" s="10">
        <f t="shared" si="85"/>
        <v>5.0161850779989434</v>
      </c>
      <c r="AC203" s="10">
        <f t="shared" si="86"/>
        <v>4.9151850779989434</v>
      </c>
      <c r="AD203" s="3">
        <f t="shared" si="87"/>
        <v>712.86223031166696</v>
      </c>
      <c r="AI203" s="94">
        <f t="shared" si="88"/>
        <v>0.44610718918567532</v>
      </c>
    </row>
    <row r="204" spans="2:35">
      <c r="B204" s="39">
        <f t="shared" si="90"/>
        <v>176</v>
      </c>
      <c r="C204" s="42">
        <f t="shared" si="91"/>
        <v>1.1691127098309135</v>
      </c>
      <c r="D204" s="10">
        <f t="shared" si="92"/>
        <v>4.3708872901689304</v>
      </c>
      <c r="E204" s="40">
        <f t="shared" si="93"/>
        <v>22.338225419662137</v>
      </c>
      <c r="F204" s="40">
        <f t="shared" si="94"/>
        <v>31.08</v>
      </c>
      <c r="G204" s="3">
        <f t="shared" si="95"/>
        <v>217.04709832135396</v>
      </c>
      <c r="H204" s="3">
        <f t="shared" si="96"/>
        <v>81.256230789298584</v>
      </c>
      <c r="I204">
        <f t="shared" si="78"/>
        <v>8.1256230789298584E-5</v>
      </c>
      <c r="J204" s="4">
        <f t="shared" si="97"/>
        <v>391.91078926427178</v>
      </c>
      <c r="K204" s="40">
        <f t="shared" si="98"/>
        <v>4.823147535362744</v>
      </c>
      <c r="L204" s="40">
        <f t="shared" si="79"/>
        <v>1.176852464637256</v>
      </c>
      <c r="M204" s="10">
        <f t="shared" si="99"/>
        <v>5.0161850779989434</v>
      </c>
      <c r="N204" s="10">
        <f t="shared" si="80"/>
        <v>8.26</v>
      </c>
      <c r="O204" s="10">
        <f t="shared" si="81"/>
        <v>0.31900000000000001</v>
      </c>
      <c r="P204" s="10">
        <f t="shared" si="100"/>
        <v>13.816537190963286</v>
      </c>
      <c r="Q204" s="42">
        <f t="shared" si="101"/>
        <v>8.7609669566281259E-2</v>
      </c>
      <c r="R204" s="4">
        <f t="shared" si="102"/>
        <v>79603.639702371103</v>
      </c>
      <c r="S204">
        <f t="shared" si="82"/>
        <v>7.9603639702371102E-5</v>
      </c>
      <c r="T204" s="41">
        <f t="shared" si="83"/>
        <v>1.0020073233951273E-4</v>
      </c>
      <c r="U204" s="42">
        <f t="shared" si="103"/>
        <v>0.14285271162789007</v>
      </c>
      <c r="V204" s="42">
        <f t="shared" si="104"/>
        <v>0.45039406446273866</v>
      </c>
      <c r="W204" s="42">
        <f t="shared" si="105"/>
        <v>0.44616554905560762</v>
      </c>
      <c r="X204" s="42">
        <f t="shared" si="106"/>
        <v>4.2285154071310393E-3</v>
      </c>
      <c r="Y204" s="42">
        <f t="shared" si="89"/>
        <v>1.5235662001461103E-3</v>
      </c>
      <c r="Z204" s="10">
        <f t="shared" si="107"/>
        <v>15.205140367475275</v>
      </c>
      <c r="AA204">
        <f t="shared" si="84"/>
        <v>5016825.4993531536</v>
      </c>
      <c r="AB204" s="10">
        <f t="shared" si="85"/>
        <v>5.0168254993531534</v>
      </c>
      <c r="AC204" s="10">
        <f t="shared" si="86"/>
        <v>4.9158254993531534</v>
      </c>
      <c r="AD204" s="3">
        <f t="shared" si="87"/>
        <v>712.95511230647628</v>
      </c>
      <c r="AI204" s="94">
        <f t="shared" si="88"/>
        <v>0.44616554905560762</v>
      </c>
    </row>
    <row r="205" spans="2:35">
      <c r="B205" s="39">
        <f t="shared" si="90"/>
        <v>177</v>
      </c>
      <c r="C205" s="42">
        <f t="shared" si="91"/>
        <v>1.1757553956822255</v>
      </c>
      <c r="D205" s="10">
        <f t="shared" si="92"/>
        <v>4.3642446043176175</v>
      </c>
      <c r="E205" s="40">
        <f t="shared" si="93"/>
        <v>22.351510791364763</v>
      </c>
      <c r="F205" s="40">
        <f t="shared" si="94"/>
        <v>31.08</v>
      </c>
      <c r="G205" s="3">
        <f t="shared" si="95"/>
        <v>216.99395683454347</v>
      </c>
      <c r="H205" s="3">
        <f t="shared" si="96"/>
        <v>81.256230789298584</v>
      </c>
      <c r="I205">
        <f t="shared" si="78"/>
        <v>8.1256230789298584E-5</v>
      </c>
      <c r="J205" s="4">
        <f t="shared" si="97"/>
        <v>392.37709567087904</v>
      </c>
      <c r="K205" s="40">
        <f t="shared" si="98"/>
        <v>4.8288862510535617</v>
      </c>
      <c r="L205" s="40">
        <f t="shared" si="79"/>
        <v>1.1711137489464383</v>
      </c>
      <c r="M205" s="10">
        <f t="shared" si="99"/>
        <v>5.0168254993531534</v>
      </c>
      <c r="N205" s="10">
        <f t="shared" si="80"/>
        <v>8.26</v>
      </c>
      <c r="O205" s="10">
        <f t="shared" si="81"/>
        <v>0.31900000000000001</v>
      </c>
      <c r="P205" s="10">
        <f t="shared" si="100"/>
        <v>13.817099873280684</v>
      </c>
      <c r="Q205" s="42">
        <f t="shared" si="101"/>
        <v>8.809042789561472E-2</v>
      </c>
      <c r="R205" s="4">
        <f t="shared" si="102"/>
        <v>79482.963994061094</v>
      </c>
      <c r="S205">
        <f t="shared" si="82"/>
        <v>7.9482963994061099E-5</v>
      </c>
      <c r="T205" s="41">
        <f t="shared" si="83"/>
        <v>1.0032140804782273E-4</v>
      </c>
      <c r="U205" s="42">
        <f t="shared" si="103"/>
        <v>0.14263615303554231</v>
      </c>
      <c r="V205" s="42">
        <f t="shared" si="104"/>
        <v>0.45045208607826642</v>
      </c>
      <c r="W205" s="42">
        <f t="shared" si="105"/>
        <v>0.44622368195204876</v>
      </c>
      <c r="X205" s="42">
        <f t="shared" si="106"/>
        <v>4.2284041262176664E-3</v>
      </c>
      <c r="Y205" s="42">
        <f t="shared" si="89"/>
        <v>1.5255990406495773E-3</v>
      </c>
      <c r="Z205" s="10">
        <f t="shared" si="107"/>
        <v>15.207113519801592</v>
      </c>
      <c r="AA205">
        <f t="shared" si="84"/>
        <v>5017463.4199698269</v>
      </c>
      <c r="AB205" s="10">
        <f t="shared" si="85"/>
        <v>5.0174634199698271</v>
      </c>
      <c r="AC205" s="10">
        <f t="shared" si="86"/>
        <v>4.9164634199698272</v>
      </c>
      <c r="AD205" s="3">
        <f t="shared" si="87"/>
        <v>713.04763161273775</v>
      </c>
      <c r="AI205" s="94">
        <f t="shared" si="88"/>
        <v>0.44622368195204876</v>
      </c>
    </row>
    <row r="206" spans="2:35">
      <c r="B206" s="39">
        <f t="shared" si="90"/>
        <v>178</v>
      </c>
      <c r="C206" s="42">
        <f t="shared" si="91"/>
        <v>1.1823980815335375</v>
      </c>
      <c r="D206" s="10">
        <f t="shared" si="92"/>
        <v>4.3576019184663046</v>
      </c>
      <c r="E206" s="40">
        <f t="shared" si="93"/>
        <v>22.364796163067389</v>
      </c>
      <c r="F206" s="40">
        <f t="shared" si="94"/>
        <v>31.08</v>
      </c>
      <c r="G206" s="3">
        <f t="shared" si="95"/>
        <v>216.94081534773298</v>
      </c>
      <c r="H206" s="3">
        <f t="shared" si="96"/>
        <v>81.256230789298584</v>
      </c>
      <c r="I206">
        <f t="shared" si="78"/>
        <v>8.1256230789298584E-5</v>
      </c>
      <c r="J206" s="4">
        <f t="shared" si="97"/>
        <v>392.84367932476795</v>
      </c>
      <c r="K206" s="40">
        <f t="shared" si="98"/>
        <v>4.8346283787569595</v>
      </c>
      <c r="L206" s="40">
        <f t="shared" si="79"/>
        <v>1.1653716212430405</v>
      </c>
      <c r="M206" s="10">
        <f t="shared" si="99"/>
        <v>5.0174634199698271</v>
      </c>
      <c r="N206" s="10">
        <f t="shared" si="80"/>
        <v>8.26</v>
      </c>
      <c r="O206" s="10">
        <f t="shared" si="81"/>
        <v>0.31900000000000001</v>
      </c>
      <c r="P206" s="10">
        <f t="shared" si="100"/>
        <v>13.817660309791053</v>
      </c>
      <c r="Q206" s="42">
        <f t="shared" si="101"/>
        <v>8.857116672566144E-2</v>
      </c>
      <c r="R206" s="4">
        <f t="shared" si="102"/>
        <v>79362.277699931277</v>
      </c>
      <c r="S206">
        <f t="shared" si="82"/>
        <v>7.9362277699931278E-5</v>
      </c>
      <c r="T206" s="41">
        <f t="shared" si="83"/>
        <v>1.0044209434195256E-4</v>
      </c>
      <c r="U206" s="42">
        <f t="shared" si="103"/>
        <v>0.14241957544641168</v>
      </c>
      <c r="V206" s="42">
        <f t="shared" si="104"/>
        <v>0.45050987270901505</v>
      </c>
      <c r="W206" s="42">
        <f t="shared" si="105"/>
        <v>0.44628158784931921</v>
      </c>
      <c r="X206" s="42">
        <f t="shared" si="106"/>
        <v>4.2282848596958411E-3</v>
      </c>
      <c r="Y206" s="42">
        <f t="shared" si="89"/>
        <v>1.5276317413661317E-3</v>
      </c>
      <c r="Z206" s="10">
        <f t="shared" si="107"/>
        <v>15.209078936221186</v>
      </c>
      <c r="AA206">
        <f t="shared" si="84"/>
        <v>5018098.8395660147</v>
      </c>
      <c r="AB206" s="10">
        <f t="shared" si="85"/>
        <v>5.0180988395660151</v>
      </c>
      <c r="AC206" s="10">
        <f t="shared" si="86"/>
        <v>4.9170988395660151</v>
      </c>
      <c r="AD206" s="3">
        <f t="shared" si="87"/>
        <v>713.13978818941473</v>
      </c>
      <c r="AI206" s="94">
        <f t="shared" si="88"/>
        <v>0.44628158784931921</v>
      </c>
    </row>
    <row r="207" spans="2:35">
      <c r="B207" s="39">
        <f t="shared" si="90"/>
        <v>179</v>
      </c>
      <c r="C207" s="42">
        <f t="shared" si="91"/>
        <v>1.1890407673848495</v>
      </c>
      <c r="D207" s="10">
        <f t="shared" si="92"/>
        <v>4.3509592326149917</v>
      </c>
      <c r="E207" s="40">
        <f t="shared" si="93"/>
        <v>22.378081534770015</v>
      </c>
      <c r="F207" s="40">
        <f t="shared" si="94"/>
        <v>31.08</v>
      </c>
      <c r="G207" s="3">
        <f t="shared" si="95"/>
        <v>216.88767386092249</v>
      </c>
      <c r="H207" s="3">
        <f t="shared" si="96"/>
        <v>81.256230789298584</v>
      </c>
      <c r="I207">
        <f t="shared" si="78"/>
        <v>8.1256230789298584E-5</v>
      </c>
      <c r="J207" s="4">
        <f t="shared" si="97"/>
        <v>393.31054022593838</v>
      </c>
      <c r="K207" s="40">
        <f t="shared" si="98"/>
        <v>4.8403739184729355</v>
      </c>
      <c r="L207" s="40">
        <f t="shared" si="79"/>
        <v>1.1596260815270645</v>
      </c>
      <c r="M207" s="10">
        <f t="shared" si="99"/>
        <v>5.0180988395660151</v>
      </c>
      <c r="N207" s="10">
        <f t="shared" si="80"/>
        <v>8.26</v>
      </c>
      <c r="O207" s="10">
        <f t="shared" si="81"/>
        <v>0.31900000000000001</v>
      </c>
      <c r="P207" s="10">
        <f t="shared" si="100"/>
        <v>13.818218500826916</v>
      </c>
      <c r="Q207" s="42">
        <f t="shared" si="101"/>
        <v>8.9051886136120501E-2</v>
      </c>
      <c r="R207" s="4">
        <f t="shared" si="102"/>
        <v>79241.580864181655</v>
      </c>
      <c r="S207">
        <f t="shared" si="82"/>
        <v>7.924158086418166E-5</v>
      </c>
      <c r="T207" s="41">
        <f t="shared" si="83"/>
        <v>1.0056279117770217E-4</v>
      </c>
      <c r="U207" s="42">
        <f t="shared" si="103"/>
        <v>0.14220297893981718</v>
      </c>
      <c r="V207" s="42">
        <f t="shared" si="104"/>
        <v>0.45056742432693614</v>
      </c>
      <c r="W207" s="42">
        <f t="shared" si="105"/>
        <v>0.44633926672173496</v>
      </c>
      <c r="X207" s="42">
        <f t="shared" si="106"/>
        <v>4.2281576052011771E-3</v>
      </c>
      <c r="Y207" s="42">
        <f t="shared" si="89"/>
        <v>1.5296642987974319E-3</v>
      </c>
      <c r="Z207" s="10">
        <f t="shared" si="107"/>
        <v>15.211036615863193</v>
      </c>
      <c r="AA207">
        <f t="shared" si="84"/>
        <v>5018731.7578601688</v>
      </c>
      <c r="AB207" s="10">
        <f t="shared" si="85"/>
        <v>5.0187317578601691</v>
      </c>
      <c r="AC207" s="10">
        <f t="shared" si="86"/>
        <v>4.9177317578601691</v>
      </c>
      <c r="AD207" s="3">
        <f t="shared" si="87"/>
        <v>713.23158199567354</v>
      </c>
      <c r="AI207" s="94">
        <f t="shared" si="88"/>
        <v>0.44633926672173496</v>
      </c>
    </row>
    <row r="208" spans="2:35">
      <c r="B208" s="39">
        <f t="shared" si="90"/>
        <v>180</v>
      </c>
      <c r="C208" s="42">
        <f t="shared" si="91"/>
        <v>1.1956834532361615</v>
      </c>
      <c r="D208" s="10">
        <f t="shared" si="92"/>
        <v>4.3443165467636788</v>
      </c>
      <c r="E208" s="40">
        <f t="shared" si="93"/>
        <v>22.391366906472641</v>
      </c>
      <c r="F208" s="40">
        <f t="shared" si="94"/>
        <v>31.08</v>
      </c>
      <c r="G208" s="3">
        <f t="shared" si="95"/>
        <v>216.834532374112</v>
      </c>
      <c r="H208" s="3">
        <f t="shared" si="96"/>
        <v>81.256230789298584</v>
      </c>
      <c r="I208">
        <f t="shared" si="78"/>
        <v>8.1256230789298584E-5</v>
      </c>
      <c r="J208" s="4">
        <f t="shared" si="97"/>
        <v>393.77767837439035</v>
      </c>
      <c r="K208" s="40">
        <f t="shared" si="98"/>
        <v>4.8461228702014898</v>
      </c>
      <c r="L208" s="40">
        <f t="shared" si="79"/>
        <v>1.1538771297985102</v>
      </c>
      <c r="M208" s="10">
        <f t="shared" si="99"/>
        <v>5.0187317578601691</v>
      </c>
      <c r="N208" s="10">
        <f t="shared" si="80"/>
        <v>8.26</v>
      </c>
      <c r="O208" s="10">
        <f t="shared" si="81"/>
        <v>0.31900000000000001</v>
      </c>
      <c r="P208" s="10">
        <f t="shared" si="100"/>
        <v>13.818774446719621</v>
      </c>
      <c r="Q208" s="42">
        <f t="shared" si="101"/>
        <v>8.9532586206660325E-2</v>
      </c>
      <c r="R208" s="4">
        <f t="shared" si="102"/>
        <v>79120.873531012243</v>
      </c>
      <c r="S208">
        <f t="shared" si="82"/>
        <v>7.9120873531012242E-5</v>
      </c>
      <c r="T208" s="41">
        <f t="shared" si="83"/>
        <v>1.0068349851087159E-4</v>
      </c>
      <c r="U208" s="42">
        <f t="shared" si="103"/>
        <v>0.14198636359507799</v>
      </c>
      <c r="V208" s="42">
        <f t="shared" si="104"/>
        <v>0.45062474090325527</v>
      </c>
      <c r="W208" s="42">
        <f t="shared" si="105"/>
        <v>0.44639671854373908</v>
      </c>
      <c r="X208" s="42">
        <f t="shared" si="106"/>
        <v>4.2280223595161925E-3</v>
      </c>
      <c r="Y208" s="42">
        <f t="shared" si="89"/>
        <v>1.5316967094438953E-3</v>
      </c>
      <c r="Z208" s="10">
        <f t="shared" si="107"/>
        <v>15.212986557856905</v>
      </c>
      <c r="AA208">
        <f t="shared" si="84"/>
        <v>5019362.1745707868</v>
      </c>
      <c r="AB208" s="10">
        <f t="shared" si="85"/>
        <v>5.0193621745707864</v>
      </c>
      <c r="AC208" s="10">
        <f t="shared" si="86"/>
        <v>4.9183621745707864</v>
      </c>
      <c r="AD208" s="3">
        <f t="shared" si="87"/>
        <v>713.32301299068695</v>
      </c>
      <c r="AI208" s="94">
        <f t="shared" si="88"/>
        <v>0.44639671854373908</v>
      </c>
    </row>
    <row r="209" spans="2:35">
      <c r="B209" s="39">
        <f t="shared" si="90"/>
        <v>181</v>
      </c>
      <c r="C209" s="42">
        <f t="shared" si="91"/>
        <v>1.2023261390874735</v>
      </c>
      <c r="D209" s="10">
        <f t="shared" si="92"/>
        <v>4.337673860912366</v>
      </c>
      <c r="E209" s="40">
        <f t="shared" si="93"/>
        <v>22.404652278175266</v>
      </c>
      <c r="F209" s="40">
        <f t="shared" si="94"/>
        <v>31.08</v>
      </c>
      <c r="G209" s="3">
        <f t="shared" si="95"/>
        <v>216.78139088730151</v>
      </c>
      <c r="H209" s="3">
        <f t="shared" si="96"/>
        <v>81.256230789298584</v>
      </c>
      <c r="I209">
        <f t="shared" si="78"/>
        <v>8.1256230789298584E-5</v>
      </c>
      <c r="J209" s="4">
        <f t="shared" si="97"/>
        <v>394.2450937701239</v>
      </c>
      <c r="K209" s="40">
        <f t="shared" si="98"/>
        <v>4.8518752339426241</v>
      </c>
      <c r="L209" s="40">
        <f t="shared" si="79"/>
        <v>1.1481247660573759</v>
      </c>
      <c r="M209" s="10">
        <f t="shared" si="99"/>
        <v>5.0193621745707864</v>
      </c>
      <c r="N209" s="10">
        <f t="shared" si="80"/>
        <v>8.26</v>
      </c>
      <c r="O209" s="10">
        <f t="shared" si="81"/>
        <v>0.31900000000000001</v>
      </c>
      <c r="P209" s="10">
        <f t="shared" si="100"/>
        <v>13.819328147798167</v>
      </c>
      <c r="Q209" s="42">
        <f t="shared" si="101"/>
        <v>9.0013267016918849E-2</v>
      </c>
      <c r="R209" s="4">
        <f t="shared" si="102"/>
        <v>79000.155744623014</v>
      </c>
      <c r="S209">
        <f t="shared" si="82"/>
        <v>7.9000155744623018E-5</v>
      </c>
      <c r="T209" s="41">
        <f t="shared" si="83"/>
        <v>1.0080421629726082E-4</v>
      </c>
      <c r="U209" s="42">
        <f t="shared" si="103"/>
        <v>0.14176972949151323</v>
      </c>
      <c r="V209" s="42">
        <f t="shared" si="104"/>
        <v>0.45068182240986293</v>
      </c>
      <c r="W209" s="42">
        <f t="shared" si="105"/>
        <v>0.44645394328977889</v>
      </c>
      <c r="X209" s="42">
        <f t="shared" si="106"/>
        <v>4.2278791200840438E-3</v>
      </c>
      <c r="Y209" s="42">
        <f t="shared" si="89"/>
        <v>1.5337289698050124E-3</v>
      </c>
      <c r="Z209" s="10">
        <f t="shared" si="107"/>
        <v>15.214928761334846</v>
      </c>
      <c r="AA209">
        <f t="shared" si="84"/>
        <v>5019990.0894174138</v>
      </c>
      <c r="AB209" s="10">
        <f t="shared" si="85"/>
        <v>5.0199900894174139</v>
      </c>
      <c r="AC209" s="10">
        <f t="shared" si="86"/>
        <v>4.9189900894174139</v>
      </c>
      <c r="AD209" s="3">
        <f t="shared" si="87"/>
        <v>713.41408113378009</v>
      </c>
      <c r="AI209" s="94">
        <f t="shared" si="88"/>
        <v>0.44645394328977889</v>
      </c>
    </row>
    <row r="210" spans="2:35">
      <c r="B210" s="39">
        <f t="shared" si="90"/>
        <v>182</v>
      </c>
      <c r="C210" s="42">
        <f t="shared" si="91"/>
        <v>1.2089688249387855</v>
      </c>
      <c r="D210" s="10">
        <f t="shared" si="92"/>
        <v>4.3310311750610531</v>
      </c>
      <c r="E210" s="40">
        <f t="shared" si="93"/>
        <v>22.417937649877892</v>
      </c>
      <c r="F210" s="40">
        <f t="shared" si="94"/>
        <v>31.08</v>
      </c>
      <c r="G210" s="3">
        <f t="shared" si="95"/>
        <v>216.72824940049102</v>
      </c>
      <c r="H210" s="3">
        <f t="shared" si="96"/>
        <v>81.256230789298584</v>
      </c>
      <c r="I210">
        <f t="shared" si="78"/>
        <v>8.1256230789298584E-5</v>
      </c>
      <c r="J210" s="4">
        <f t="shared" si="97"/>
        <v>394.71278641313904</v>
      </c>
      <c r="K210" s="40">
        <f t="shared" si="98"/>
        <v>4.8576310096963367</v>
      </c>
      <c r="L210" s="40">
        <f t="shared" si="79"/>
        <v>1.1423689903036633</v>
      </c>
      <c r="M210" s="10">
        <f t="shared" si="99"/>
        <v>5.0199900894174139</v>
      </c>
      <c r="N210" s="10">
        <f t="shared" si="80"/>
        <v>8.26</v>
      </c>
      <c r="O210" s="10">
        <f t="shared" si="81"/>
        <v>0.31900000000000001</v>
      </c>
      <c r="P210" s="10">
        <f t="shared" si="100"/>
        <v>13.81987960439008</v>
      </c>
      <c r="Q210" s="42">
        <f t="shared" si="101"/>
        <v>9.0493928646503657E-2</v>
      </c>
      <c r="R210" s="4">
        <f t="shared" si="102"/>
        <v>78879.427549213971</v>
      </c>
      <c r="S210">
        <f t="shared" si="82"/>
        <v>7.887942754921397E-5</v>
      </c>
      <c r="T210" s="41">
        <f t="shared" si="83"/>
        <v>1.0092494449266986E-4</v>
      </c>
      <c r="U210" s="42">
        <f t="shared" si="103"/>
        <v>0.14155307670844192</v>
      </c>
      <c r="V210" s="42">
        <f t="shared" si="104"/>
        <v>0.45073866881876312</v>
      </c>
      <c r="W210" s="42">
        <f t="shared" si="105"/>
        <v>0.44651094093439642</v>
      </c>
      <c r="X210" s="42">
        <f t="shared" si="106"/>
        <v>4.2277278843667054E-3</v>
      </c>
      <c r="Y210" s="42">
        <f t="shared" si="89"/>
        <v>1.5357610763793532E-3</v>
      </c>
      <c r="Z210" s="10">
        <f t="shared" si="107"/>
        <v>15.216863225432785</v>
      </c>
      <c r="AA210">
        <f t="shared" si="84"/>
        <v>5020615.5021206457</v>
      </c>
      <c r="AB210" s="10">
        <f t="shared" si="85"/>
        <v>5.0206155021206458</v>
      </c>
      <c r="AC210" s="10">
        <f t="shared" si="86"/>
        <v>4.9196155021206458</v>
      </c>
      <c r="AD210" s="3">
        <f t="shared" si="87"/>
        <v>713.50478638443008</v>
      </c>
      <c r="AI210" s="94">
        <f t="shared" si="88"/>
        <v>0.44651094093439642</v>
      </c>
    </row>
    <row r="211" spans="2:35">
      <c r="B211" s="39">
        <f t="shared" si="90"/>
        <v>183</v>
      </c>
      <c r="C211" s="42">
        <f t="shared" si="91"/>
        <v>1.2156115107900975</v>
      </c>
      <c r="D211" s="10">
        <f t="shared" si="92"/>
        <v>4.3243884892097402</v>
      </c>
      <c r="E211" s="40">
        <f t="shared" si="93"/>
        <v>22.431223021580518</v>
      </c>
      <c r="F211" s="40">
        <f t="shared" si="94"/>
        <v>31.08</v>
      </c>
      <c r="G211" s="3">
        <f t="shared" si="95"/>
        <v>216.67510791368053</v>
      </c>
      <c r="H211" s="3">
        <f t="shared" si="96"/>
        <v>81.256230789298584</v>
      </c>
      <c r="I211">
        <f t="shared" si="78"/>
        <v>8.1256230789298584E-5</v>
      </c>
      <c r="J211" s="4">
        <f t="shared" si="97"/>
        <v>395.18075630343577</v>
      </c>
      <c r="K211" s="40">
        <f t="shared" si="98"/>
        <v>4.8633901974626284</v>
      </c>
      <c r="L211" s="40">
        <f t="shared" si="79"/>
        <v>1.1366098025373716</v>
      </c>
      <c r="M211" s="10">
        <f t="shared" si="99"/>
        <v>5.0206155021206458</v>
      </c>
      <c r="N211" s="10">
        <f t="shared" si="80"/>
        <v>8.26</v>
      </c>
      <c r="O211" s="10">
        <f t="shared" si="81"/>
        <v>0.31900000000000001</v>
      </c>
      <c r="P211" s="10">
        <f t="shared" si="100"/>
        <v>13.820428816821407</v>
      </c>
      <c r="Q211" s="42">
        <f t="shared" si="101"/>
        <v>9.0974571174992136E-2</v>
      </c>
      <c r="R211" s="4">
        <f t="shared" si="102"/>
        <v>78758.688988985101</v>
      </c>
      <c r="S211">
        <f t="shared" si="82"/>
        <v>7.8758688988985108E-5</v>
      </c>
      <c r="T211" s="41">
        <f t="shared" si="83"/>
        <v>1.0104568305289873E-4</v>
      </c>
      <c r="U211" s="42">
        <f t="shared" si="103"/>
        <v>0.14133640532518321</v>
      </c>
      <c r="V211" s="42">
        <f t="shared" si="104"/>
        <v>0.45079528010159836</v>
      </c>
      <c r="W211" s="42">
        <f t="shared" si="105"/>
        <v>0.44656771145222957</v>
      </c>
      <c r="X211" s="42">
        <f t="shared" si="106"/>
        <v>4.2275686493687958E-3</v>
      </c>
      <c r="Y211" s="42">
        <f t="shared" si="89"/>
        <v>1.5377930256643445E-3</v>
      </c>
      <c r="Z211" s="10">
        <f t="shared" si="107"/>
        <v>15.218789949287492</v>
      </c>
      <c r="AA211">
        <f t="shared" si="84"/>
        <v>5021238.4124013977</v>
      </c>
      <c r="AB211" s="10">
        <f t="shared" si="85"/>
        <v>5.0212384124013978</v>
      </c>
      <c r="AC211" s="10">
        <f t="shared" si="86"/>
        <v>4.9202384124013978</v>
      </c>
      <c r="AD211" s="3">
        <f t="shared" si="87"/>
        <v>713.59512870216065</v>
      </c>
      <c r="AI211" s="94">
        <f t="shared" si="88"/>
        <v>0.44656771145222957</v>
      </c>
    </row>
    <row r="212" spans="2:35">
      <c r="B212" s="39">
        <f t="shared" si="90"/>
        <v>184</v>
      </c>
      <c r="C212" s="42">
        <f t="shared" si="91"/>
        <v>1.2222541966414096</v>
      </c>
      <c r="D212" s="10">
        <f t="shared" si="92"/>
        <v>4.3177458033584273</v>
      </c>
      <c r="E212" s="40">
        <f t="shared" si="93"/>
        <v>22.444508393283144</v>
      </c>
      <c r="F212" s="40">
        <f t="shared" si="94"/>
        <v>31.08</v>
      </c>
      <c r="G212" s="3">
        <f t="shared" si="95"/>
        <v>216.62196642687005</v>
      </c>
      <c r="H212" s="3">
        <f t="shared" si="96"/>
        <v>81.256230789298584</v>
      </c>
      <c r="I212">
        <f t="shared" si="78"/>
        <v>8.1256230789298584E-5</v>
      </c>
      <c r="J212" s="4">
        <f t="shared" si="97"/>
        <v>395.64900344101397</v>
      </c>
      <c r="K212" s="40">
        <f t="shared" si="98"/>
        <v>4.8691527972414983</v>
      </c>
      <c r="L212" s="40">
        <f t="shared" si="79"/>
        <v>1.1308472027585017</v>
      </c>
      <c r="M212" s="10">
        <f t="shared" si="99"/>
        <v>5.0212384124013978</v>
      </c>
      <c r="N212" s="10">
        <f t="shared" si="80"/>
        <v>8.26</v>
      </c>
      <c r="O212" s="10">
        <f t="shared" si="81"/>
        <v>0.31900000000000001</v>
      </c>
      <c r="P212" s="10">
        <f t="shared" si="100"/>
        <v>13.820975785416085</v>
      </c>
      <c r="Q212" s="42">
        <f t="shared" si="101"/>
        <v>9.1455194681931598E-2</v>
      </c>
      <c r="R212" s="4">
        <f t="shared" si="102"/>
        <v>78637.940108136449</v>
      </c>
      <c r="S212">
        <f t="shared" si="82"/>
        <v>7.8637940108136452E-5</v>
      </c>
      <c r="T212" s="41">
        <f t="shared" si="83"/>
        <v>1.0116643193374738E-4</v>
      </c>
      <c r="U212" s="42">
        <f t="shared" si="103"/>
        <v>0.14111971542105625</v>
      </c>
      <c r="V212" s="42">
        <f t="shared" si="104"/>
        <v>0.45085165623048373</v>
      </c>
      <c r="W212" s="42">
        <f t="shared" si="105"/>
        <v>0.44662425481794499</v>
      </c>
      <c r="X212" s="42">
        <f t="shared" si="106"/>
        <v>4.2274014125387449E-3</v>
      </c>
      <c r="Y212" s="42">
        <f t="shared" si="89"/>
        <v>1.5398248141564798E-3</v>
      </c>
      <c r="Z212" s="10">
        <f t="shared" si="107"/>
        <v>15.220708932038757</v>
      </c>
      <c r="AA212">
        <f t="shared" si="84"/>
        <v>5021858.8199815648</v>
      </c>
      <c r="AB212" s="10">
        <f t="shared" si="85"/>
        <v>5.0218588199815644</v>
      </c>
      <c r="AC212" s="10">
        <f t="shared" si="86"/>
        <v>4.9208588199815644</v>
      </c>
      <c r="AD212" s="3">
        <f t="shared" si="87"/>
        <v>713.68510804663742</v>
      </c>
      <c r="AI212" s="94">
        <f t="shared" si="88"/>
        <v>0.44662425481794499</v>
      </c>
    </row>
    <row r="213" spans="2:35">
      <c r="B213" s="39">
        <f t="shared" si="90"/>
        <v>185</v>
      </c>
      <c r="C213" s="42">
        <f t="shared" si="91"/>
        <v>1.2288968824927216</v>
      </c>
      <c r="D213" s="10">
        <f t="shared" si="92"/>
        <v>4.3111031175071144</v>
      </c>
      <c r="E213" s="40">
        <f t="shared" si="93"/>
        <v>22.45779376498577</v>
      </c>
      <c r="F213" s="40">
        <f t="shared" si="94"/>
        <v>31.08</v>
      </c>
      <c r="G213" s="3">
        <f t="shared" si="95"/>
        <v>216.56882494005956</v>
      </c>
      <c r="H213" s="3">
        <f t="shared" si="96"/>
        <v>81.256230789298584</v>
      </c>
      <c r="I213">
        <f t="shared" si="78"/>
        <v>8.1256230789298584E-5</v>
      </c>
      <c r="J213" s="4">
        <f t="shared" si="97"/>
        <v>396.11752782587376</v>
      </c>
      <c r="K213" s="40">
        <f t="shared" si="98"/>
        <v>4.8749188090329474</v>
      </c>
      <c r="L213" s="40">
        <f t="shared" si="79"/>
        <v>1.1250811909670526</v>
      </c>
      <c r="M213" s="10">
        <f t="shared" si="99"/>
        <v>5.0218588199815644</v>
      </c>
      <c r="N213" s="10">
        <f t="shared" si="80"/>
        <v>8.26</v>
      </c>
      <c r="O213" s="10">
        <f t="shared" si="81"/>
        <v>0.31900000000000001</v>
      </c>
      <c r="P213" s="10">
        <f t="shared" si="100"/>
        <v>13.821520510496523</v>
      </c>
      <c r="Q213" s="42">
        <f t="shared" si="101"/>
        <v>9.1935799246839436E-2</v>
      </c>
      <c r="R213" s="4">
        <f t="shared" si="102"/>
        <v>78517.180950867973</v>
      </c>
      <c r="S213">
        <f t="shared" si="82"/>
        <v>7.8517180950867971E-5</v>
      </c>
      <c r="T213" s="41">
        <f t="shared" si="83"/>
        <v>1.0128719109101586E-4</v>
      </c>
      <c r="U213" s="42">
        <f t="shared" si="103"/>
        <v>0.14090300707538009</v>
      </c>
      <c r="V213" s="42">
        <f t="shared" si="104"/>
        <v>0.45090779717774981</v>
      </c>
      <c r="W213" s="42">
        <f t="shared" si="105"/>
        <v>0.44668057100629821</v>
      </c>
      <c r="X213" s="42">
        <f t="shared" si="106"/>
        <v>4.2272261714516035E-3</v>
      </c>
      <c r="Y213" s="42">
        <f t="shared" si="89"/>
        <v>1.5418564383513774E-3</v>
      </c>
      <c r="Z213" s="10">
        <f t="shared" si="107"/>
        <v>15.222620172829924</v>
      </c>
      <c r="AA213">
        <f t="shared" si="84"/>
        <v>5022476.7245841892</v>
      </c>
      <c r="AB213" s="10">
        <f t="shared" si="85"/>
        <v>5.0224767245841893</v>
      </c>
      <c r="AC213" s="10">
        <f t="shared" si="86"/>
        <v>4.9214767245841893</v>
      </c>
      <c r="AD213" s="3">
        <f t="shared" si="87"/>
        <v>713.77472437769245</v>
      </c>
      <c r="AI213" s="94">
        <f t="shared" si="88"/>
        <v>0.44668057100629821</v>
      </c>
    </row>
    <row r="214" spans="2:35">
      <c r="B214" s="39">
        <f t="shared" si="90"/>
        <v>186</v>
      </c>
      <c r="C214" s="42">
        <f t="shared" si="91"/>
        <v>1.2355395683440336</v>
      </c>
      <c r="D214" s="10">
        <f t="shared" si="92"/>
        <v>4.3044604316558015</v>
      </c>
      <c r="E214" s="40">
        <f t="shared" si="93"/>
        <v>22.471079136688395</v>
      </c>
      <c r="F214" s="40">
        <f t="shared" si="94"/>
        <v>31.08</v>
      </c>
      <c r="G214" s="3">
        <f t="shared" si="95"/>
        <v>216.51568345324907</v>
      </c>
      <c r="H214" s="3">
        <f t="shared" si="96"/>
        <v>81.256230789298584</v>
      </c>
      <c r="I214">
        <f t="shared" si="78"/>
        <v>8.1256230789298584E-5</v>
      </c>
      <c r="J214" s="4">
        <f t="shared" si="97"/>
        <v>396.58632945801514</v>
      </c>
      <c r="K214" s="40">
        <f t="shared" si="98"/>
        <v>4.8806882328369756</v>
      </c>
      <c r="L214" s="40">
        <f t="shared" si="79"/>
        <v>1.1193117671630244</v>
      </c>
      <c r="M214" s="10">
        <f t="shared" si="99"/>
        <v>5.0224767245841893</v>
      </c>
      <c r="N214" s="10">
        <f t="shared" si="80"/>
        <v>8.26</v>
      </c>
      <c r="O214" s="10">
        <f t="shared" si="81"/>
        <v>0.31900000000000001</v>
      </c>
      <c r="P214" s="10">
        <f t="shared" si="100"/>
        <v>13.822062992383747</v>
      </c>
      <c r="Q214" s="42">
        <f t="shared" si="101"/>
        <v>9.2416384949203276E-2</v>
      </c>
      <c r="R214" s="4">
        <f t="shared" si="102"/>
        <v>78396.411561379675</v>
      </c>
      <c r="S214">
        <f t="shared" si="82"/>
        <v>7.8396411561379675E-5</v>
      </c>
      <c r="T214" s="41">
        <f t="shared" si="83"/>
        <v>1.0140796048050416E-4</v>
      </c>
      <c r="U214" s="42">
        <f t="shared" si="103"/>
        <v>0.14068628036747391</v>
      </c>
      <c r="V214" s="42">
        <f t="shared" si="104"/>
        <v>0.45096370291536514</v>
      </c>
      <c r="W214" s="42">
        <f t="shared" si="105"/>
        <v>0.44673665999214895</v>
      </c>
      <c r="X214" s="42">
        <f t="shared" si="106"/>
        <v>4.2270429232161844E-3</v>
      </c>
      <c r="Y214" s="42">
        <f t="shared" si="89"/>
        <v>1.5438878947435534E-3</v>
      </c>
      <c r="Z214" s="10">
        <f t="shared" si="107"/>
        <v>15.22452367080559</v>
      </c>
      <c r="AA214">
        <f t="shared" si="84"/>
        <v>5023092.1259327205</v>
      </c>
      <c r="AB214" s="10">
        <f t="shared" si="85"/>
        <v>5.0230921259327204</v>
      </c>
      <c r="AC214" s="10">
        <f t="shared" si="86"/>
        <v>4.9220921259327204</v>
      </c>
      <c r="AD214" s="3">
        <f t="shared" si="87"/>
        <v>713.8639776552169</v>
      </c>
      <c r="AI214" s="94">
        <f t="shared" si="88"/>
        <v>0.44673665999214895</v>
      </c>
    </row>
    <row r="215" spans="2:35">
      <c r="B215" s="39">
        <f t="shared" si="90"/>
        <v>187</v>
      </c>
      <c r="C215" s="42">
        <f t="shared" si="91"/>
        <v>1.2421822541953456</v>
      </c>
      <c r="D215" s="10">
        <f t="shared" si="92"/>
        <v>4.2978177458044886</v>
      </c>
      <c r="E215" s="40">
        <f t="shared" si="93"/>
        <v>22.484364508391021</v>
      </c>
      <c r="F215" s="40">
        <f t="shared" si="94"/>
        <v>31.08</v>
      </c>
      <c r="G215" s="3">
        <f t="shared" si="95"/>
        <v>216.46254196643858</v>
      </c>
      <c r="H215" s="3">
        <f t="shared" si="96"/>
        <v>81.256230789298584</v>
      </c>
      <c r="I215">
        <f t="shared" si="78"/>
        <v>8.1256230789298584E-5</v>
      </c>
      <c r="J215" s="4">
        <f t="shared" si="97"/>
        <v>397.05540833743811</v>
      </c>
      <c r="K215" s="40">
        <f t="shared" si="98"/>
        <v>4.886461068653583</v>
      </c>
      <c r="L215" s="40">
        <f t="shared" si="79"/>
        <v>1.113538931346417</v>
      </c>
      <c r="M215" s="10">
        <f t="shared" si="99"/>
        <v>5.0230921259327204</v>
      </c>
      <c r="N215" s="10">
        <f t="shared" si="80"/>
        <v>8.26</v>
      </c>
      <c r="O215" s="10">
        <f t="shared" si="81"/>
        <v>0.31900000000000001</v>
      </c>
      <c r="P215" s="10">
        <f t="shared" si="100"/>
        <v>13.82260323139675</v>
      </c>
      <c r="Q215" s="42">
        <f t="shared" si="101"/>
        <v>9.2896951868481098E-2</v>
      </c>
      <c r="R215" s="4">
        <f t="shared" si="102"/>
        <v>78275.631983871557</v>
      </c>
      <c r="S215">
        <f t="shared" si="82"/>
        <v>7.8275631983871558E-5</v>
      </c>
      <c r="T215" s="41">
        <f t="shared" si="83"/>
        <v>1.0152874005801228E-4</v>
      </c>
      <c r="U215" s="42">
        <f t="shared" si="103"/>
        <v>0.14046953537665668</v>
      </c>
      <c r="V215" s="42">
        <f t="shared" si="104"/>
        <v>0.4510193734161746</v>
      </c>
      <c r="W215" s="42">
        <f t="shared" si="105"/>
        <v>0.44679252175039402</v>
      </c>
      <c r="X215" s="42">
        <f t="shared" si="106"/>
        <v>4.2268516657805733E-3</v>
      </c>
      <c r="Y215" s="42">
        <f t="shared" si="89"/>
        <v>1.5459191798268218E-3</v>
      </c>
      <c r="Z215" s="10">
        <f t="shared" si="107"/>
        <v>15.226419425115514</v>
      </c>
      <c r="AA215">
        <f t="shared" si="84"/>
        <v>5023705.023752274</v>
      </c>
      <c r="AB215" s="10">
        <f t="shared" si="85"/>
        <v>5.0237050237522736</v>
      </c>
      <c r="AC215" s="10">
        <f t="shared" si="86"/>
        <v>4.9227050237522736</v>
      </c>
      <c r="AD215" s="3">
        <f t="shared" si="87"/>
        <v>713.95286783934353</v>
      </c>
      <c r="AI215" s="94">
        <f t="shared" si="88"/>
        <v>0.44679252175039402</v>
      </c>
    </row>
    <row r="216" spans="2:35">
      <c r="B216" s="39">
        <f t="shared" si="90"/>
        <v>188</v>
      </c>
      <c r="C216" s="42">
        <f t="shared" si="91"/>
        <v>1.2488249400466576</v>
      </c>
      <c r="D216" s="10">
        <f t="shared" si="92"/>
        <v>4.2911750599531757</v>
      </c>
      <c r="E216" s="40">
        <f t="shared" si="93"/>
        <v>22.497649880093647</v>
      </c>
      <c r="F216" s="40">
        <f t="shared" si="94"/>
        <v>31.08</v>
      </c>
      <c r="G216" s="3">
        <f t="shared" si="95"/>
        <v>216.40940047962809</v>
      </c>
      <c r="H216" s="3">
        <f t="shared" si="96"/>
        <v>81.256230789298584</v>
      </c>
      <c r="I216">
        <f t="shared" si="78"/>
        <v>8.1256230789298584E-5</v>
      </c>
      <c r="J216" s="4">
        <f t="shared" si="97"/>
        <v>397.52476446414255</v>
      </c>
      <c r="K216" s="40">
        <f t="shared" si="98"/>
        <v>4.8922373164827677</v>
      </c>
      <c r="L216" s="40">
        <f t="shared" si="79"/>
        <v>1.1077626835172323</v>
      </c>
      <c r="M216" s="10">
        <f t="shared" si="99"/>
        <v>5.0237050237522736</v>
      </c>
      <c r="N216" s="10">
        <f t="shared" si="80"/>
        <v>8.26</v>
      </c>
      <c r="O216" s="10">
        <f t="shared" si="81"/>
        <v>0.31900000000000001</v>
      </c>
      <c r="P216" s="10">
        <f t="shared" si="100"/>
        <v>13.823141227853599</v>
      </c>
      <c r="Q216" s="42">
        <f t="shared" si="101"/>
        <v>9.3377500084101367E-2</v>
      </c>
      <c r="R216" s="4">
        <f t="shared" si="102"/>
        <v>78154.842262543636</v>
      </c>
      <c r="S216">
        <f t="shared" si="82"/>
        <v>7.8154842262543629E-5</v>
      </c>
      <c r="T216" s="41">
        <f t="shared" si="83"/>
        <v>1.016495297793402E-4</v>
      </c>
      <c r="U216" s="42">
        <f t="shared" si="103"/>
        <v>0.14025277218224766</v>
      </c>
      <c r="V216" s="42">
        <f t="shared" si="104"/>
        <v>0.45107480865210925</v>
      </c>
      <c r="W216" s="42">
        <f t="shared" si="105"/>
        <v>0.44684815625608137</v>
      </c>
      <c r="X216" s="42">
        <f t="shared" si="106"/>
        <v>4.2266523960278746E-3</v>
      </c>
      <c r="Y216" s="42">
        <f t="shared" si="89"/>
        <v>1.5479502900937801E-3</v>
      </c>
      <c r="Z216" s="10">
        <f t="shared" si="107"/>
        <v>15.228307434909491</v>
      </c>
      <c r="AA216">
        <f t="shared" si="84"/>
        <v>5024315.4177679792</v>
      </c>
      <c r="AB216" s="10">
        <f t="shared" si="85"/>
        <v>5.024315417767979</v>
      </c>
      <c r="AC216" s="10">
        <f t="shared" si="86"/>
        <v>4.923315417767979</v>
      </c>
      <c r="AD216" s="3">
        <f t="shared" si="87"/>
        <v>714.04139489020724</v>
      </c>
      <c r="AI216" s="94">
        <f t="shared" si="88"/>
        <v>0.44684815625608137</v>
      </c>
    </row>
    <row r="217" spans="2:35">
      <c r="B217" s="39">
        <f t="shared" si="90"/>
        <v>189</v>
      </c>
      <c r="C217" s="42">
        <f t="shared" si="91"/>
        <v>1.2554676258979696</v>
      </c>
      <c r="D217" s="10">
        <f t="shared" si="92"/>
        <v>4.2845323741018628</v>
      </c>
      <c r="E217" s="40">
        <f t="shared" si="93"/>
        <v>22.510935251796273</v>
      </c>
      <c r="F217" s="40">
        <f t="shared" si="94"/>
        <v>31.08</v>
      </c>
      <c r="G217" s="3">
        <f t="shared" si="95"/>
        <v>216.3562589928176</v>
      </c>
      <c r="H217" s="3">
        <f t="shared" si="96"/>
        <v>81.256230789298584</v>
      </c>
      <c r="I217">
        <f t="shared" si="78"/>
        <v>8.1256230789298584E-5</v>
      </c>
      <c r="J217" s="4">
        <f t="shared" si="97"/>
        <v>397.99439783812858</v>
      </c>
      <c r="K217" s="40">
        <f t="shared" si="98"/>
        <v>4.8980169763245316</v>
      </c>
      <c r="L217" s="40">
        <f t="shared" si="79"/>
        <v>1.1019830236754684</v>
      </c>
      <c r="M217" s="10">
        <f t="shared" si="99"/>
        <v>5.024315417767979</v>
      </c>
      <c r="N217" s="10">
        <f t="shared" si="80"/>
        <v>8.26</v>
      </c>
      <c r="O217" s="10">
        <f t="shared" si="81"/>
        <v>0.31900000000000001</v>
      </c>
      <c r="P217" s="10">
        <f t="shared" si="100"/>
        <v>13.823676982069987</v>
      </c>
      <c r="Q217" s="42">
        <f t="shared" si="101"/>
        <v>9.3858029675463195E-2</v>
      </c>
      <c r="R217" s="4">
        <f t="shared" si="102"/>
        <v>78034.042441595884</v>
      </c>
      <c r="S217">
        <f t="shared" si="82"/>
        <v>7.8034042441595884E-5</v>
      </c>
      <c r="T217" s="41">
        <f t="shared" si="83"/>
        <v>1.0177032960028795E-4</v>
      </c>
      <c r="U217" s="42">
        <f t="shared" si="103"/>
        <v>0.14003599086356588</v>
      </c>
      <c r="V217" s="42">
        <f t="shared" si="104"/>
        <v>0.4511300085961682</v>
      </c>
      <c r="W217" s="42">
        <f t="shared" si="105"/>
        <v>0.44690356348426002</v>
      </c>
      <c r="X217" s="42">
        <f t="shared" si="106"/>
        <v>4.2264451119081725E-3</v>
      </c>
      <c r="Y217" s="42">
        <f t="shared" si="89"/>
        <v>1.5499812220363186E-3</v>
      </c>
      <c r="Z217" s="10">
        <f t="shared" si="107"/>
        <v>15.230187699342315</v>
      </c>
      <c r="AA217">
        <f t="shared" si="84"/>
        <v>5024923.3077065796</v>
      </c>
      <c r="AB217" s="10">
        <f t="shared" si="85"/>
        <v>5.0249233077065796</v>
      </c>
      <c r="AC217" s="10">
        <f t="shared" si="86"/>
        <v>4.9239233077065796</v>
      </c>
      <c r="AD217" s="3">
        <f t="shared" si="87"/>
        <v>714.12955876817682</v>
      </c>
      <c r="AI217" s="94">
        <f t="shared" si="88"/>
        <v>0.44690356348426002</v>
      </c>
    </row>
    <row r="218" spans="2:35">
      <c r="B218" s="39">
        <f t="shared" si="90"/>
        <v>190</v>
      </c>
      <c r="C218" s="42">
        <f t="shared" si="91"/>
        <v>1.2621103117492816</v>
      </c>
      <c r="D218" s="10">
        <f t="shared" si="92"/>
        <v>4.2778896882505499</v>
      </c>
      <c r="E218" s="40">
        <f t="shared" si="93"/>
        <v>22.524220623498898</v>
      </c>
      <c r="F218" s="40">
        <f t="shared" si="94"/>
        <v>31.08</v>
      </c>
      <c r="G218" s="3">
        <f t="shared" si="95"/>
        <v>216.30311750600711</v>
      </c>
      <c r="H218" s="3">
        <f t="shared" si="96"/>
        <v>81.256230789298584</v>
      </c>
      <c r="I218">
        <f t="shared" si="78"/>
        <v>8.1256230789298584E-5</v>
      </c>
      <c r="J218" s="4">
        <f t="shared" si="97"/>
        <v>398.46430845939619</v>
      </c>
      <c r="K218" s="40">
        <f t="shared" si="98"/>
        <v>4.9038000481788755</v>
      </c>
      <c r="L218" s="40">
        <f t="shared" si="79"/>
        <v>1.0961999518211245</v>
      </c>
      <c r="M218" s="10">
        <f t="shared" si="99"/>
        <v>5.0249233077065796</v>
      </c>
      <c r="N218" s="10">
        <f t="shared" si="80"/>
        <v>8.26</v>
      </c>
      <c r="O218" s="10">
        <f t="shared" si="81"/>
        <v>0.31900000000000001</v>
      </c>
      <c r="P218" s="10">
        <f t="shared" si="100"/>
        <v>13.824210494360647</v>
      </c>
      <c r="Q218" s="42">
        <f t="shared" si="101"/>
        <v>9.4338540721936467E-2</v>
      </c>
      <c r="R218" s="4">
        <f t="shared" si="102"/>
        <v>77913.232565228318</v>
      </c>
      <c r="S218">
        <f t="shared" si="82"/>
        <v>7.7913232565228317E-5</v>
      </c>
      <c r="T218" s="41">
        <f t="shared" si="83"/>
        <v>1.0189113947665552E-4</v>
      </c>
      <c r="U218" s="42">
        <f t="shared" si="103"/>
        <v>0.13981919149993047</v>
      </c>
      <c r="V218" s="42">
        <f t="shared" si="104"/>
        <v>0.45118497322095608</v>
      </c>
      <c r="W218" s="42">
        <f t="shared" si="105"/>
        <v>0.44695874341012592</v>
      </c>
      <c r="X218" s="42">
        <f t="shared" si="106"/>
        <v>4.226229810830151E-3</v>
      </c>
      <c r="Y218" s="42">
        <f t="shared" si="89"/>
        <v>1.5520119721453571E-3</v>
      </c>
      <c r="Z218" s="10">
        <f t="shared" si="107"/>
        <v>15.232060217571142</v>
      </c>
      <c r="AA218">
        <f t="shared" si="84"/>
        <v>5025528.693295585</v>
      </c>
      <c r="AB218" s="10">
        <f t="shared" si="85"/>
        <v>5.0255286932955849</v>
      </c>
      <c r="AC218" s="10">
        <f t="shared" si="86"/>
        <v>4.924528693295585</v>
      </c>
      <c r="AD218" s="3">
        <f t="shared" si="87"/>
        <v>714.21735943373244</v>
      </c>
      <c r="AI218" s="94">
        <f t="shared" si="88"/>
        <v>0.44695874341012592</v>
      </c>
    </row>
    <row r="219" spans="2:35">
      <c r="B219" s="39">
        <f t="shared" si="90"/>
        <v>191</v>
      </c>
      <c r="C219" s="42">
        <f t="shared" si="91"/>
        <v>1.2687529976005936</v>
      </c>
      <c r="D219" s="10">
        <f t="shared" si="92"/>
        <v>4.271247002399237</v>
      </c>
      <c r="E219" s="40">
        <f t="shared" si="93"/>
        <v>22.537505995201524</v>
      </c>
      <c r="F219" s="40">
        <f t="shared" si="94"/>
        <v>31.08</v>
      </c>
      <c r="G219" s="3">
        <f t="shared" si="95"/>
        <v>216.24997601919662</v>
      </c>
      <c r="H219" s="3">
        <f t="shared" si="96"/>
        <v>81.256230789298584</v>
      </c>
      <c r="I219">
        <f t="shared" si="78"/>
        <v>8.1256230789298584E-5</v>
      </c>
      <c r="J219" s="4">
        <f t="shared" si="97"/>
        <v>398.9344963279454</v>
      </c>
      <c r="K219" s="40">
        <f t="shared" si="98"/>
        <v>4.9095865320457976</v>
      </c>
      <c r="L219" s="40">
        <f t="shared" si="79"/>
        <v>1.0904134679542024</v>
      </c>
      <c r="M219" s="10">
        <f t="shared" si="99"/>
        <v>5.0255286932955849</v>
      </c>
      <c r="N219" s="10">
        <f t="shared" si="80"/>
        <v>8.26</v>
      </c>
      <c r="O219" s="10">
        <f t="shared" si="81"/>
        <v>0.31900000000000001</v>
      </c>
      <c r="P219" s="10">
        <f t="shared" si="100"/>
        <v>13.82474176503859</v>
      </c>
      <c r="Q219" s="42">
        <f t="shared" si="101"/>
        <v>9.4819033302861969E-2</v>
      </c>
      <c r="R219" s="4">
        <f t="shared" si="102"/>
        <v>77792.41267764091</v>
      </c>
      <c r="S219">
        <f t="shared" si="82"/>
        <v>7.779241267764091E-5</v>
      </c>
      <c r="T219" s="41">
        <f t="shared" si="83"/>
        <v>1.0201195936424292E-4</v>
      </c>
      <c r="U219" s="42">
        <f t="shared" si="103"/>
        <v>0.13960237417066049</v>
      </c>
      <c r="V219" s="42">
        <f t="shared" si="104"/>
        <v>0.45123970249937584</v>
      </c>
      <c r="W219" s="42">
        <f t="shared" si="105"/>
        <v>0.44701369600894419</v>
      </c>
      <c r="X219" s="42">
        <f t="shared" si="106"/>
        <v>4.2260064904316441E-3</v>
      </c>
      <c r="Y219" s="42">
        <f t="shared" si="89"/>
        <v>1.5540425369109526E-3</v>
      </c>
      <c r="Z219" s="10">
        <f t="shared" si="107"/>
        <v>15.233924988756497</v>
      </c>
      <c r="AA219">
        <f t="shared" si="84"/>
        <v>5026131.5742635923</v>
      </c>
      <c r="AB219" s="10">
        <f t="shared" si="85"/>
        <v>5.0261315742635926</v>
      </c>
      <c r="AC219" s="10">
        <f t="shared" si="86"/>
        <v>4.9251315742635926</v>
      </c>
      <c r="AD219" s="3">
        <f t="shared" si="87"/>
        <v>714.30479684751151</v>
      </c>
      <c r="AI219" s="94">
        <f t="shared" si="88"/>
        <v>0.44701369600894419</v>
      </c>
    </row>
    <row r="220" spans="2:35">
      <c r="B220" s="39">
        <f t="shared" si="90"/>
        <v>192</v>
      </c>
      <c r="C220" s="42">
        <f t="shared" si="91"/>
        <v>1.2753956834519056</v>
      </c>
      <c r="D220" s="10">
        <f t="shared" si="92"/>
        <v>4.2646043165479242</v>
      </c>
      <c r="E220" s="40">
        <f t="shared" si="93"/>
        <v>22.55079136690415</v>
      </c>
      <c r="F220" s="40">
        <f t="shared" si="94"/>
        <v>31.08</v>
      </c>
      <c r="G220" s="3">
        <f t="shared" si="95"/>
        <v>216.19683453238613</v>
      </c>
      <c r="H220" s="3">
        <f t="shared" si="96"/>
        <v>81.256230789298584</v>
      </c>
      <c r="I220">
        <f t="shared" ref="I220:I230" si="108">H220/1000^2</f>
        <v>8.1256230789298584E-5</v>
      </c>
      <c r="J220" s="4">
        <f t="shared" si="97"/>
        <v>399.40496144377613</v>
      </c>
      <c r="K220" s="40">
        <f t="shared" si="98"/>
        <v>4.9153764279252981</v>
      </c>
      <c r="L220" s="40">
        <f t="shared" ref="L220:L230" si="109">IF((gstar-K220)&lt;0,0,gstar-K220)</f>
        <v>1.0846235720747019</v>
      </c>
      <c r="M220" s="10">
        <f t="shared" si="99"/>
        <v>5.0261315742635926</v>
      </c>
      <c r="N220" s="10">
        <f t="shared" ref="N220:N283" si="110">IF(fueltype=1,VLOOKUP($M220,kndxbn_,4),IF(fueltype=2,VLOOKUP($M220,knsobn_,4),IF(fueltype=3,VLOOKUP($M220,knsbcobn_,4),IF(fueltype=4,VLOOKUP($M220,knsubn_,4),IF(fueltype=5,am_1,IF(fueltype=6,am_0,IF(fueltype=7,am_3,am_4)))))))</f>
        <v>8.26</v>
      </c>
      <c r="O220" s="10">
        <f t="shared" ref="O220:O283" si="111">IF(fueltype=1,VLOOKUP($M220,kndxbn_,5),IF(fueltype=2,VLOOKUP($M220,knsobn_,5),IF(fueltype=3,VLOOKUP($M220,knsbcobn_,5),IF(fueltype=4,VLOOKUP($M220,knsubn_,5),IF(fueltype=5,nm_1,IF(fueltype=6,an_0,IF(fueltype=7,nm_3,nm_4)))))))</f>
        <v>0.31900000000000001</v>
      </c>
      <c r="P220" s="10">
        <f t="shared" si="100"/>
        <v>13.825270794415406</v>
      </c>
      <c r="Q220" s="42">
        <f t="shared" si="101"/>
        <v>9.5299507497551547E-2</v>
      </c>
      <c r="R220" s="4">
        <f t="shared" si="102"/>
        <v>77671.582823033677</v>
      </c>
      <c r="S220">
        <f t="shared" ref="S220:S230" si="112">R220/1000^3</f>
        <v>7.7671582823033672E-5</v>
      </c>
      <c r="T220" s="41">
        <f t="shared" ref="T220:T230" si="113">(vc/1000^3-S220)</f>
        <v>1.0213278921885016E-4</v>
      </c>
      <c r="U220" s="42">
        <f t="shared" si="103"/>
        <v>0.13938553895507508</v>
      </c>
      <c r="V220" s="42">
        <f t="shared" si="104"/>
        <v>0.45129419640424312</v>
      </c>
      <c r="W220" s="42">
        <f t="shared" si="105"/>
        <v>0.44706842125607898</v>
      </c>
      <c r="X220" s="42">
        <f t="shared" si="106"/>
        <v>4.2257751481641348E-3</v>
      </c>
      <c r="Y220" s="42">
        <f t="shared" si="89"/>
        <v>1.556072912822206E-3</v>
      </c>
      <c r="Z220" s="10">
        <f t="shared" si="107"/>
        <v>15.235782012061303</v>
      </c>
      <c r="AA220">
        <f t="shared" ref="AA220:AA230" si="114">Z220*rat*to+patm*1000000</f>
        <v>5026731.9503399748</v>
      </c>
      <c r="AB220" s="10">
        <f t="shared" ref="AB220:AB230" si="115">AA220/1000000</f>
        <v>5.0267319503399746</v>
      </c>
      <c r="AC220" s="10">
        <f t="shared" ref="AC220:AC230" si="116">AB220-patm</f>
        <v>4.9257319503399746</v>
      </c>
      <c r="AD220" s="3">
        <f t="shared" ref="AD220:AD230" si="117">AC220*1000000/6895</f>
        <v>714.39187097026468</v>
      </c>
      <c r="AI220" s="94">
        <f t="shared" si="88"/>
        <v>0.44706842125607898</v>
      </c>
    </row>
    <row r="221" spans="2:35">
      <c r="B221" s="39">
        <f t="shared" si="90"/>
        <v>193</v>
      </c>
      <c r="C221" s="42">
        <f t="shared" si="91"/>
        <v>1.2820383693032176</v>
      </c>
      <c r="D221" s="10">
        <f t="shared" si="92"/>
        <v>4.2579616306966113</v>
      </c>
      <c r="E221" s="40">
        <f t="shared" si="93"/>
        <v>22.564076738606776</v>
      </c>
      <c r="F221" s="40">
        <f t="shared" si="94"/>
        <v>31.08</v>
      </c>
      <c r="G221" s="3">
        <f t="shared" si="95"/>
        <v>216.14369304557565</v>
      </c>
      <c r="H221" s="3">
        <f t="shared" si="96"/>
        <v>81.256230789298584</v>
      </c>
      <c r="I221">
        <f t="shared" si="108"/>
        <v>8.1256230789298584E-5</v>
      </c>
      <c r="J221" s="4">
        <f t="shared" si="97"/>
        <v>399.8757038068884</v>
      </c>
      <c r="K221" s="40">
        <f t="shared" si="98"/>
        <v>4.9211697358173776</v>
      </c>
      <c r="L221" s="40">
        <f t="shared" si="109"/>
        <v>1.0788302641826224</v>
      </c>
      <c r="M221" s="10">
        <f t="shared" si="99"/>
        <v>5.0267319503399746</v>
      </c>
      <c r="N221" s="10">
        <f t="shared" si="110"/>
        <v>8.26</v>
      </c>
      <c r="O221" s="10">
        <f t="shared" si="111"/>
        <v>0.31900000000000001</v>
      </c>
      <c r="P221" s="10">
        <f t="shared" si="100"/>
        <v>13.825797582800984</v>
      </c>
      <c r="Q221" s="42">
        <f t="shared" si="101"/>
        <v>9.5779963385288214E-2</v>
      </c>
      <c r="R221" s="4">
        <f t="shared" si="102"/>
        <v>77550.743045606636</v>
      </c>
      <c r="S221">
        <f t="shared" si="112"/>
        <v>7.7550743045606639E-5</v>
      </c>
      <c r="T221" s="41">
        <f t="shared" si="113"/>
        <v>1.0225362899627719E-4</v>
      </c>
      <c r="U221" s="42">
        <f t="shared" si="103"/>
        <v>0.1391686859324934</v>
      </c>
      <c r="V221" s="42">
        <f t="shared" si="104"/>
        <v>0.451348454908582</v>
      </c>
      <c r="W221" s="42">
        <f t="shared" si="105"/>
        <v>0.44712291912696445</v>
      </c>
      <c r="X221" s="42">
        <f t="shared" si="106"/>
        <v>4.2255357816175509E-3</v>
      </c>
      <c r="Y221" s="42">
        <f t="shared" si="89"/>
        <v>1.5581030963673261E-3</v>
      </c>
      <c r="Z221" s="10">
        <f t="shared" si="107"/>
        <v>15.237631286651478</v>
      </c>
      <c r="AA221">
        <f t="shared" si="114"/>
        <v>5027329.821255072</v>
      </c>
      <c r="AB221" s="10">
        <f t="shared" si="115"/>
        <v>5.0273298212550719</v>
      </c>
      <c r="AC221" s="10">
        <f t="shared" si="116"/>
        <v>4.9263298212550719</v>
      </c>
      <c r="AD221" s="3">
        <f t="shared" si="117"/>
        <v>714.47858176288207</v>
      </c>
      <c r="AI221" s="94">
        <f t="shared" ref="AI221:AI230" si="118">($M221-patm)*1000000*$I221/SQRT(rat*to)*SQRT(k)*(2/(k+1))^((k+1)/2/(k-1))</f>
        <v>0.44712291912696445</v>
      </c>
    </row>
    <row r="222" spans="2:35">
      <c r="B222" s="39">
        <f t="shared" si="90"/>
        <v>194</v>
      </c>
      <c r="C222" s="42">
        <f t="shared" si="91"/>
        <v>1.2886810551545296</v>
      </c>
      <c r="D222" s="10">
        <f t="shared" si="92"/>
        <v>4.2513189448452984</v>
      </c>
      <c r="E222" s="40">
        <f t="shared" si="93"/>
        <v>22.577362110309402</v>
      </c>
      <c r="F222" s="40">
        <f t="shared" si="94"/>
        <v>31.08</v>
      </c>
      <c r="G222" s="3">
        <f t="shared" si="95"/>
        <v>216.09055155876516</v>
      </c>
      <c r="H222" s="3">
        <f t="shared" si="96"/>
        <v>81.256230789298584</v>
      </c>
      <c r="I222">
        <f t="shared" si="108"/>
        <v>8.1256230789298584E-5</v>
      </c>
      <c r="J222" s="4">
        <f t="shared" si="97"/>
        <v>400.34672341728231</v>
      </c>
      <c r="K222" s="40">
        <f t="shared" si="98"/>
        <v>4.9269664557220372</v>
      </c>
      <c r="L222" s="40">
        <f t="shared" si="109"/>
        <v>1.0730335442779628</v>
      </c>
      <c r="M222" s="10">
        <f t="shared" si="99"/>
        <v>5.0273298212550719</v>
      </c>
      <c r="N222" s="10">
        <f t="shared" si="110"/>
        <v>8.26</v>
      </c>
      <c r="O222" s="10">
        <f t="shared" si="111"/>
        <v>0.31900000000000001</v>
      </c>
      <c r="P222" s="10">
        <f t="shared" si="100"/>
        <v>13.826322130503677</v>
      </c>
      <c r="Q222" s="42">
        <f t="shared" si="101"/>
        <v>9.6260401045326308E-2</v>
      </c>
      <c r="R222" s="4">
        <f t="shared" si="102"/>
        <v>77429.893389559744</v>
      </c>
      <c r="S222">
        <f t="shared" si="112"/>
        <v>7.7429893389559739E-5</v>
      </c>
      <c r="T222" s="41">
        <f t="shared" si="113"/>
        <v>1.0237447865232409E-4</v>
      </c>
      <c r="U222" s="42">
        <f t="shared" si="103"/>
        <v>0.13895181518223443</v>
      </c>
      <c r="V222" s="42">
        <f t="shared" si="104"/>
        <v>0.4514024779859645</v>
      </c>
      <c r="W222" s="42">
        <f t="shared" si="105"/>
        <v>0.44717718959712283</v>
      </c>
      <c r="X222" s="42">
        <f t="shared" si="106"/>
        <v>4.2252883888416748E-3</v>
      </c>
      <c r="Y222" s="42">
        <f t="shared" ref="Y222:Y285" si="119">IF((X222*(Q222-Q221)+Y221)&lt;0,0,X222*(Q222-Q221)+Y221)</f>
        <v>1.5601330840338474E-3</v>
      </c>
      <c r="Z222" s="10">
        <f t="shared" si="107"/>
        <v>15.23947281169797</v>
      </c>
      <c r="AA222">
        <f t="shared" si="114"/>
        <v>5027925.1867408529</v>
      </c>
      <c r="AB222" s="10">
        <f t="shared" si="115"/>
        <v>5.0279251867408528</v>
      </c>
      <c r="AC222" s="10">
        <f t="shared" si="116"/>
        <v>4.9269251867408528</v>
      </c>
      <c r="AD222" s="3">
        <f t="shared" si="117"/>
        <v>714.56492918649064</v>
      </c>
      <c r="AI222" s="94">
        <f t="shared" si="118"/>
        <v>0.44717718959712283</v>
      </c>
    </row>
    <row r="223" spans="2:35">
      <c r="B223" s="39">
        <f t="shared" si="90"/>
        <v>195</v>
      </c>
      <c r="C223" s="42">
        <f t="shared" si="91"/>
        <v>1.2953237410058416</v>
      </c>
      <c r="D223" s="10">
        <f t="shared" si="92"/>
        <v>4.2446762589939855</v>
      </c>
      <c r="E223" s="40">
        <f t="shared" si="93"/>
        <v>22.590647482012027</v>
      </c>
      <c r="F223" s="40">
        <f t="shared" si="94"/>
        <v>31.08</v>
      </c>
      <c r="G223" s="3">
        <f t="shared" si="95"/>
        <v>216.03741007195467</v>
      </c>
      <c r="H223" s="3">
        <f t="shared" si="96"/>
        <v>81.256230789298584</v>
      </c>
      <c r="I223">
        <f t="shared" si="108"/>
        <v>8.1256230789298584E-5</v>
      </c>
      <c r="J223" s="4">
        <f t="shared" si="97"/>
        <v>400.81802027495763</v>
      </c>
      <c r="K223" s="40">
        <f t="shared" si="98"/>
        <v>4.9327665876392732</v>
      </c>
      <c r="L223" s="40">
        <f t="shared" si="109"/>
        <v>1.0672334123607268</v>
      </c>
      <c r="M223" s="10">
        <f t="shared" si="99"/>
        <v>5.0279251867408528</v>
      </c>
      <c r="N223" s="10">
        <f t="shared" si="110"/>
        <v>8.26</v>
      </c>
      <c r="O223" s="10">
        <f t="shared" si="111"/>
        <v>0.31900000000000001</v>
      </c>
      <c r="P223" s="10">
        <f t="shared" si="100"/>
        <v>13.826844437830893</v>
      </c>
      <c r="Q223" s="42">
        <f t="shared" si="101"/>
        <v>9.6740820556891607E-2</v>
      </c>
      <c r="R223" s="4">
        <f t="shared" si="102"/>
        <v>77309.033899093047</v>
      </c>
      <c r="S223">
        <f t="shared" si="112"/>
        <v>7.7309033899093047E-5</v>
      </c>
      <c r="T223" s="41">
        <f t="shared" si="113"/>
        <v>1.0249533814279079E-4</v>
      </c>
      <c r="U223" s="42">
        <f t="shared" si="103"/>
        <v>0.1387349267836174</v>
      </c>
      <c r="V223" s="42">
        <f t="shared" si="104"/>
        <v>0.45145626560911789</v>
      </c>
      <c r="W223" s="42">
        <f t="shared" si="105"/>
        <v>0.44723123264222425</v>
      </c>
      <c r="X223" s="42">
        <f t="shared" si="106"/>
        <v>4.2250329668936382E-3</v>
      </c>
      <c r="Y223" s="42">
        <f t="shared" si="119"/>
        <v>1.5621628723081497E-3</v>
      </c>
      <c r="Z223" s="10">
        <f t="shared" si="107"/>
        <v>15.241306586372071</v>
      </c>
      <c r="AA223">
        <f t="shared" si="114"/>
        <v>5028518.0465293936</v>
      </c>
      <c r="AB223" s="10">
        <f t="shared" si="115"/>
        <v>5.0285180465293937</v>
      </c>
      <c r="AC223" s="10">
        <f t="shared" si="116"/>
        <v>4.9275180465293937</v>
      </c>
      <c r="AD223" s="3">
        <f t="shared" si="117"/>
        <v>714.65091320223257</v>
      </c>
      <c r="AI223" s="94">
        <f t="shared" si="118"/>
        <v>0.44723123264222425</v>
      </c>
    </row>
    <row r="224" spans="2:35">
      <c r="B224" s="39">
        <f t="shared" si="90"/>
        <v>196</v>
      </c>
      <c r="C224" s="42">
        <f t="shared" si="91"/>
        <v>1.3019664268571536</v>
      </c>
      <c r="D224" s="10">
        <f t="shared" si="92"/>
        <v>4.2380335731426726</v>
      </c>
      <c r="E224" s="40">
        <f t="shared" si="93"/>
        <v>22.603932853714653</v>
      </c>
      <c r="F224" s="40">
        <f t="shared" si="94"/>
        <v>31.08</v>
      </c>
      <c r="G224" s="3">
        <f t="shared" si="95"/>
        <v>215.98426858514418</v>
      </c>
      <c r="H224" s="3">
        <f t="shared" si="96"/>
        <v>81.256230789298584</v>
      </c>
      <c r="I224">
        <f t="shared" si="108"/>
        <v>8.1256230789298584E-5</v>
      </c>
      <c r="J224" s="4">
        <f t="shared" si="97"/>
        <v>401.28959437991466</v>
      </c>
      <c r="K224" s="40">
        <f t="shared" si="98"/>
        <v>4.9385701315690902</v>
      </c>
      <c r="L224" s="40">
        <f t="shared" si="109"/>
        <v>1.0614298684309098</v>
      </c>
      <c r="M224" s="10">
        <f t="shared" si="99"/>
        <v>5.0285180465293937</v>
      </c>
      <c r="N224" s="10">
        <f t="shared" si="110"/>
        <v>8.26</v>
      </c>
      <c r="O224" s="10">
        <f t="shared" si="111"/>
        <v>0.31900000000000001</v>
      </c>
      <c r="P224" s="10">
        <f t="shared" si="100"/>
        <v>13.827364505087759</v>
      </c>
      <c r="Q224" s="42">
        <f t="shared" si="101"/>
        <v>9.7221221999181484E-2</v>
      </c>
      <c r="R224" s="4">
        <f t="shared" si="102"/>
        <v>77188.164618406488</v>
      </c>
      <c r="S224">
        <f t="shared" si="112"/>
        <v>7.7188164618406492E-5</v>
      </c>
      <c r="T224" s="41">
        <f t="shared" si="113"/>
        <v>1.0261620742347734E-4</v>
      </c>
      <c r="U224" s="42">
        <f t="shared" si="103"/>
        <v>0.13851802081596135</v>
      </c>
      <c r="V224" s="42">
        <f t="shared" si="104"/>
        <v>0.45150981775190774</v>
      </c>
      <c r="W224" s="42">
        <f t="shared" si="105"/>
        <v>0.44728504823794857</v>
      </c>
      <c r="X224" s="42">
        <f t="shared" si="106"/>
        <v>4.2247695139591701E-3</v>
      </c>
      <c r="Y224" s="42">
        <f t="shared" si="119"/>
        <v>1.5641924576759981E-3</v>
      </c>
      <c r="Z224" s="10">
        <f t="shared" si="107"/>
        <v>15.243132609850575</v>
      </c>
      <c r="AA224">
        <f t="shared" si="114"/>
        <v>5029108.4003545549</v>
      </c>
      <c r="AB224" s="10">
        <f t="shared" si="115"/>
        <v>5.0291084003545548</v>
      </c>
      <c r="AC224" s="10">
        <f t="shared" si="116"/>
        <v>4.9281084003545548</v>
      </c>
      <c r="AD224" s="3">
        <f t="shared" si="117"/>
        <v>714.73653377150902</v>
      </c>
      <c r="AI224" s="94">
        <f t="shared" si="118"/>
        <v>0.44728504823794857</v>
      </c>
    </row>
    <row r="225" spans="2:35">
      <c r="B225" s="39">
        <f t="shared" si="90"/>
        <v>197</v>
      </c>
      <c r="C225" s="42">
        <f t="shared" si="91"/>
        <v>1.3086091127084656</v>
      </c>
      <c r="D225" s="10">
        <f t="shared" si="92"/>
        <v>4.2313908872913597</v>
      </c>
      <c r="E225" s="40">
        <f t="shared" si="93"/>
        <v>22.617218225417279</v>
      </c>
      <c r="F225" s="40">
        <f t="shared" si="94"/>
        <v>31.08</v>
      </c>
      <c r="G225" s="3">
        <f t="shared" si="95"/>
        <v>215.93112709833369</v>
      </c>
      <c r="H225" s="3">
        <f t="shared" si="96"/>
        <v>81.256230789298584</v>
      </c>
      <c r="I225">
        <f t="shared" si="108"/>
        <v>8.1256230789298584E-5</v>
      </c>
      <c r="J225" s="4">
        <f t="shared" si="97"/>
        <v>401.76144573215322</v>
      </c>
      <c r="K225" s="40">
        <f t="shared" si="98"/>
        <v>4.9443770875114854</v>
      </c>
      <c r="L225" s="40">
        <f t="shared" si="109"/>
        <v>1.0556229124885146</v>
      </c>
      <c r="M225" s="10">
        <f t="shared" si="99"/>
        <v>5.0291084003545548</v>
      </c>
      <c r="N225" s="10">
        <f t="shared" si="110"/>
        <v>8.26</v>
      </c>
      <c r="O225" s="10">
        <f t="shared" si="111"/>
        <v>0.31900000000000001</v>
      </c>
      <c r="P225" s="10">
        <f t="shared" si="100"/>
        <v>13.827882332578588</v>
      </c>
      <c r="Q225" s="42">
        <f t="shared" si="101"/>
        <v>9.7701605451365039E-2</v>
      </c>
      <c r="R225" s="4">
        <f t="shared" si="102"/>
        <v>77067.2855917001</v>
      </c>
      <c r="S225">
        <f t="shared" si="112"/>
        <v>7.7067285591700095E-5</v>
      </c>
      <c r="T225" s="41">
        <f t="shared" si="113"/>
        <v>1.0273708645018374E-4</v>
      </c>
      <c r="U225" s="42">
        <f t="shared" si="103"/>
        <v>0.1383010973585854</v>
      </c>
      <c r="V225" s="42">
        <f t="shared" si="104"/>
        <v>0.45156313438761747</v>
      </c>
      <c r="W225" s="42">
        <f t="shared" si="105"/>
        <v>0.44733863636013727</v>
      </c>
      <c r="X225" s="42">
        <f t="shared" si="106"/>
        <v>4.2244980274802058E-3</v>
      </c>
      <c r="Y225" s="42">
        <f t="shared" si="119"/>
        <v>1.5662218366221817E-3</v>
      </c>
      <c r="Z225" s="10">
        <f t="shared" si="107"/>
        <v>15.244950881312253</v>
      </c>
      <c r="AA225">
        <f t="shared" si="114"/>
        <v>5029696.2479508314</v>
      </c>
      <c r="AB225" s="10">
        <f t="shared" si="115"/>
        <v>5.0296962479508318</v>
      </c>
      <c r="AC225" s="10">
        <f t="shared" si="116"/>
        <v>4.9286962479508318</v>
      </c>
      <c r="AD225" s="3">
        <f t="shared" si="117"/>
        <v>714.82179085581311</v>
      </c>
      <c r="AI225" s="94">
        <f t="shared" si="118"/>
        <v>0.44733863636013727</v>
      </c>
    </row>
    <row r="226" spans="2:35">
      <c r="B226" s="39">
        <f t="shared" si="90"/>
        <v>198</v>
      </c>
      <c r="C226" s="42">
        <f t="shared" si="91"/>
        <v>1.3152517985597776</v>
      </c>
      <c r="D226" s="10">
        <f t="shared" si="92"/>
        <v>4.2247482014400468</v>
      </c>
      <c r="E226" s="40">
        <f t="shared" si="93"/>
        <v>22.630503597119905</v>
      </c>
      <c r="F226" s="40">
        <f t="shared" si="94"/>
        <v>31.08</v>
      </c>
      <c r="G226" s="3">
        <f t="shared" si="95"/>
        <v>215.8779856115232</v>
      </c>
      <c r="H226" s="3">
        <f t="shared" si="96"/>
        <v>81.256230789298584</v>
      </c>
      <c r="I226">
        <f t="shared" si="108"/>
        <v>8.1256230789298584E-5</v>
      </c>
      <c r="J226" s="4">
        <f t="shared" si="97"/>
        <v>402.23357433167331</v>
      </c>
      <c r="K226" s="40">
        <f t="shared" si="98"/>
        <v>4.9501874554664589</v>
      </c>
      <c r="L226" s="40">
        <f t="shared" si="109"/>
        <v>1.0498125445335411</v>
      </c>
      <c r="M226" s="10">
        <f t="shared" si="99"/>
        <v>5.0296962479508318</v>
      </c>
      <c r="N226" s="10">
        <f t="shared" si="110"/>
        <v>8.26</v>
      </c>
      <c r="O226" s="10">
        <f t="shared" si="111"/>
        <v>0.31900000000000001</v>
      </c>
      <c r="P226" s="10">
        <f t="shared" si="100"/>
        <v>13.828397920605868</v>
      </c>
      <c r="Q226" s="42">
        <f t="shared" si="101"/>
        <v>9.8181970992583203E-2</v>
      </c>
      <c r="R226" s="4">
        <f t="shared" si="102"/>
        <v>76946.396863173883</v>
      </c>
      <c r="S226">
        <f t="shared" si="112"/>
        <v>7.694639686317388E-5</v>
      </c>
      <c r="T226" s="41">
        <f t="shared" si="113"/>
        <v>1.0285797517870995E-4</v>
      </c>
      <c r="U226" s="42">
        <f t="shared" si="103"/>
        <v>0.13808415649080868</v>
      </c>
      <c r="V226" s="42">
        <f t="shared" si="104"/>
        <v>0.45161621548991165</v>
      </c>
      <c r="W226" s="42">
        <f t="shared" si="105"/>
        <v>0.44739199698468984</v>
      </c>
      <c r="X226" s="42">
        <f t="shared" si="106"/>
        <v>4.2242185052218106E-3</v>
      </c>
      <c r="Y226" s="42">
        <f t="shared" si="119"/>
        <v>1.5682510056306664E-3</v>
      </c>
      <c r="Z226" s="10">
        <f t="shared" si="107"/>
        <v>15.246761399939269</v>
      </c>
      <c r="AA226">
        <f t="shared" si="114"/>
        <v>5030281.5890538162</v>
      </c>
      <c r="AB226" s="10">
        <f t="shared" si="115"/>
        <v>5.0302815890538159</v>
      </c>
      <c r="AC226" s="10">
        <f t="shared" si="116"/>
        <v>4.929281589053816</v>
      </c>
      <c r="AD226" s="3">
        <f t="shared" si="117"/>
        <v>714.90668441679713</v>
      </c>
      <c r="AI226" s="94">
        <f t="shared" si="118"/>
        <v>0.44739199698468984</v>
      </c>
    </row>
    <row r="227" spans="2:35">
      <c r="B227" s="39">
        <f t="shared" si="90"/>
        <v>199</v>
      </c>
      <c r="C227" s="42">
        <f t="shared" si="91"/>
        <v>1.3218944844110896</v>
      </c>
      <c r="D227" s="10">
        <f t="shared" si="92"/>
        <v>4.2181055155887339</v>
      </c>
      <c r="E227" s="40">
        <f t="shared" si="93"/>
        <v>22.64378896882253</v>
      </c>
      <c r="F227" s="40">
        <f t="shared" si="94"/>
        <v>31.08</v>
      </c>
      <c r="G227" s="3">
        <f t="shared" si="95"/>
        <v>215.82484412471271</v>
      </c>
      <c r="H227" s="3">
        <f t="shared" si="96"/>
        <v>81.256230789298584</v>
      </c>
      <c r="I227">
        <f t="shared" si="108"/>
        <v>8.1256230789298584E-5</v>
      </c>
      <c r="J227" s="4">
        <f t="shared" si="97"/>
        <v>402.70598017847499</v>
      </c>
      <c r="K227" s="40">
        <f t="shared" si="98"/>
        <v>4.9560012354340124</v>
      </c>
      <c r="L227" s="40">
        <f t="shared" si="109"/>
        <v>1.0439987645659876</v>
      </c>
      <c r="M227" s="10">
        <f t="shared" si="99"/>
        <v>5.0302815890538159</v>
      </c>
      <c r="N227" s="10">
        <f t="shared" si="110"/>
        <v>8.26</v>
      </c>
      <c r="O227" s="10">
        <f t="shared" si="111"/>
        <v>0.31900000000000001</v>
      </c>
      <c r="P227" s="10">
        <f t="shared" si="100"/>
        <v>13.828911269470693</v>
      </c>
      <c r="Q227" s="42">
        <f t="shared" si="101"/>
        <v>9.8662318701948928E-2</v>
      </c>
      <c r="R227" s="4">
        <f t="shared" si="102"/>
        <v>76825.49847702781</v>
      </c>
      <c r="S227">
        <f t="shared" si="112"/>
        <v>7.6825498477027813E-5</v>
      </c>
      <c r="T227" s="41">
        <f t="shared" si="113"/>
        <v>1.0297887356485602E-4</v>
      </c>
      <c r="U227" s="42">
        <f t="shared" si="103"/>
        <v>0.13786719829195024</v>
      </c>
      <c r="V227" s="42">
        <f t="shared" si="104"/>
        <v>0.4516690610327449</v>
      </c>
      <c r="W227" s="42">
        <f t="shared" si="105"/>
        <v>0.44744513008760539</v>
      </c>
      <c r="X227" s="42">
        <f t="shared" si="106"/>
        <v>4.2239309451395091E-3</v>
      </c>
      <c r="Y227" s="42">
        <f t="shared" si="119"/>
        <v>1.5702799611846832E-3</v>
      </c>
      <c r="Z227" s="10">
        <f t="shared" si="107"/>
        <v>15.248564164917982</v>
      </c>
      <c r="AA227">
        <f t="shared" si="114"/>
        <v>5030864.4234004598</v>
      </c>
      <c r="AB227" s="10">
        <f t="shared" si="115"/>
        <v>5.0308644234004598</v>
      </c>
      <c r="AC227" s="10">
        <f t="shared" si="116"/>
        <v>4.9298644234004598</v>
      </c>
      <c r="AD227" s="3">
        <f t="shared" si="117"/>
        <v>714.9912144163103</v>
      </c>
      <c r="AI227" s="94">
        <f t="shared" si="118"/>
        <v>0.44744513008760539</v>
      </c>
    </row>
    <row r="228" spans="2:35">
      <c r="B228" s="39">
        <f t="shared" si="90"/>
        <v>200</v>
      </c>
      <c r="C228" s="42">
        <f t="shared" si="91"/>
        <v>1.3285371702624016</v>
      </c>
      <c r="D228" s="10">
        <f t="shared" si="92"/>
        <v>4.211462829737421</v>
      </c>
      <c r="E228" s="40">
        <f t="shared" si="93"/>
        <v>22.657074340525156</v>
      </c>
      <c r="F228" s="40">
        <f t="shared" si="94"/>
        <v>31.08</v>
      </c>
      <c r="G228" s="3">
        <f t="shared" si="95"/>
        <v>215.77170263790222</v>
      </c>
      <c r="H228" s="3">
        <f t="shared" si="96"/>
        <v>81.256230789298584</v>
      </c>
      <c r="I228">
        <f t="shared" si="108"/>
        <v>8.1256230789298584E-5</v>
      </c>
      <c r="J228" s="4">
        <f t="shared" si="97"/>
        <v>403.17866327255814</v>
      </c>
      <c r="K228" s="40">
        <f t="shared" si="98"/>
        <v>4.9618184274141424</v>
      </c>
      <c r="L228" s="40">
        <f t="shared" si="109"/>
        <v>1.0381815725858576</v>
      </c>
      <c r="M228" s="10">
        <f t="shared" si="99"/>
        <v>5.0308644234004598</v>
      </c>
      <c r="N228" s="10">
        <f t="shared" si="110"/>
        <v>8.26</v>
      </c>
      <c r="O228" s="10">
        <f t="shared" si="111"/>
        <v>0.31900000000000001</v>
      </c>
      <c r="P228" s="10">
        <f t="shared" si="100"/>
        <v>13.829422379472961</v>
      </c>
      <c r="Q228" s="42">
        <f t="shared" si="101"/>
        <v>9.9142648658547244E-2</v>
      </c>
      <c r="R228" s="4">
        <f t="shared" si="102"/>
        <v>76704.590477461927</v>
      </c>
      <c r="S228">
        <f t="shared" si="112"/>
        <v>7.6704590477461932E-5</v>
      </c>
      <c r="T228" s="41">
        <f t="shared" si="113"/>
        <v>1.030997815644219E-4</v>
      </c>
      <c r="U228" s="42">
        <f t="shared" si="103"/>
        <v>0.1376502228413293</v>
      </c>
      <c r="V228" s="42">
        <f t="shared" si="104"/>
        <v>0.45172167098956717</v>
      </c>
      <c r="W228" s="42">
        <f t="shared" si="105"/>
        <v>0.44749803564500601</v>
      </c>
      <c r="X228" s="42">
        <f t="shared" si="106"/>
        <v>4.2236353445611607E-3</v>
      </c>
      <c r="Y228" s="42">
        <f t="shared" si="119"/>
        <v>1.5723086997664233E-3</v>
      </c>
      <c r="Z228" s="10">
        <f t="shared" si="107"/>
        <v>15.250359175435946</v>
      </c>
      <c r="AA228">
        <f t="shared" si="114"/>
        <v>5031444.7507280977</v>
      </c>
      <c r="AB228" s="10">
        <f t="shared" si="115"/>
        <v>5.0314447507280979</v>
      </c>
      <c r="AC228" s="10">
        <f t="shared" si="116"/>
        <v>4.930444750728098</v>
      </c>
      <c r="AD228" s="3">
        <f t="shared" si="117"/>
        <v>715.07538081625785</v>
      </c>
      <c r="AI228" s="94">
        <f t="shared" si="118"/>
        <v>0.44749803564500601</v>
      </c>
    </row>
    <row r="229" spans="2:35">
      <c r="B229" s="39">
        <f t="shared" si="90"/>
        <v>201</v>
      </c>
      <c r="C229" s="42">
        <f t="shared" si="91"/>
        <v>1.3351798561137136</v>
      </c>
      <c r="D229" s="10">
        <f t="shared" si="92"/>
        <v>4.2048201438861081</v>
      </c>
      <c r="E229" s="40">
        <f t="shared" si="93"/>
        <v>22.670359712227782</v>
      </c>
      <c r="F229" s="40">
        <f t="shared" si="94"/>
        <v>31.08</v>
      </c>
      <c r="G229" s="3">
        <f t="shared" si="95"/>
        <v>215.71856115109173</v>
      </c>
      <c r="H229" s="3">
        <f t="shared" si="96"/>
        <v>81.256230789298584</v>
      </c>
      <c r="I229">
        <f t="shared" si="108"/>
        <v>8.1256230789298584E-5</v>
      </c>
      <c r="J229" s="4">
        <f t="shared" si="97"/>
        <v>403.65162361392288</v>
      </c>
      <c r="K229" s="40">
        <f t="shared" si="98"/>
        <v>4.9676390314068524</v>
      </c>
      <c r="L229" s="40">
        <f t="shared" si="109"/>
        <v>1.0323609685931476</v>
      </c>
      <c r="M229" s="10">
        <f t="shared" si="99"/>
        <v>5.0314447507280979</v>
      </c>
      <c r="N229" s="10">
        <f t="shared" si="110"/>
        <v>8.26</v>
      </c>
      <c r="O229" s="10">
        <f t="shared" si="111"/>
        <v>0.31900000000000001</v>
      </c>
      <c r="P229" s="10">
        <f t="shared" si="100"/>
        <v>13.829931250910539</v>
      </c>
      <c r="Q229" s="42">
        <f t="shared" si="101"/>
        <v>9.9622960941435468E-2</v>
      </c>
      <c r="R229" s="4">
        <f t="shared" si="102"/>
        <v>76583.672908676192</v>
      </c>
      <c r="S229">
        <f t="shared" si="112"/>
        <v>7.658367290867619E-5</v>
      </c>
      <c r="T229" s="41">
        <f t="shared" si="113"/>
        <v>1.0322069913320764E-4</v>
      </c>
      <c r="U229" s="42">
        <f t="shared" si="103"/>
        <v>0.13743323021826487</v>
      </c>
      <c r="V229" s="42">
        <f t="shared" si="104"/>
        <v>0.45177404533485632</v>
      </c>
      <c r="W229" s="42">
        <f t="shared" si="105"/>
        <v>0.44755071363304888</v>
      </c>
      <c r="X229" s="42">
        <f t="shared" si="106"/>
        <v>4.2233317018074423E-3</v>
      </c>
      <c r="Y229" s="42">
        <f t="shared" si="119"/>
        <v>1.5743372178575127E-3</v>
      </c>
      <c r="Z229" s="10">
        <f t="shared" si="107"/>
        <v>15.252146430686448</v>
      </c>
      <c r="AA229">
        <f t="shared" si="114"/>
        <v>5032022.5707759187</v>
      </c>
      <c r="AB229" s="10">
        <f t="shared" si="115"/>
        <v>5.0320225707759185</v>
      </c>
      <c r="AC229" s="10">
        <f t="shared" si="116"/>
        <v>4.9310225707759185</v>
      </c>
      <c r="AD229" s="3">
        <f t="shared" si="117"/>
        <v>715.15918357881344</v>
      </c>
      <c r="AI229" s="94">
        <f t="shared" si="118"/>
        <v>0.44755071363304888</v>
      </c>
    </row>
    <row r="230" spans="2:35">
      <c r="B230" s="39">
        <f t="shared" si="90"/>
        <v>202</v>
      </c>
      <c r="C230" s="42">
        <f t="shared" si="91"/>
        <v>1.3418225419650256</v>
      </c>
      <c r="D230" s="10">
        <f t="shared" si="92"/>
        <v>4.1981774580347953</v>
      </c>
      <c r="E230" s="40">
        <f t="shared" si="93"/>
        <v>22.683645083930408</v>
      </c>
      <c r="F230" s="40">
        <f t="shared" si="94"/>
        <v>31.08</v>
      </c>
      <c r="G230" s="3">
        <f t="shared" si="95"/>
        <v>215.66541966428125</v>
      </c>
      <c r="H230" s="3">
        <f t="shared" si="96"/>
        <v>81.256230789298584</v>
      </c>
      <c r="I230">
        <f t="shared" si="108"/>
        <v>8.1256230789298584E-5</v>
      </c>
      <c r="J230" s="4">
        <f t="shared" si="97"/>
        <v>404.12486120256926</v>
      </c>
      <c r="K230" s="40">
        <f t="shared" si="98"/>
        <v>4.9734630474121424</v>
      </c>
      <c r="L230" s="40">
        <f t="shared" si="109"/>
        <v>1.0265369525878576</v>
      </c>
      <c r="M230" s="10">
        <f t="shared" si="99"/>
        <v>5.0320225707759185</v>
      </c>
      <c r="N230" s="10">
        <f t="shared" si="110"/>
        <v>8.26</v>
      </c>
      <c r="O230" s="10">
        <f t="shared" si="111"/>
        <v>0.31900000000000001</v>
      </c>
      <c r="P230" s="10">
        <f t="shared" si="100"/>
        <v>13.830437884080554</v>
      </c>
      <c r="Q230" s="42">
        <f t="shared" si="101"/>
        <v>0.10010325562964328</v>
      </c>
      <c r="R230" s="4">
        <f t="shared" si="102"/>
        <v>76462.745814870606</v>
      </c>
      <c r="S230">
        <f t="shared" si="112"/>
        <v>7.646274581487061E-5</v>
      </c>
      <c r="T230" s="41">
        <f t="shared" si="113"/>
        <v>1.0334162622701322E-4</v>
      </c>
      <c r="U230" s="42">
        <f t="shared" si="103"/>
        <v>0.13721622050207602</v>
      </c>
      <c r="V230" s="42">
        <f t="shared" si="104"/>
        <v>0.45182618404255931</v>
      </c>
      <c r="W230" s="42">
        <f t="shared" si="105"/>
        <v>0.4476031640280595</v>
      </c>
      <c r="X230" s="42">
        <f t="shared" si="106"/>
        <v>4.223020014499812E-3</v>
      </c>
      <c r="Y230" s="42">
        <f t="shared" si="119"/>
        <v>1.5763655119386724E-3</v>
      </c>
      <c r="Z230" s="10">
        <f t="shared" si="107"/>
        <v>15.253925929865177</v>
      </c>
      <c r="AA230">
        <f t="shared" si="114"/>
        <v>5032597.8832838908</v>
      </c>
      <c r="AB230" s="10">
        <f t="shared" si="115"/>
        <v>5.0325978832838905</v>
      </c>
      <c r="AC230" s="10">
        <f t="shared" si="116"/>
        <v>4.9315978832838905</v>
      </c>
      <c r="AD230" s="3">
        <f t="shared" si="117"/>
        <v>715.24262266626408</v>
      </c>
      <c r="AI230" s="94">
        <f t="shared" si="118"/>
        <v>0.4476031640280595</v>
      </c>
    </row>
    <row r="231" spans="2:35">
      <c r="B231" s="39">
        <f t="shared" si="90"/>
        <v>203</v>
      </c>
      <c r="C231" s="42">
        <f t="shared" si="91"/>
        <v>1.3484652278163376</v>
      </c>
      <c r="D231" s="10">
        <f t="shared" si="92"/>
        <v>4.1915347721834824</v>
      </c>
      <c r="E231" s="40">
        <f t="shared" si="93"/>
        <v>22.696930455633034</v>
      </c>
      <c r="F231" s="40">
        <f t="shared" si="94"/>
        <v>31.08</v>
      </c>
      <c r="G231" s="3">
        <f t="shared" si="95"/>
        <v>215.61227817747076</v>
      </c>
      <c r="H231" s="3">
        <f t="shared" si="96"/>
        <v>81.256230789298584</v>
      </c>
      <c r="I231">
        <f t="shared" ref="I231:I294" si="120">H231/1000^2</f>
        <v>8.1256230789298584E-5</v>
      </c>
      <c r="J231" s="4">
        <f t="shared" si="97"/>
        <v>404.59837603849718</v>
      </c>
      <c r="K231" s="40">
        <f t="shared" si="98"/>
        <v>4.9792904754300098</v>
      </c>
      <c r="L231" s="40">
        <f t="shared" ref="L231:L294" si="121">IF((gstar-K231)&lt;0,0,gstar-K231)</f>
        <v>1.0207095245699902</v>
      </c>
      <c r="M231" s="10">
        <f t="shared" si="99"/>
        <v>5.0325978832838905</v>
      </c>
      <c r="N231" s="10">
        <f t="shared" si="110"/>
        <v>8.26</v>
      </c>
      <c r="O231" s="10">
        <f t="shared" si="111"/>
        <v>0.31900000000000001</v>
      </c>
      <c r="P231" s="10">
        <f t="shared" si="100"/>
        <v>13.830942279278444</v>
      </c>
      <c r="Q231" s="42">
        <f t="shared" si="101"/>
        <v>0.10058353280217289</v>
      </c>
      <c r="R231" s="4">
        <f t="shared" si="102"/>
        <v>76341.809240245173</v>
      </c>
      <c r="S231">
        <f t="shared" ref="S231:S294" si="122">R231/1000^3</f>
        <v>7.6341809240245174E-5</v>
      </c>
      <c r="T231" s="41">
        <f t="shared" ref="T231:T294" si="123">(vc/1000^3-S231)</f>
        <v>1.0346256280163866E-4</v>
      </c>
      <c r="U231" s="42">
        <f t="shared" si="103"/>
        <v>0.13699919377208195</v>
      </c>
      <c r="V231" s="42">
        <f t="shared" si="104"/>
        <v>0.45187808708667565</v>
      </c>
      <c r="W231" s="42">
        <f t="shared" si="105"/>
        <v>0.44765538680643402</v>
      </c>
      <c r="X231" s="42">
        <f t="shared" si="106"/>
        <v>4.2227002802416314E-3</v>
      </c>
      <c r="Y231" s="42">
        <f t="shared" si="119"/>
        <v>1.5783935784897069E-3</v>
      </c>
      <c r="Z231" s="10">
        <f t="shared" si="107"/>
        <v>15.255697672170053</v>
      </c>
      <c r="AA231">
        <f t="shared" ref="AA231:AA294" si="124">Z231*rat*to+patm*1000000</f>
        <v>5033170.6879926994</v>
      </c>
      <c r="AB231" s="10">
        <f t="shared" ref="AB231:AB294" si="125">AA231/1000000</f>
        <v>5.0331706879926994</v>
      </c>
      <c r="AC231" s="10">
        <f t="shared" ref="AC231:AC294" si="126">AB231-patm</f>
        <v>4.9321706879926994</v>
      </c>
      <c r="AD231" s="3">
        <f t="shared" ref="AD231:AD294" si="127">AC231*1000000/6895</f>
        <v>715.32569804100069</v>
      </c>
      <c r="AI231" s="94">
        <f t="shared" ref="AI231:AI294" si="128">($M231-patm)*1000000*$I231/SQRT(rat*to)*SQRT(k)*(2/(k+1))^((k+1)/2/(k-1))</f>
        <v>0.44765538680643402</v>
      </c>
    </row>
    <row r="232" spans="2:35">
      <c r="B232" s="39">
        <f t="shared" ref="B232:B295" si="129">1+B231</f>
        <v>204</v>
      </c>
      <c r="C232" s="42">
        <f t="shared" ref="C232:C295" si="130">xincp+C231</f>
        <v>1.3551079136676496</v>
      </c>
      <c r="D232" s="10">
        <f t="shared" ref="D232:D295" si="131">(F232-E232)/2</f>
        <v>4.1848920863321695</v>
      </c>
      <c r="E232" s="40">
        <f t="shared" ref="E232:E295" si="132">E231+ci*2*xincp</f>
        <v>22.710215827335659</v>
      </c>
      <c r="F232" s="40">
        <f t="shared" ref="F232:F295" si="133">F231-osi*2*xincp</f>
        <v>31.08</v>
      </c>
      <c r="G232" s="3">
        <f t="shared" ref="G232:G295" si="134">G231-ei*n*2*xincp</f>
        <v>215.55913669066027</v>
      </c>
      <c r="H232" s="3">
        <f t="shared" ref="H232:H295" si="135">PI()/4*(dto+erate*(two-D232)/two)^2</f>
        <v>81.256230789298584</v>
      </c>
      <c r="I232">
        <f t="shared" si="120"/>
        <v>8.1256230789298584E-5</v>
      </c>
      <c r="J232" s="4">
        <f t="shared" ref="J232:J295" si="136">PI()/4*dc^2-PI()/4*(F232^2-E232^2)</f>
        <v>405.07216812170662</v>
      </c>
      <c r="K232" s="40">
        <f t="shared" ref="K232:K295" si="137">J232/H232</f>
        <v>4.9851213154604563</v>
      </c>
      <c r="L232" s="40">
        <f t="shared" si="121"/>
        <v>1.0148786845395437</v>
      </c>
      <c r="M232" s="10">
        <f t="shared" ref="M232:M295" si="138">AB231</f>
        <v>5.0331706879926994</v>
      </c>
      <c r="N232" s="10">
        <f t="shared" si="110"/>
        <v>8.26</v>
      </c>
      <c r="O232" s="10">
        <f t="shared" si="111"/>
        <v>0.31900000000000001</v>
      </c>
      <c r="P232" s="10">
        <f t="shared" ref="P232:P295" si="139">(1+kv*L232)*N232*M232^O232</f>
        <v>13.831444436797907</v>
      </c>
      <c r="Q232" s="42">
        <f t="shared" ref="Q232:Q295" si="140">xincp/P232+Q231</f>
        <v>0.10106379253799913</v>
      </c>
      <c r="R232" s="4">
        <f t="shared" ref="R232:R295" si="141">PI()/4*(F232^2-E232^2)*G232</f>
        <v>76220.863228999908</v>
      </c>
      <c r="S232">
        <f t="shared" si="122"/>
        <v>7.6220863228999904E-5</v>
      </c>
      <c r="T232" s="41">
        <f t="shared" si="123"/>
        <v>1.0358350881288393E-4</v>
      </c>
      <c r="U232" s="42">
        <f t="shared" ref="U232:U295" si="142">rhopgrain*R232/1000^2</f>
        <v>0.13678215010760178</v>
      </c>
      <c r="V232" s="42">
        <f t="shared" ref="V232:V295" si="143">(U231-U232)/(Q232-Q231)</f>
        <v>0.45192975444164857</v>
      </c>
      <c r="W232" s="42">
        <f t="shared" ref="W232:W295" si="144">IF(V232&lt;AI232,IF(AB231&gt;pbd,AI232,0),AI232)</f>
        <v>0.44770738194463361</v>
      </c>
      <c r="X232" s="42">
        <f t="shared" ref="X232:X295" si="145">V232-W232</f>
        <v>4.222372497014959E-3</v>
      </c>
      <c r="Y232" s="42">
        <f t="shared" si="119"/>
        <v>1.5804214139896833E-3</v>
      </c>
      <c r="Z232" s="10">
        <f t="shared" ref="Z232:Z295" si="146">Y232/T232</f>
        <v>15.257461656802914</v>
      </c>
      <c r="AA232">
        <f t="shared" si="124"/>
        <v>5033740.9846443003</v>
      </c>
      <c r="AB232" s="10">
        <f t="shared" si="125"/>
        <v>5.0337409846443002</v>
      </c>
      <c r="AC232" s="10">
        <f t="shared" si="126"/>
        <v>4.9327409846443002</v>
      </c>
      <c r="AD232" s="3">
        <f t="shared" si="127"/>
        <v>715.40840966559836</v>
      </c>
      <c r="AI232" s="94">
        <f t="shared" si="128"/>
        <v>0.44770738194463361</v>
      </c>
    </row>
    <row r="233" spans="2:35">
      <c r="B233" s="39">
        <f t="shared" si="129"/>
        <v>205</v>
      </c>
      <c r="C233" s="42">
        <f t="shared" si="130"/>
        <v>1.3617505995189616</v>
      </c>
      <c r="D233" s="10">
        <f t="shared" si="131"/>
        <v>4.1782494004808566</v>
      </c>
      <c r="E233" s="40">
        <f t="shared" si="132"/>
        <v>22.723501199038285</v>
      </c>
      <c r="F233" s="40">
        <f t="shared" si="133"/>
        <v>31.08</v>
      </c>
      <c r="G233" s="3">
        <f t="shared" si="134"/>
        <v>215.50599520384978</v>
      </c>
      <c r="H233" s="3">
        <f t="shared" si="135"/>
        <v>81.256230789298584</v>
      </c>
      <c r="I233">
        <f t="shared" si="120"/>
        <v>8.1256230789298584E-5</v>
      </c>
      <c r="J233" s="4">
        <f t="shared" si="136"/>
        <v>405.54623745219766</v>
      </c>
      <c r="K233" s="40">
        <f t="shared" si="137"/>
        <v>4.990955567503482</v>
      </c>
      <c r="L233" s="40">
        <f t="shared" si="121"/>
        <v>1.009044432496518</v>
      </c>
      <c r="M233" s="10">
        <f t="shared" si="138"/>
        <v>5.0337409846443002</v>
      </c>
      <c r="N233" s="10">
        <f t="shared" si="110"/>
        <v>8.26</v>
      </c>
      <c r="O233" s="10">
        <f t="shared" si="111"/>
        <v>0.31900000000000001</v>
      </c>
      <c r="P233" s="10">
        <f t="shared" si="139"/>
        <v>13.831944356931391</v>
      </c>
      <c r="Q233" s="42">
        <f t="shared" si="140"/>
        <v>0.10154403491606967</v>
      </c>
      <c r="R233" s="4">
        <f t="shared" si="141"/>
        <v>76099.907825334769</v>
      </c>
      <c r="S233">
        <f t="shared" si="122"/>
        <v>7.6099907825334767E-5</v>
      </c>
      <c r="T233" s="41">
        <f t="shared" si="123"/>
        <v>1.0370446421654907E-4</v>
      </c>
      <c r="U233" s="42">
        <f t="shared" si="142"/>
        <v>0.13656508958795452</v>
      </c>
      <c r="V233" s="42">
        <f t="shared" si="143"/>
        <v>0.45198118608220478</v>
      </c>
      <c r="W233" s="42">
        <f t="shared" si="144"/>
        <v>0.44775914941923489</v>
      </c>
      <c r="X233" s="42">
        <f t="shared" si="145"/>
        <v>4.2220366629698858E-3</v>
      </c>
      <c r="Y233" s="42">
        <f t="shared" si="119"/>
        <v>1.5824490149170089E-3</v>
      </c>
      <c r="Z233" s="10">
        <f t="shared" si="146"/>
        <v>15.259217882970201</v>
      </c>
      <c r="AA233">
        <f t="shared" si="124"/>
        <v>5034308.7729821345</v>
      </c>
      <c r="AB233" s="10">
        <f t="shared" si="125"/>
        <v>5.0343087729821345</v>
      </c>
      <c r="AC233" s="10">
        <f t="shared" si="126"/>
        <v>4.9333087729821345</v>
      </c>
      <c r="AD233" s="3">
        <f t="shared" si="127"/>
        <v>715.4907575028476</v>
      </c>
      <c r="AI233" s="94">
        <f t="shared" si="128"/>
        <v>0.44775914941923489</v>
      </c>
    </row>
    <row r="234" spans="2:35">
      <c r="B234" s="39">
        <f t="shared" si="129"/>
        <v>206</v>
      </c>
      <c r="C234" s="42">
        <f t="shared" si="130"/>
        <v>1.3683932853702736</v>
      </c>
      <c r="D234" s="10">
        <f t="shared" si="131"/>
        <v>4.1716067146295437</v>
      </c>
      <c r="E234" s="40">
        <f t="shared" si="132"/>
        <v>22.736786570740911</v>
      </c>
      <c r="F234" s="40">
        <f t="shared" si="133"/>
        <v>31.08</v>
      </c>
      <c r="G234" s="3">
        <f t="shared" si="134"/>
        <v>215.45285371703929</v>
      </c>
      <c r="H234" s="3">
        <f t="shared" si="135"/>
        <v>81.256230789298584</v>
      </c>
      <c r="I234">
        <f t="shared" si="120"/>
        <v>8.1256230789298584E-5</v>
      </c>
      <c r="J234" s="4">
        <f t="shared" si="136"/>
        <v>406.02058402997022</v>
      </c>
      <c r="K234" s="40">
        <f t="shared" si="137"/>
        <v>4.9967932315590868</v>
      </c>
      <c r="L234" s="40">
        <f t="shared" si="121"/>
        <v>1.0032067684409132</v>
      </c>
      <c r="M234" s="10">
        <f t="shared" si="138"/>
        <v>5.0343087729821345</v>
      </c>
      <c r="N234" s="10">
        <f t="shared" si="110"/>
        <v>8.26</v>
      </c>
      <c r="O234" s="10">
        <f t="shared" si="111"/>
        <v>0.31900000000000001</v>
      </c>
      <c r="P234" s="10">
        <f t="shared" si="139"/>
        <v>13.83244203997028</v>
      </c>
      <c r="Q234" s="42">
        <f t="shared" si="140"/>
        <v>0.10202426001530503</v>
      </c>
      <c r="R234" s="4">
        <f t="shared" si="141"/>
        <v>75978.943073449802</v>
      </c>
      <c r="S234">
        <f t="shared" si="122"/>
        <v>7.5978943073449801E-5</v>
      </c>
      <c r="T234" s="41">
        <f t="shared" si="123"/>
        <v>1.0382542896843403E-4</v>
      </c>
      <c r="U234" s="42">
        <f t="shared" si="142"/>
        <v>0.13634801229245935</v>
      </c>
      <c r="V234" s="42">
        <f t="shared" si="143"/>
        <v>0.45203238198255269</v>
      </c>
      <c r="W234" s="42">
        <f t="shared" si="144"/>
        <v>0.44781068920694933</v>
      </c>
      <c r="X234" s="42">
        <f t="shared" si="145"/>
        <v>4.2216927756033584E-3</v>
      </c>
      <c r="Y234" s="42">
        <f t="shared" si="119"/>
        <v>1.5844763777491141E-3</v>
      </c>
      <c r="Z234" s="10">
        <f t="shared" si="146"/>
        <v>15.260966349879867</v>
      </c>
      <c r="AA234">
        <f t="shared" si="124"/>
        <v>5034874.052750133</v>
      </c>
      <c r="AB234" s="10">
        <f t="shared" si="125"/>
        <v>5.0348740527501326</v>
      </c>
      <c r="AC234" s="10">
        <f t="shared" si="126"/>
        <v>4.9338740527501326</v>
      </c>
      <c r="AD234" s="3">
        <f t="shared" si="127"/>
        <v>715.57274151561035</v>
      </c>
      <c r="AI234" s="94">
        <f t="shared" si="128"/>
        <v>0.44781068920694933</v>
      </c>
    </row>
    <row r="235" spans="2:35">
      <c r="B235" s="39">
        <f t="shared" si="129"/>
        <v>207</v>
      </c>
      <c r="C235" s="42">
        <f t="shared" si="130"/>
        <v>1.3750359712215856</v>
      </c>
      <c r="D235" s="10">
        <f t="shared" si="131"/>
        <v>4.1649640287782308</v>
      </c>
      <c r="E235" s="40">
        <f t="shared" si="132"/>
        <v>22.750071942443537</v>
      </c>
      <c r="F235" s="40">
        <f t="shared" si="133"/>
        <v>31.08</v>
      </c>
      <c r="G235" s="3">
        <f t="shared" si="134"/>
        <v>215.3997122302288</v>
      </c>
      <c r="H235" s="3">
        <f t="shared" si="135"/>
        <v>81.256230789298584</v>
      </c>
      <c r="I235">
        <f t="shared" si="120"/>
        <v>8.1256230789298584E-5</v>
      </c>
      <c r="J235" s="4">
        <f t="shared" si="136"/>
        <v>406.49520785502443</v>
      </c>
      <c r="K235" s="40">
        <f t="shared" si="137"/>
        <v>5.0026343076272708</v>
      </c>
      <c r="L235" s="40">
        <f t="shared" si="121"/>
        <v>0.99736569237272921</v>
      </c>
      <c r="M235" s="10">
        <f t="shared" si="138"/>
        <v>5.0348740527501326</v>
      </c>
      <c r="N235" s="10">
        <f t="shared" si="110"/>
        <v>8.26</v>
      </c>
      <c r="O235" s="10">
        <f t="shared" si="111"/>
        <v>0.31900000000000001</v>
      </c>
      <c r="P235" s="10">
        <f t="shared" si="139"/>
        <v>13.832937486204017</v>
      </c>
      <c r="Q235" s="42">
        <f t="shared" si="140"/>
        <v>0.10250446791459879</v>
      </c>
      <c r="R235" s="4">
        <f t="shared" si="141"/>
        <v>75857.969017544965</v>
      </c>
      <c r="S235">
        <f t="shared" si="122"/>
        <v>7.5857969017544959E-5</v>
      </c>
      <c r="T235" s="41">
        <f t="shared" si="123"/>
        <v>1.0394640302433887E-4</v>
      </c>
      <c r="U235" s="42">
        <f t="shared" si="142"/>
        <v>0.13613091830043531</v>
      </c>
      <c r="V235" s="42">
        <f t="shared" si="143"/>
        <v>0.45208334211770929</v>
      </c>
      <c r="W235" s="42">
        <f t="shared" si="144"/>
        <v>0.44786200128453274</v>
      </c>
      <c r="X235" s="42">
        <f t="shared" si="145"/>
        <v>4.2213408331765456E-3</v>
      </c>
      <c r="Y235" s="42">
        <f t="shared" si="119"/>
        <v>1.5865034989628168E-3</v>
      </c>
      <c r="Z235" s="10">
        <f t="shared" si="146"/>
        <v>15.262707056744807</v>
      </c>
      <c r="AA235">
        <f t="shared" si="124"/>
        <v>5035436.8236938249</v>
      </c>
      <c r="AB235" s="10">
        <f t="shared" si="125"/>
        <v>5.0354368236938249</v>
      </c>
      <c r="AC235" s="10">
        <f t="shared" si="126"/>
        <v>4.934436823693825</v>
      </c>
      <c r="AD235" s="3">
        <f t="shared" si="127"/>
        <v>715.65436166697964</v>
      </c>
      <c r="AI235" s="94">
        <f t="shared" si="128"/>
        <v>0.44786200128453274</v>
      </c>
    </row>
    <row r="236" spans="2:35">
      <c r="B236" s="39">
        <f t="shared" si="129"/>
        <v>208</v>
      </c>
      <c r="C236" s="42">
        <f t="shared" si="130"/>
        <v>1.3816786570728976</v>
      </c>
      <c r="D236" s="10">
        <f t="shared" si="131"/>
        <v>4.1583213429269179</v>
      </c>
      <c r="E236" s="40">
        <f t="shared" si="132"/>
        <v>22.763357314146162</v>
      </c>
      <c r="F236" s="40">
        <f t="shared" si="133"/>
        <v>31.08</v>
      </c>
      <c r="G236" s="3">
        <f t="shared" si="134"/>
        <v>215.34657074341831</v>
      </c>
      <c r="H236" s="3">
        <f t="shared" si="135"/>
        <v>81.256230789298584</v>
      </c>
      <c r="I236">
        <f t="shared" si="120"/>
        <v>8.1256230789298584E-5</v>
      </c>
      <c r="J236" s="4">
        <f t="shared" si="136"/>
        <v>406.97010892736012</v>
      </c>
      <c r="K236" s="40">
        <f t="shared" si="137"/>
        <v>5.0084787957080321</v>
      </c>
      <c r="L236" s="40">
        <f t="shared" si="121"/>
        <v>0.99152120429196788</v>
      </c>
      <c r="M236" s="10">
        <f t="shared" si="138"/>
        <v>5.0354368236938249</v>
      </c>
      <c r="N236" s="10">
        <f t="shared" si="110"/>
        <v>8.26</v>
      </c>
      <c r="O236" s="10">
        <f t="shared" si="111"/>
        <v>0.31900000000000001</v>
      </c>
      <c r="P236" s="10">
        <f t="shared" si="139"/>
        <v>13.833430695921093</v>
      </c>
      <c r="Q236" s="42">
        <f t="shared" si="140"/>
        <v>0.10298465869281773</v>
      </c>
      <c r="R236" s="4">
        <f t="shared" si="141"/>
        <v>75736.985701820289</v>
      </c>
      <c r="S236">
        <f t="shared" si="122"/>
        <v>7.5736985701820291E-5</v>
      </c>
      <c r="T236" s="41">
        <f t="shared" si="123"/>
        <v>1.0406738634006354E-4</v>
      </c>
      <c r="U236" s="42">
        <f t="shared" si="142"/>
        <v>0.13591380769120159</v>
      </c>
      <c r="V236" s="42">
        <f t="shared" si="143"/>
        <v>0.45213406646206311</v>
      </c>
      <c r="W236" s="42">
        <f t="shared" si="144"/>
        <v>0.4479130856288861</v>
      </c>
      <c r="X236" s="42">
        <f t="shared" si="145"/>
        <v>4.2209808331770127E-3</v>
      </c>
      <c r="Y236" s="42">
        <f t="shared" si="119"/>
        <v>1.5885303750339474E-3</v>
      </c>
      <c r="Z236" s="10">
        <f t="shared" si="146"/>
        <v>15.264440002779235</v>
      </c>
      <c r="AA236">
        <f t="shared" si="124"/>
        <v>5035997.0855591651</v>
      </c>
      <c r="AB236" s="10">
        <f t="shared" si="125"/>
        <v>5.0359970855591651</v>
      </c>
      <c r="AC236" s="10">
        <f t="shared" si="126"/>
        <v>4.9349970855591652</v>
      </c>
      <c r="AD236" s="3">
        <f t="shared" si="127"/>
        <v>715.73561792011094</v>
      </c>
      <c r="AI236" s="94">
        <f t="shared" si="128"/>
        <v>0.4479130856288861</v>
      </c>
    </row>
    <row r="237" spans="2:35">
      <c r="B237" s="39">
        <f t="shared" si="129"/>
        <v>209</v>
      </c>
      <c r="C237" s="42">
        <f t="shared" si="130"/>
        <v>1.3883213429242096</v>
      </c>
      <c r="D237" s="10">
        <f t="shared" si="131"/>
        <v>4.151678657075605</v>
      </c>
      <c r="E237" s="40">
        <f t="shared" si="132"/>
        <v>22.776642685848788</v>
      </c>
      <c r="F237" s="40">
        <f t="shared" si="133"/>
        <v>31.08</v>
      </c>
      <c r="G237" s="3">
        <f t="shared" si="134"/>
        <v>215.29342925660782</v>
      </c>
      <c r="H237" s="3">
        <f t="shared" si="135"/>
        <v>81.256230789298584</v>
      </c>
      <c r="I237">
        <f t="shared" si="120"/>
        <v>8.1256230789298584E-5</v>
      </c>
      <c r="J237" s="4">
        <f t="shared" si="136"/>
        <v>407.44528724697744</v>
      </c>
      <c r="K237" s="40">
        <f t="shared" si="137"/>
        <v>5.0143266958013744</v>
      </c>
      <c r="L237" s="40">
        <f t="shared" si="121"/>
        <v>0.98567330419862564</v>
      </c>
      <c r="M237" s="10">
        <f t="shared" si="138"/>
        <v>5.0359970855591651</v>
      </c>
      <c r="N237" s="10">
        <f t="shared" si="110"/>
        <v>8.26</v>
      </c>
      <c r="O237" s="10">
        <f t="shared" si="111"/>
        <v>0.31900000000000001</v>
      </c>
      <c r="P237" s="10">
        <f t="shared" si="139"/>
        <v>13.833921669408003</v>
      </c>
      <c r="Q237" s="42">
        <f t="shared" si="140"/>
        <v>0.1034648324288019</v>
      </c>
      <c r="R237" s="4">
        <f t="shared" si="141"/>
        <v>75615.993170475733</v>
      </c>
      <c r="S237">
        <f t="shared" si="122"/>
        <v>7.5615993170475738E-5</v>
      </c>
      <c r="T237" s="41">
        <f t="shared" si="123"/>
        <v>1.041883788714081E-4</v>
      </c>
      <c r="U237" s="42">
        <f t="shared" si="142"/>
        <v>0.13569668054407721</v>
      </c>
      <c r="V237" s="42">
        <f t="shared" si="143"/>
        <v>0.45218455499101817</v>
      </c>
      <c r="W237" s="42">
        <f t="shared" si="144"/>
        <v>0.44796394221694891</v>
      </c>
      <c r="X237" s="42">
        <f t="shared" si="145"/>
        <v>4.2206127740692656E-3</v>
      </c>
      <c r="Y237" s="42">
        <f t="shared" si="119"/>
        <v>1.5905570024378147E-3</v>
      </c>
      <c r="Z237" s="10">
        <f t="shared" si="146"/>
        <v>15.266165187203075</v>
      </c>
      <c r="AA237">
        <f t="shared" si="124"/>
        <v>5036554.8380939551</v>
      </c>
      <c r="AB237" s="10">
        <f t="shared" si="125"/>
        <v>5.0365548380939549</v>
      </c>
      <c r="AC237" s="10">
        <f t="shared" si="126"/>
        <v>4.9355548380939549</v>
      </c>
      <c r="AD237" s="3">
        <f t="shared" si="127"/>
        <v>715.8165102384271</v>
      </c>
      <c r="AI237" s="94">
        <f t="shared" si="128"/>
        <v>0.44796394221694891</v>
      </c>
    </row>
    <row r="238" spans="2:35">
      <c r="B238" s="39">
        <f t="shared" si="129"/>
        <v>210</v>
      </c>
      <c r="C238" s="42">
        <f t="shared" si="130"/>
        <v>1.3949640287755216</v>
      </c>
      <c r="D238" s="10">
        <f t="shared" si="131"/>
        <v>4.1450359712242921</v>
      </c>
      <c r="E238" s="40">
        <f t="shared" si="132"/>
        <v>22.789928057551414</v>
      </c>
      <c r="F238" s="40">
        <f t="shared" si="133"/>
        <v>31.08</v>
      </c>
      <c r="G238" s="3">
        <f t="shared" si="134"/>
        <v>215.24028776979733</v>
      </c>
      <c r="H238" s="3">
        <f t="shared" si="135"/>
        <v>81.256230789298584</v>
      </c>
      <c r="I238">
        <f t="shared" si="120"/>
        <v>8.1256230789298584E-5</v>
      </c>
      <c r="J238" s="4">
        <f t="shared" si="136"/>
        <v>407.92074281387619</v>
      </c>
      <c r="K238" s="40">
        <f t="shared" si="137"/>
        <v>5.0201780079072931</v>
      </c>
      <c r="L238" s="40">
        <f t="shared" si="121"/>
        <v>0.97982199209270693</v>
      </c>
      <c r="M238" s="10">
        <f t="shared" si="138"/>
        <v>5.0365548380939549</v>
      </c>
      <c r="N238" s="10">
        <f t="shared" si="110"/>
        <v>8.26</v>
      </c>
      <c r="O238" s="10">
        <f t="shared" si="111"/>
        <v>0.31900000000000001</v>
      </c>
      <c r="P238" s="10">
        <f t="shared" si="139"/>
        <v>13.834410406950502</v>
      </c>
      <c r="Q238" s="42">
        <f t="shared" si="140"/>
        <v>0.10394498920136482</v>
      </c>
      <c r="R238" s="4">
        <f t="shared" si="141"/>
        <v>75494.991467711356</v>
      </c>
      <c r="S238">
        <f t="shared" si="122"/>
        <v>7.5494991467711349E-5</v>
      </c>
      <c r="T238" s="41">
        <f t="shared" si="123"/>
        <v>1.0430938057417248E-4</v>
      </c>
      <c r="U238" s="42">
        <f t="shared" si="142"/>
        <v>0.13547953693838141</v>
      </c>
      <c r="V238" s="42">
        <f t="shared" si="143"/>
        <v>0.45223480767909213</v>
      </c>
      <c r="W238" s="42">
        <f t="shared" si="144"/>
        <v>0.44801457102582848</v>
      </c>
      <c r="X238" s="42">
        <f t="shared" si="145"/>
        <v>4.2202366532636537E-3</v>
      </c>
      <c r="Y238" s="42">
        <f t="shared" si="119"/>
        <v>1.5925833776486975E-3</v>
      </c>
      <c r="Z238" s="10">
        <f t="shared" si="146"/>
        <v>15.267882609237054</v>
      </c>
      <c r="AA238">
        <f t="shared" si="124"/>
        <v>5037110.0810462562</v>
      </c>
      <c r="AB238" s="10">
        <f t="shared" si="125"/>
        <v>5.0371100810462561</v>
      </c>
      <c r="AC238" s="10">
        <f t="shared" si="126"/>
        <v>4.9361100810462561</v>
      </c>
      <c r="AD238" s="3">
        <f t="shared" si="127"/>
        <v>715.89703858538883</v>
      </c>
      <c r="AI238" s="94">
        <f t="shared" si="128"/>
        <v>0.44801457102582848</v>
      </c>
    </row>
    <row r="239" spans="2:35">
      <c r="B239" s="39">
        <f t="shared" si="129"/>
        <v>211</v>
      </c>
      <c r="C239" s="42">
        <f t="shared" si="130"/>
        <v>1.4016067146268336</v>
      </c>
      <c r="D239" s="10">
        <f t="shared" si="131"/>
        <v>4.1383932853729792</v>
      </c>
      <c r="E239" s="40">
        <f t="shared" si="132"/>
        <v>22.80321342925404</v>
      </c>
      <c r="F239" s="40">
        <f t="shared" si="133"/>
        <v>31.08</v>
      </c>
      <c r="G239" s="3">
        <f t="shared" si="134"/>
        <v>215.18714628298684</v>
      </c>
      <c r="H239" s="3">
        <f t="shared" si="135"/>
        <v>81.256230789298584</v>
      </c>
      <c r="I239">
        <f t="shared" si="120"/>
        <v>8.1256230789298584E-5</v>
      </c>
      <c r="J239" s="4">
        <f t="shared" si="136"/>
        <v>408.39647562805663</v>
      </c>
      <c r="K239" s="40">
        <f t="shared" si="137"/>
        <v>5.0260327320257918</v>
      </c>
      <c r="L239" s="40">
        <f t="shared" si="121"/>
        <v>0.97396726797420818</v>
      </c>
      <c r="M239" s="10">
        <f t="shared" si="138"/>
        <v>5.0371100810462561</v>
      </c>
      <c r="N239" s="10">
        <f t="shared" si="110"/>
        <v>8.26</v>
      </c>
      <c r="O239" s="10">
        <f t="shared" si="111"/>
        <v>0.31900000000000001</v>
      </c>
      <c r="P239" s="10">
        <f t="shared" si="139"/>
        <v>13.834896908832208</v>
      </c>
      <c r="Q239" s="42">
        <f t="shared" si="140"/>
        <v>0.10442512908929354</v>
      </c>
      <c r="R239" s="4">
        <f t="shared" si="141"/>
        <v>75373.980637727087</v>
      </c>
      <c r="S239">
        <f t="shared" si="122"/>
        <v>7.5373980637727093E-5</v>
      </c>
      <c r="T239" s="41">
        <f t="shared" si="123"/>
        <v>1.0443039140415674E-4</v>
      </c>
      <c r="U239" s="42">
        <f t="shared" si="142"/>
        <v>0.13526237695343313</v>
      </c>
      <c r="V239" s="42">
        <f t="shared" si="143"/>
        <v>0.45228482450206786</v>
      </c>
      <c r="W239" s="42">
        <f t="shared" si="144"/>
        <v>0.44806497203265555</v>
      </c>
      <c r="X239" s="42">
        <f t="shared" si="145"/>
        <v>4.2198524694123107E-3</v>
      </c>
      <c r="Y239" s="42">
        <f t="shared" si="119"/>
        <v>1.594609497140437E-3</v>
      </c>
      <c r="Z239" s="10">
        <f t="shared" si="146"/>
        <v>15.269592268108317</v>
      </c>
      <c r="AA239">
        <f t="shared" si="124"/>
        <v>5037662.8141662031</v>
      </c>
      <c r="AB239" s="10">
        <f t="shared" si="125"/>
        <v>5.037662814166203</v>
      </c>
      <c r="AC239" s="10">
        <f t="shared" si="126"/>
        <v>4.936662814166203</v>
      </c>
      <c r="AD239" s="3">
        <f t="shared" si="127"/>
        <v>715.97720292475753</v>
      </c>
      <c r="AI239" s="94">
        <f t="shared" si="128"/>
        <v>0.44806497203265555</v>
      </c>
    </row>
    <row r="240" spans="2:35">
      <c r="B240" s="39">
        <f t="shared" si="129"/>
        <v>212</v>
      </c>
      <c r="C240" s="42">
        <f t="shared" si="130"/>
        <v>1.4082494004781456</v>
      </c>
      <c r="D240" s="10">
        <f t="shared" si="131"/>
        <v>4.1317505995216663</v>
      </c>
      <c r="E240" s="40">
        <f t="shared" si="132"/>
        <v>22.816498800956666</v>
      </c>
      <c r="F240" s="40">
        <f t="shared" si="133"/>
        <v>31.08</v>
      </c>
      <c r="G240" s="3">
        <f t="shared" si="134"/>
        <v>215.13400479617636</v>
      </c>
      <c r="H240" s="3">
        <f t="shared" si="135"/>
        <v>81.256230789298584</v>
      </c>
      <c r="I240">
        <f t="shared" si="120"/>
        <v>8.1256230789298584E-5</v>
      </c>
      <c r="J240" s="4">
        <f t="shared" si="136"/>
        <v>408.87248568951861</v>
      </c>
      <c r="K240" s="40">
        <f t="shared" si="137"/>
        <v>5.0318908681568697</v>
      </c>
      <c r="L240" s="40">
        <f t="shared" si="121"/>
        <v>0.9681091318431303</v>
      </c>
      <c r="M240" s="10">
        <f t="shared" si="138"/>
        <v>5.037662814166203</v>
      </c>
      <c r="N240" s="10">
        <f t="shared" si="110"/>
        <v>8.26</v>
      </c>
      <c r="O240" s="10">
        <f t="shared" si="111"/>
        <v>0.31900000000000001</v>
      </c>
      <c r="P240" s="10">
        <f t="shared" si="139"/>
        <v>13.835381175336208</v>
      </c>
      <c r="Q240" s="42">
        <f t="shared" si="140"/>
        <v>0.10490525217134881</v>
      </c>
      <c r="R240" s="4">
        <f t="shared" si="141"/>
        <v>75252.960724722972</v>
      </c>
      <c r="S240">
        <f t="shared" si="122"/>
        <v>7.5252960724722979E-5</v>
      </c>
      <c r="T240" s="41">
        <f t="shared" si="123"/>
        <v>1.0455141131716086E-4</v>
      </c>
      <c r="U240" s="42">
        <f t="shared" si="142"/>
        <v>0.13504520066855161</v>
      </c>
      <c r="V240" s="42">
        <f t="shared" si="143"/>
        <v>0.45233460543460474</v>
      </c>
      <c r="W240" s="42">
        <f t="shared" si="144"/>
        <v>0.44811514521474927</v>
      </c>
      <c r="X240" s="42">
        <f t="shared" si="145"/>
        <v>4.2194602198554754E-3</v>
      </c>
      <c r="Y240" s="42">
        <f t="shared" si="119"/>
        <v>1.5966353573858036E-3</v>
      </c>
      <c r="Z240" s="10">
        <f t="shared" si="146"/>
        <v>15.271294163044312</v>
      </c>
      <c r="AA240">
        <f t="shared" si="124"/>
        <v>5038213.03720403</v>
      </c>
      <c r="AB240" s="10">
        <f t="shared" si="125"/>
        <v>5.0382130372040299</v>
      </c>
      <c r="AC240" s="10">
        <f t="shared" si="126"/>
        <v>4.9372130372040299</v>
      </c>
      <c r="AD240" s="3">
        <f t="shared" si="127"/>
        <v>716.05700322030896</v>
      </c>
      <c r="AI240" s="94">
        <f t="shared" si="128"/>
        <v>0.44811514521474927</v>
      </c>
    </row>
    <row r="241" spans="2:35">
      <c r="B241" s="39">
        <f t="shared" si="129"/>
        <v>213</v>
      </c>
      <c r="C241" s="42">
        <f t="shared" si="130"/>
        <v>1.4148920863294576</v>
      </c>
      <c r="D241" s="10">
        <f t="shared" si="131"/>
        <v>4.1251079136703535</v>
      </c>
      <c r="E241" s="40">
        <f t="shared" si="132"/>
        <v>22.829784172659291</v>
      </c>
      <c r="F241" s="40">
        <f t="shared" si="133"/>
        <v>31.08</v>
      </c>
      <c r="G241" s="3">
        <f t="shared" si="134"/>
        <v>215.08086330936587</v>
      </c>
      <c r="H241" s="3">
        <f t="shared" si="135"/>
        <v>81.256230789298584</v>
      </c>
      <c r="I241">
        <f t="shared" si="120"/>
        <v>8.1256230789298584E-5</v>
      </c>
      <c r="J241" s="4">
        <f t="shared" si="136"/>
        <v>409.34877299826206</v>
      </c>
      <c r="K241" s="40">
        <f t="shared" si="137"/>
        <v>5.0377524163005249</v>
      </c>
      <c r="L241" s="40">
        <f t="shared" si="121"/>
        <v>0.96224758369947505</v>
      </c>
      <c r="M241" s="10">
        <f t="shared" si="138"/>
        <v>5.0382130372040299</v>
      </c>
      <c r="N241" s="10">
        <f t="shared" si="110"/>
        <v>8.26</v>
      </c>
      <c r="O241" s="10">
        <f t="shared" si="111"/>
        <v>0.31900000000000001</v>
      </c>
      <c r="P241" s="10">
        <f t="shared" si="139"/>
        <v>13.835863206743307</v>
      </c>
      <c r="Q241" s="42">
        <f t="shared" si="140"/>
        <v>0.10538535852626525</v>
      </c>
      <c r="R241" s="4">
        <f t="shared" si="141"/>
        <v>75131.931772899014</v>
      </c>
      <c r="S241">
        <f t="shared" si="122"/>
        <v>7.5131931772899014E-5</v>
      </c>
      <c r="T241" s="41">
        <f t="shared" si="123"/>
        <v>1.0467244026898482E-4</v>
      </c>
      <c r="U241" s="42">
        <f t="shared" si="142"/>
        <v>0.13482800816305593</v>
      </c>
      <c r="V241" s="42">
        <f t="shared" si="143"/>
        <v>0.45238415045241465</v>
      </c>
      <c r="W241" s="42">
        <f t="shared" si="144"/>
        <v>0.44816509054943737</v>
      </c>
      <c r="X241" s="42">
        <f t="shared" si="145"/>
        <v>4.2190599029772735E-3</v>
      </c>
      <c r="Y241" s="42">
        <f t="shared" si="119"/>
        <v>1.598660954856996E-3</v>
      </c>
      <c r="Z241" s="10">
        <f t="shared" si="146"/>
        <v>15.272988293277523</v>
      </c>
      <c r="AA241">
        <f t="shared" si="124"/>
        <v>5038760.7499115998</v>
      </c>
      <c r="AB241" s="10">
        <f t="shared" si="125"/>
        <v>5.0387607499115994</v>
      </c>
      <c r="AC241" s="10">
        <f t="shared" si="126"/>
        <v>4.9377607499115994</v>
      </c>
      <c r="AD241" s="3">
        <f t="shared" si="127"/>
        <v>716.13643943605507</v>
      </c>
      <c r="AI241" s="94">
        <f t="shared" si="128"/>
        <v>0.44816509054943737</v>
      </c>
    </row>
    <row r="242" spans="2:35">
      <c r="B242" s="39">
        <f t="shared" si="129"/>
        <v>214</v>
      </c>
      <c r="C242" s="42">
        <f t="shared" si="130"/>
        <v>1.4215347721807696</v>
      </c>
      <c r="D242" s="10">
        <f t="shared" si="131"/>
        <v>4.1184652278190406</v>
      </c>
      <c r="E242" s="40">
        <f t="shared" si="132"/>
        <v>22.843069544361917</v>
      </c>
      <c r="F242" s="40">
        <f t="shared" si="133"/>
        <v>31.08</v>
      </c>
      <c r="G242" s="3">
        <f t="shared" si="134"/>
        <v>215.02772182255538</v>
      </c>
      <c r="H242" s="3">
        <f t="shared" si="135"/>
        <v>81.256230789298584</v>
      </c>
      <c r="I242">
        <f t="shared" si="120"/>
        <v>8.1256230789298584E-5</v>
      </c>
      <c r="J242" s="4">
        <f t="shared" si="136"/>
        <v>409.82533755428716</v>
      </c>
      <c r="K242" s="40">
        <f t="shared" si="137"/>
        <v>5.0436173764567602</v>
      </c>
      <c r="L242" s="40">
        <f t="shared" si="121"/>
        <v>0.95638262354323977</v>
      </c>
      <c r="M242" s="10">
        <f t="shared" si="138"/>
        <v>5.0387607499115994</v>
      </c>
      <c r="N242" s="10">
        <f t="shared" si="110"/>
        <v>8.26</v>
      </c>
      <c r="O242" s="10">
        <f t="shared" si="111"/>
        <v>0.31900000000000001</v>
      </c>
      <c r="P242" s="10">
        <f t="shared" si="139"/>
        <v>13.836343003333386</v>
      </c>
      <c r="Q242" s="42">
        <f t="shared" si="140"/>
        <v>0.1058654482327514</v>
      </c>
      <c r="R242" s="4">
        <f t="shared" si="141"/>
        <v>75010.893826455169</v>
      </c>
      <c r="S242">
        <f t="shared" si="122"/>
        <v>7.5010893826455167E-5</v>
      </c>
      <c r="T242" s="41">
        <f t="shared" si="123"/>
        <v>1.0479347821542867E-4</v>
      </c>
      <c r="U242" s="42">
        <f t="shared" si="142"/>
        <v>0.13461079951626512</v>
      </c>
      <c r="V242" s="42">
        <f t="shared" si="143"/>
        <v>0.45243345953112601</v>
      </c>
      <c r="W242" s="42">
        <f t="shared" si="144"/>
        <v>0.44821480801419611</v>
      </c>
      <c r="X242" s="42">
        <f t="shared" si="145"/>
        <v>4.2186515169299055E-3</v>
      </c>
      <c r="Y242" s="42">
        <f t="shared" si="119"/>
        <v>1.6006862860255262E-3</v>
      </c>
      <c r="Z242" s="10">
        <f t="shared" si="146"/>
        <v>15.274674658044304</v>
      </c>
      <c r="AA242">
        <f t="shared" si="124"/>
        <v>5039305.9520420246</v>
      </c>
      <c r="AB242" s="10">
        <f t="shared" si="125"/>
        <v>5.0393059520420245</v>
      </c>
      <c r="AC242" s="10">
        <f t="shared" si="126"/>
        <v>4.9383059520420245</v>
      </c>
      <c r="AD242" s="3">
        <f t="shared" si="127"/>
        <v>716.21551153618918</v>
      </c>
      <c r="AI242" s="94">
        <f t="shared" si="128"/>
        <v>0.44821480801419611</v>
      </c>
    </row>
    <row r="243" spans="2:35">
      <c r="B243" s="39">
        <f t="shared" si="129"/>
        <v>215</v>
      </c>
      <c r="C243" s="42">
        <f t="shared" si="130"/>
        <v>1.4281774580320816</v>
      </c>
      <c r="D243" s="10">
        <f t="shared" si="131"/>
        <v>4.1118225419677277</v>
      </c>
      <c r="E243" s="40">
        <f t="shared" si="132"/>
        <v>22.856354916064543</v>
      </c>
      <c r="F243" s="40">
        <f t="shared" si="133"/>
        <v>31.08</v>
      </c>
      <c r="G243" s="3">
        <f t="shared" si="134"/>
        <v>214.97458033574489</v>
      </c>
      <c r="H243" s="3">
        <f t="shared" si="135"/>
        <v>81.256230789298584</v>
      </c>
      <c r="I243">
        <f t="shared" si="120"/>
        <v>8.1256230789298584E-5</v>
      </c>
      <c r="J243" s="4">
        <f t="shared" si="136"/>
        <v>410.30217935759379</v>
      </c>
      <c r="K243" s="40">
        <f t="shared" si="137"/>
        <v>5.0494857486255738</v>
      </c>
      <c r="L243" s="40">
        <f t="shared" si="121"/>
        <v>0.95051425137442624</v>
      </c>
      <c r="M243" s="10">
        <f t="shared" si="138"/>
        <v>5.0393059520420245</v>
      </c>
      <c r="N243" s="10">
        <f t="shared" si="110"/>
        <v>8.26</v>
      </c>
      <c r="O243" s="10">
        <f t="shared" si="111"/>
        <v>0.31900000000000001</v>
      </c>
      <c r="P243" s="10">
        <f t="shared" si="139"/>
        <v>13.836820565385061</v>
      </c>
      <c r="Q243" s="42">
        <f t="shared" si="140"/>
        <v>0.1063455213694899</v>
      </c>
      <c r="R243" s="4">
        <f t="shared" si="141"/>
        <v>74889.846929591455</v>
      </c>
      <c r="S243">
        <f t="shared" si="122"/>
        <v>7.4889846929591461E-5</v>
      </c>
      <c r="T243" s="41">
        <f t="shared" si="123"/>
        <v>1.0491452511229237E-4</v>
      </c>
      <c r="U243" s="42">
        <f t="shared" si="142"/>
        <v>0.13439357480749833</v>
      </c>
      <c r="V243" s="42">
        <f t="shared" si="143"/>
        <v>0.45248253264608446</v>
      </c>
      <c r="W243" s="42">
        <f t="shared" si="144"/>
        <v>0.44826429758661446</v>
      </c>
      <c r="X243" s="42">
        <f t="shared" si="145"/>
        <v>4.2182350594699991E-3</v>
      </c>
      <c r="Y243" s="42">
        <f t="shared" si="119"/>
        <v>1.6027113473620262E-3</v>
      </c>
      <c r="Z243" s="10">
        <f t="shared" si="146"/>
        <v>15.276353256582997</v>
      </c>
      <c r="AA243">
        <f t="shared" si="124"/>
        <v>5039848.6433490599</v>
      </c>
      <c r="AB243" s="10">
        <f t="shared" si="125"/>
        <v>5.0398486433490595</v>
      </c>
      <c r="AC243" s="10">
        <f t="shared" si="126"/>
        <v>4.9388486433490595</v>
      </c>
      <c r="AD243" s="3">
        <f t="shared" si="127"/>
        <v>716.29421948499783</v>
      </c>
      <c r="AI243" s="94">
        <f t="shared" si="128"/>
        <v>0.44826429758661446</v>
      </c>
    </row>
    <row r="244" spans="2:35">
      <c r="B244" s="39">
        <f t="shared" si="129"/>
        <v>216</v>
      </c>
      <c r="C244" s="42">
        <f t="shared" si="130"/>
        <v>1.4348201438833936</v>
      </c>
      <c r="D244" s="10">
        <f t="shared" si="131"/>
        <v>4.1051798561164148</v>
      </c>
      <c r="E244" s="40">
        <f t="shared" si="132"/>
        <v>22.869640287767169</v>
      </c>
      <c r="F244" s="40">
        <f t="shared" si="133"/>
        <v>31.08</v>
      </c>
      <c r="G244" s="3">
        <f t="shared" si="134"/>
        <v>214.9214388489344</v>
      </c>
      <c r="H244" s="3">
        <f t="shared" si="135"/>
        <v>81.256230789298584</v>
      </c>
      <c r="I244">
        <f t="shared" si="120"/>
        <v>8.1256230789298584E-5</v>
      </c>
      <c r="J244" s="4">
        <f t="shared" si="136"/>
        <v>410.779298408182</v>
      </c>
      <c r="K244" s="40">
        <f t="shared" si="137"/>
        <v>5.0553575328069673</v>
      </c>
      <c r="L244" s="40">
        <f t="shared" si="121"/>
        <v>0.94464246719303269</v>
      </c>
      <c r="M244" s="10">
        <f t="shared" si="138"/>
        <v>5.0398486433490595</v>
      </c>
      <c r="N244" s="10">
        <f t="shared" si="110"/>
        <v>8.26</v>
      </c>
      <c r="O244" s="10">
        <f t="shared" si="111"/>
        <v>0.31900000000000001</v>
      </c>
      <c r="P244" s="10">
        <f t="shared" si="139"/>
        <v>13.837295893175167</v>
      </c>
      <c r="Q244" s="42">
        <f t="shared" si="140"/>
        <v>0.10682557801513758</v>
      </c>
      <c r="R244" s="4">
        <f t="shared" si="141"/>
        <v>74768.791126507873</v>
      </c>
      <c r="S244">
        <f t="shared" si="122"/>
        <v>7.4768791126507878E-5</v>
      </c>
      <c r="T244" s="41">
        <f t="shared" si="123"/>
        <v>1.0503558091537596E-4</v>
      </c>
      <c r="U244" s="42">
        <f t="shared" si="142"/>
        <v>0.13417633411607469</v>
      </c>
      <c r="V244" s="42">
        <f t="shared" si="143"/>
        <v>0.45253136977314867</v>
      </c>
      <c r="W244" s="42">
        <f t="shared" si="144"/>
        <v>0.44831355924434024</v>
      </c>
      <c r="X244" s="42">
        <f t="shared" si="145"/>
        <v>4.21781052880843E-3</v>
      </c>
      <c r="Y244" s="42">
        <f t="shared" si="119"/>
        <v>1.6047361353364634E-3</v>
      </c>
      <c r="Z244" s="10">
        <f t="shared" si="146"/>
        <v>15.27802408813592</v>
      </c>
      <c r="AA244">
        <f t="shared" si="124"/>
        <v>5040388.8235877482</v>
      </c>
      <c r="AB244" s="10">
        <f t="shared" si="125"/>
        <v>5.0403888235877483</v>
      </c>
      <c r="AC244" s="10">
        <f t="shared" si="126"/>
        <v>4.9393888235877483</v>
      </c>
      <c r="AD244" s="3">
        <f t="shared" si="127"/>
        <v>716.37256324695409</v>
      </c>
      <c r="AI244" s="94">
        <f t="shared" si="128"/>
        <v>0.44831355924434024</v>
      </c>
    </row>
    <row r="245" spans="2:35">
      <c r="B245" s="39">
        <f t="shared" si="129"/>
        <v>217</v>
      </c>
      <c r="C245" s="42">
        <f t="shared" si="130"/>
        <v>1.4414628297347056</v>
      </c>
      <c r="D245" s="10">
        <f t="shared" si="131"/>
        <v>4.0985371702651019</v>
      </c>
      <c r="E245" s="40">
        <f t="shared" si="132"/>
        <v>22.882925659469795</v>
      </c>
      <c r="F245" s="40">
        <f t="shared" si="133"/>
        <v>31.08</v>
      </c>
      <c r="G245" s="3">
        <f t="shared" si="134"/>
        <v>214.86829736212391</v>
      </c>
      <c r="H245" s="3">
        <f t="shared" si="135"/>
        <v>81.256230789298584</v>
      </c>
      <c r="I245">
        <f t="shared" si="120"/>
        <v>8.1256230789298584E-5</v>
      </c>
      <c r="J245" s="4">
        <f t="shared" si="136"/>
        <v>411.25669470605169</v>
      </c>
      <c r="K245" s="40">
        <f t="shared" si="137"/>
        <v>5.0612327290009373</v>
      </c>
      <c r="L245" s="40">
        <f t="shared" si="121"/>
        <v>0.93876727099906265</v>
      </c>
      <c r="M245" s="10">
        <f t="shared" si="138"/>
        <v>5.0403888235877483</v>
      </c>
      <c r="N245" s="10">
        <f t="shared" si="110"/>
        <v>8.26</v>
      </c>
      <c r="O245" s="10">
        <f t="shared" si="111"/>
        <v>0.31900000000000001</v>
      </c>
      <c r="P245" s="10">
        <f t="shared" si="139"/>
        <v>13.837768986979302</v>
      </c>
      <c r="Q245" s="42">
        <f t="shared" si="140"/>
        <v>0.10730561824832563</v>
      </c>
      <c r="R245" s="4">
        <f t="shared" si="141"/>
        <v>74647.72646140444</v>
      </c>
      <c r="S245">
        <f t="shared" si="122"/>
        <v>7.4647726461404438E-5</v>
      </c>
      <c r="T245" s="41">
        <f t="shared" si="123"/>
        <v>1.051566455804794E-4</v>
      </c>
      <c r="U245" s="42">
        <f t="shared" si="142"/>
        <v>0.13395907752131334</v>
      </c>
      <c r="V245" s="42">
        <f t="shared" si="143"/>
        <v>0.45257997088806756</v>
      </c>
      <c r="W245" s="42">
        <f t="shared" si="144"/>
        <v>0.44836259296513786</v>
      </c>
      <c r="X245" s="42">
        <f t="shared" si="145"/>
        <v>4.2173779229296993E-3</v>
      </c>
      <c r="Y245" s="42">
        <f t="shared" si="119"/>
        <v>1.6067606464180287E-3</v>
      </c>
      <c r="Z245" s="10">
        <f t="shared" si="146"/>
        <v>15.279687151948268</v>
      </c>
      <c r="AA245">
        <f t="shared" si="124"/>
        <v>5040926.4925140589</v>
      </c>
      <c r="AB245" s="10">
        <f t="shared" si="125"/>
        <v>5.0409264925140587</v>
      </c>
      <c r="AC245" s="10">
        <f t="shared" si="126"/>
        <v>4.9399264925140587</v>
      </c>
      <c r="AD245" s="3">
        <f t="shared" si="127"/>
        <v>716.45054278666555</v>
      </c>
      <c r="AI245" s="94">
        <f t="shared" si="128"/>
        <v>0.44836259296513786</v>
      </c>
    </row>
    <row r="246" spans="2:35">
      <c r="B246" s="39">
        <f t="shared" si="129"/>
        <v>218</v>
      </c>
      <c r="C246" s="42">
        <f t="shared" si="130"/>
        <v>1.4481055155860176</v>
      </c>
      <c r="D246" s="10">
        <f t="shared" si="131"/>
        <v>4.091894484413789</v>
      </c>
      <c r="E246" s="40">
        <f t="shared" si="132"/>
        <v>22.89621103117242</v>
      </c>
      <c r="F246" s="40">
        <f t="shared" si="133"/>
        <v>31.08</v>
      </c>
      <c r="G246" s="3">
        <f t="shared" si="134"/>
        <v>214.81515587531342</v>
      </c>
      <c r="H246" s="3">
        <f t="shared" si="135"/>
        <v>81.256230789298584</v>
      </c>
      <c r="I246">
        <f t="shared" si="120"/>
        <v>8.1256230789298584E-5</v>
      </c>
      <c r="J246" s="4">
        <f t="shared" si="136"/>
        <v>411.73436825120302</v>
      </c>
      <c r="K246" s="40">
        <f t="shared" si="137"/>
        <v>5.0671113372074883</v>
      </c>
      <c r="L246" s="40">
        <f t="shared" si="121"/>
        <v>0.9328886627925117</v>
      </c>
      <c r="M246" s="10">
        <f t="shared" si="138"/>
        <v>5.0409264925140587</v>
      </c>
      <c r="N246" s="10">
        <f t="shared" si="110"/>
        <v>8.26</v>
      </c>
      <c r="O246" s="10">
        <f t="shared" si="111"/>
        <v>0.31900000000000001</v>
      </c>
      <c r="P246" s="10">
        <f t="shared" si="139"/>
        <v>13.838239847071526</v>
      </c>
      <c r="Q246" s="42">
        <f t="shared" si="140"/>
        <v>0.10778564214765975</v>
      </c>
      <c r="R246" s="4">
        <f t="shared" si="141"/>
        <v>74526.652978481128</v>
      </c>
      <c r="S246">
        <f t="shared" si="122"/>
        <v>7.4526652978481125E-5</v>
      </c>
      <c r="T246" s="41">
        <f t="shared" si="123"/>
        <v>1.0527771906340271E-4</v>
      </c>
      <c r="U246" s="42">
        <f t="shared" si="142"/>
        <v>0.13374180510253331</v>
      </c>
      <c r="V246" s="42">
        <f t="shared" si="143"/>
        <v>0.45262833596707674</v>
      </c>
      <c r="W246" s="42">
        <f t="shared" si="144"/>
        <v>0.44841139872685598</v>
      </c>
      <c r="X246" s="42">
        <f t="shared" si="145"/>
        <v>4.2169372402207639E-3</v>
      </c>
      <c r="Y246" s="42">
        <f t="shared" si="119"/>
        <v>1.6087848770753267E-3</v>
      </c>
      <c r="Z246" s="10">
        <f t="shared" si="146"/>
        <v>15.281342447269855</v>
      </c>
      <c r="AA246">
        <f t="shared" si="124"/>
        <v>5041461.6498854589</v>
      </c>
      <c r="AB246" s="10">
        <f t="shared" si="125"/>
        <v>5.0414616498854592</v>
      </c>
      <c r="AC246" s="10">
        <f t="shared" si="126"/>
        <v>4.9404616498854592</v>
      </c>
      <c r="AD246" s="3">
        <f t="shared" si="127"/>
        <v>716.52815806895705</v>
      </c>
      <c r="AI246" s="94">
        <f t="shared" si="128"/>
        <v>0.44841139872685598</v>
      </c>
    </row>
    <row r="247" spans="2:35">
      <c r="B247" s="39">
        <f t="shared" si="129"/>
        <v>219</v>
      </c>
      <c r="C247" s="42">
        <f t="shared" si="130"/>
        <v>1.4547482014373296</v>
      </c>
      <c r="D247" s="10">
        <f t="shared" si="131"/>
        <v>4.0852517985624761</v>
      </c>
      <c r="E247" s="40">
        <f t="shared" si="132"/>
        <v>22.909496402875046</v>
      </c>
      <c r="F247" s="40">
        <f t="shared" si="133"/>
        <v>31.08</v>
      </c>
      <c r="G247" s="3">
        <f t="shared" si="134"/>
        <v>214.76201438850293</v>
      </c>
      <c r="H247" s="3">
        <f t="shared" si="135"/>
        <v>81.256230789298584</v>
      </c>
      <c r="I247">
        <f t="shared" si="120"/>
        <v>8.1256230789298584E-5</v>
      </c>
      <c r="J247" s="4">
        <f t="shared" si="136"/>
        <v>412.21231904363589</v>
      </c>
      <c r="K247" s="40">
        <f t="shared" si="137"/>
        <v>5.0729933574266175</v>
      </c>
      <c r="L247" s="40">
        <f t="shared" si="121"/>
        <v>0.9270066425733825</v>
      </c>
      <c r="M247" s="10">
        <f t="shared" si="138"/>
        <v>5.0414616498854592</v>
      </c>
      <c r="N247" s="10">
        <f t="shared" si="110"/>
        <v>8.26</v>
      </c>
      <c r="O247" s="10">
        <f t="shared" si="111"/>
        <v>0.31900000000000001</v>
      </c>
      <c r="P247" s="10">
        <f t="shared" si="139"/>
        <v>13.838708473724866</v>
      </c>
      <c r="Q247" s="42">
        <f t="shared" si="140"/>
        <v>0.10826564979172019</v>
      </c>
      <c r="R247" s="4">
        <f t="shared" si="141"/>
        <v>74405.57072193794</v>
      </c>
      <c r="S247">
        <f t="shared" si="122"/>
        <v>7.4405570721937934E-5</v>
      </c>
      <c r="T247" s="41">
        <f t="shared" si="123"/>
        <v>1.053988013199459E-4</v>
      </c>
      <c r="U247" s="42">
        <f t="shared" si="142"/>
        <v>0.13352451693905371</v>
      </c>
      <c r="V247" s="42">
        <f t="shared" si="143"/>
        <v>0.45267646498612285</v>
      </c>
      <c r="W247" s="42">
        <f t="shared" si="144"/>
        <v>0.44845997650747921</v>
      </c>
      <c r="X247" s="42">
        <f t="shared" si="145"/>
        <v>4.216488478643643E-3</v>
      </c>
      <c r="Y247" s="42">
        <f t="shared" si="119"/>
        <v>1.6108088237761684E-3</v>
      </c>
      <c r="Z247" s="10">
        <f t="shared" si="146"/>
        <v>15.282989973353098</v>
      </c>
      <c r="AA247">
        <f t="shared" si="124"/>
        <v>5041994.295460253</v>
      </c>
      <c r="AB247" s="10">
        <f t="shared" si="125"/>
        <v>5.0419942954602535</v>
      </c>
      <c r="AC247" s="10">
        <f t="shared" si="126"/>
        <v>4.9409942954602535</v>
      </c>
      <c r="AD247" s="3">
        <f t="shared" si="127"/>
        <v>716.60540905877497</v>
      </c>
      <c r="AI247" s="94">
        <f t="shared" si="128"/>
        <v>0.44845997650747921</v>
      </c>
    </row>
    <row r="248" spans="2:35">
      <c r="B248" s="39">
        <f t="shared" si="129"/>
        <v>220</v>
      </c>
      <c r="C248" s="42">
        <f t="shared" si="130"/>
        <v>1.4613908872886416</v>
      </c>
      <c r="D248" s="10">
        <f t="shared" si="131"/>
        <v>4.0786091127111632</v>
      </c>
      <c r="E248" s="40">
        <f t="shared" si="132"/>
        <v>22.922781774577672</v>
      </c>
      <c r="F248" s="40">
        <f t="shared" si="133"/>
        <v>31.08</v>
      </c>
      <c r="G248" s="3">
        <f t="shared" si="134"/>
        <v>214.70887290169244</v>
      </c>
      <c r="H248" s="3">
        <f t="shared" si="135"/>
        <v>81.256230789298584</v>
      </c>
      <c r="I248">
        <f t="shared" si="120"/>
        <v>8.1256230789298584E-5</v>
      </c>
      <c r="J248" s="4">
        <f t="shared" si="136"/>
        <v>412.69054708335034</v>
      </c>
      <c r="K248" s="40">
        <f t="shared" si="137"/>
        <v>5.078878789658325</v>
      </c>
      <c r="L248" s="40">
        <f t="shared" si="121"/>
        <v>0.92112121034167505</v>
      </c>
      <c r="M248" s="10">
        <f t="shared" si="138"/>
        <v>5.0419942954602535</v>
      </c>
      <c r="N248" s="10">
        <f t="shared" si="110"/>
        <v>8.26</v>
      </c>
      <c r="O248" s="10">
        <f t="shared" si="111"/>
        <v>0.31900000000000001</v>
      </c>
      <c r="P248" s="10">
        <f t="shared" si="139"/>
        <v>13.839174867210721</v>
      </c>
      <c r="Q248" s="42">
        <f t="shared" si="140"/>
        <v>0.10874564125906198</v>
      </c>
      <c r="R248" s="4">
        <f t="shared" si="141"/>
        <v>74284.479735974877</v>
      </c>
      <c r="S248">
        <f t="shared" si="122"/>
        <v>7.4284479735974872E-5</v>
      </c>
      <c r="T248" s="41">
        <f t="shared" si="123"/>
        <v>1.0551989230590896E-4</v>
      </c>
      <c r="U248" s="42">
        <f t="shared" si="142"/>
        <v>0.1333072131101937</v>
      </c>
      <c r="V248" s="42">
        <f t="shared" si="143"/>
        <v>0.45272435792129212</v>
      </c>
      <c r="W248" s="42">
        <f t="shared" si="144"/>
        <v>0.44850832628506832</v>
      </c>
      <c r="X248" s="42">
        <f t="shared" si="145"/>
        <v>4.2160316362238048E-3</v>
      </c>
      <c r="Y248" s="42">
        <f t="shared" si="119"/>
        <v>1.6128324829875989E-3</v>
      </c>
      <c r="Z248" s="10">
        <f t="shared" si="146"/>
        <v>15.284629729453227</v>
      </c>
      <c r="AA248">
        <f t="shared" si="124"/>
        <v>5042524.4289976563</v>
      </c>
      <c r="AB248" s="10">
        <f t="shared" si="125"/>
        <v>5.0425244289976563</v>
      </c>
      <c r="AC248" s="10">
        <f t="shared" si="126"/>
        <v>4.9415244289976563</v>
      </c>
      <c r="AD248" s="3">
        <f t="shared" si="127"/>
        <v>716.68229572119742</v>
      </c>
      <c r="AI248" s="94">
        <f t="shared" si="128"/>
        <v>0.44850832628506832</v>
      </c>
    </row>
    <row r="249" spans="2:35">
      <c r="B249" s="39">
        <f t="shared" si="129"/>
        <v>221</v>
      </c>
      <c r="C249" s="42">
        <f t="shared" si="130"/>
        <v>1.4680335731399536</v>
      </c>
      <c r="D249" s="10">
        <f t="shared" si="131"/>
        <v>4.0719664268598503</v>
      </c>
      <c r="E249" s="40">
        <f t="shared" si="132"/>
        <v>22.936067146280298</v>
      </c>
      <c r="F249" s="40">
        <f t="shared" si="133"/>
        <v>31.08</v>
      </c>
      <c r="G249" s="3">
        <f t="shared" si="134"/>
        <v>214.65573141488196</v>
      </c>
      <c r="H249" s="3">
        <f t="shared" si="135"/>
        <v>81.256230789298584</v>
      </c>
      <c r="I249">
        <f t="shared" si="120"/>
        <v>8.1256230789298584E-5</v>
      </c>
      <c r="J249" s="4">
        <f t="shared" si="136"/>
        <v>413.16905237034632</v>
      </c>
      <c r="K249" s="40">
        <f t="shared" si="137"/>
        <v>5.0847676339026115</v>
      </c>
      <c r="L249" s="40">
        <f t="shared" si="121"/>
        <v>0.91523236609738845</v>
      </c>
      <c r="M249" s="10">
        <f t="shared" si="138"/>
        <v>5.0425244289976563</v>
      </c>
      <c r="N249" s="10">
        <f t="shared" si="110"/>
        <v>8.26</v>
      </c>
      <c r="O249" s="10">
        <f t="shared" si="111"/>
        <v>0.31900000000000001</v>
      </c>
      <c r="P249" s="10">
        <f t="shared" si="139"/>
        <v>13.839639027798951</v>
      </c>
      <c r="Q249" s="42">
        <f t="shared" si="140"/>
        <v>0.10922561662821498</v>
      </c>
      <c r="R249" s="4">
        <f t="shared" si="141"/>
        <v>74163.380064791942</v>
      </c>
      <c r="S249">
        <f t="shared" si="122"/>
        <v>7.4163380064791936E-5</v>
      </c>
      <c r="T249" s="41">
        <f t="shared" si="123"/>
        <v>1.056409919770919E-4</v>
      </c>
      <c r="U249" s="42">
        <f t="shared" si="142"/>
        <v>0.13308989369527235</v>
      </c>
      <c r="V249" s="42">
        <f t="shared" si="143"/>
        <v>0.45277201474909379</v>
      </c>
      <c r="W249" s="42">
        <f t="shared" si="144"/>
        <v>0.44855644803776629</v>
      </c>
      <c r="X249" s="42">
        <f t="shared" si="145"/>
        <v>4.2155667113275008E-3</v>
      </c>
      <c r="Y249" s="42">
        <f t="shared" si="119"/>
        <v>1.6148558511760575E-3</v>
      </c>
      <c r="Z249" s="10">
        <f t="shared" si="146"/>
        <v>15.286261714829758</v>
      </c>
      <c r="AA249">
        <f t="shared" si="124"/>
        <v>5043052.0502582714</v>
      </c>
      <c r="AB249" s="10">
        <f t="shared" si="125"/>
        <v>5.0430520502582716</v>
      </c>
      <c r="AC249" s="10">
        <f t="shared" si="126"/>
        <v>4.9420520502582717</v>
      </c>
      <c r="AD249" s="3">
        <f t="shared" si="127"/>
        <v>716.75881802150423</v>
      </c>
      <c r="AI249" s="94">
        <f t="shared" si="128"/>
        <v>0.44855644803776629</v>
      </c>
    </row>
    <row r="250" spans="2:35">
      <c r="B250" s="39">
        <f t="shared" si="129"/>
        <v>222</v>
      </c>
      <c r="C250" s="42">
        <f t="shared" si="130"/>
        <v>1.4746762589912656</v>
      </c>
      <c r="D250" s="10">
        <f t="shared" si="131"/>
        <v>4.0653237410085374</v>
      </c>
      <c r="E250" s="40">
        <f t="shared" si="132"/>
        <v>22.949352517982923</v>
      </c>
      <c r="F250" s="40">
        <f t="shared" si="133"/>
        <v>31.08</v>
      </c>
      <c r="G250" s="3">
        <f t="shared" si="134"/>
        <v>214.60258992807147</v>
      </c>
      <c r="H250" s="3">
        <f t="shared" si="135"/>
        <v>81.256230789298584</v>
      </c>
      <c r="I250">
        <f t="shared" si="120"/>
        <v>8.1256230789298584E-5</v>
      </c>
      <c r="J250" s="4">
        <f t="shared" si="136"/>
        <v>413.64783490462401</v>
      </c>
      <c r="K250" s="40">
        <f t="shared" si="137"/>
        <v>5.0906598901594791</v>
      </c>
      <c r="L250" s="40">
        <f t="shared" si="121"/>
        <v>0.90934010984052094</v>
      </c>
      <c r="M250" s="10">
        <f t="shared" si="138"/>
        <v>5.0430520502582716</v>
      </c>
      <c r="N250" s="10">
        <f t="shared" si="110"/>
        <v>8.26</v>
      </c>
      <c r="O250" s="10">
        <f t="shared" si="111"/>
        <v>0.31900000000000001</v>
      </c>
      <c r="P250" s="10">
        <f t="shared" si="139"/>
        <v>13.840100955758276</v>
      </c>
      <c r="Q250" s="42">
        <f t="shared" si="140"/>
        <v>0.10970557597768404</v>
      </c>
      <c r="R250" s="4">
        <f t="shared" si="141"/>
        <v>74042.271752589091</v>
      </c>
      <c r="S250">
        <f t="shared" si="122"/>
        <v>7.4042271752589094E-5</v>
      </c>
      <c r="T250" s="41">
        <f t="shared" si="123"/>
        <v>1.0576210028929474E-4</v>
      </c>
      <c r="U250" s="42">
        <f t="shared" si="142"/>
        <v>0.13287255877360873</v>
      </c>
      <c r="V250" s="42">
        <f t="shared" si="143"/>
        <v>0.45281943544601616</v>
      </c>
      <c r="W250" s="42">
        <f t="shared" si="144"/>
        <v>0.44860434174384245</v>
      </c>
      <c r="X250" s="42">
        <f t="shared" si="145"/>
        <v>4.2150937021737112E-3</v>
      </c>
      <c r="Y250" s="42">
        <f t="shared" si="119"/>
        <v>1.6168789248073038E-3</v>
      </c>
      <c r="Z250" s="10">
        <f t="shared" si="146"/>
        <v>15.28788592874573</v>
      </c>
      <c r="AA250">
        <f t="shared" si="124"/>
        <v>5043577.1590038389</v>
      </c>
      <c r="AB250" s="10">
        <f t="shared" si="125"/>
        <v>5.0435771590038385</v>
      </c>
      <c r="AC250" s="10">
        <f t="shared" si="126"/>
        <v>4.9425771590038385</v>
      </c>
      <c r="AD250" s="3">
        <f t="shared" si="127"/>
        <v>716.83497592513982</v>
      </c>
      <c r="AI250" s="94">
        <f t="shared" si="128"/>
        <v>0.44860434174384245</v>
      </c>
    </row>
    <row r="251" spans="2:35">
      <c r="B251" s="39">
        <f t="shared" si="129"/>
        <v>223</v>
      </c>
      <c r="C251" s="42">
        <f t="shared" si="130"/>
        <v>1.4813189448425776</v>
      </c>
      <c r="D251" s="10">
        <f t="shared" si="131"/>
        <v>4.0586810551572245</v>
      </c>
      <c r="E251" s="40">
        <f t="shared" si="132"/>
        <v>22.962637889685549</v>
      </c>
      <c r="F251" s="40">
        <f t="shared" si="133"/>
        <v>31.08</v>
      </c>
      <c r="G251" s="3">
        <f t="shared" si="134"/>
        <v>214.54944844126098</v>
      </c>
      <c r="H251" s="3">
        <f t="shared" si="135"/>
        <v>81.256230789298584</v>
      </c>
      <c r="I251">
        <f t="shared" si="120"/>
        <v>8.1256230789298584E-5</v>
      </c>
      <c r="J251" s="4">
        <f t="shared" si="136"/>
        <v>414.12689468618305</v>
      </c>
      <c r="K251" s="40">
        <f t="shared" si="137"/>
        <v>5.0965555584289222</v>
      </c>
      <c r="L251" s="40">
        <f t="shared" si="121"/>
        <v>0.90344444157107784</v>
      </c>
      <c r="M251" s="10">
        <f t="shared" si="138"/>
        <v>5.0435771590038385</v>
      </c>
      <c r="N251" s="10">
        <f t="shared" si="110"/>
        <v>8.26</v>
      </c>
      <c r="O251" s="10">
        <f t="shared" si="111"/>
        <v>0.31900000000000001</v>
      </c>
      <c r="P251" s="10">
        <f t="shared" si="139"/>
        <v>13.840560651356064</v>
      </c>
      <c r="Q251" s="42">
        <f t="shared" si="140"/>
        <v>0.11018551938594917</v>
      </c>
      <c r="R251" s="4">
        <f t="shared" si="141"/>
        <v>73921.154843566401</v>
      </c>
      <c r="S251">
        <f t="shared" si="122"/>
        <v>7.3921154843566394E-5</v>
      </c>
      <c r="T251" s="41">
        <f t="shared" si="123"/>
        <v>1.0588321719831744E-4</v>
      </c>
      <c r="U251" s="42">
        <f t="shared" si="142"/>
        <v>0.13265520842452208</v>
      </c>
      <c r="V251" s="42">
        <f t="shared" si="143"/>
        <v>0.45286661998821853</v>
      </c>
      <c r="W251" s="42">
        <f t="shared" si="144"/>
        <v>0.44865200738166938</v>
      </c>
      <c r="X251" s="42">
        <f t="shared" si="145"/>
        <v>4.2146126065491507E-3</v>
      </c>
      <c r="Y251" s="42">
        <f t="shared" si="119"/>
        <v>1.6189017003462082E-3</v>
      </c>
      <c r="Z251" s="10">
        <f t="shared" si="146"/>
        <v>15.289502370465691</v>
      </c>
      <c r="AA251">
        <f t="shared" si="124"/>
        <v>5044099.7549965866</v>
      </c>
      <c r="AB251" s="10">
        <f t="shared" si="125"/>
        <v>5.0440997549965862</v>
      </c>
      <c r="AC251" s="10">
        <f t="shared" si="126"/>
        <v>4.9430997549965863</v>
      </c>
      <c r="AD251" s="3">
        <f t="shared" si="127"/>
        <v>716.91076939761956</v>
      </c>
      <c r="AI251" s="94">
        <f t="shared" si="128"/>
        <v>0.44865200738166938</v>
      </c>
    </row>
    <row r="252" spans="2:35">
      <c r="B252" s="39">
        <f t="shared" si="129"/>
        <v>224</v>
      </c>
      <c r="C252" s="42">
        <f t="shared" si="130"/>
        <v>1.4879616306938896</v>
      </c>
      <c r="D252" s="10">
        <f t="shared" si="131"/>
        <v>4.0520383693059117</v>
      </c>
      <c r="E252" s="40">
        <f t="shared" si="132"/>
        <v>22.975923261388175</v>
      </c>
      <c r="F252" s="40">
        <f t="shared" si="133"/>
        <v>31.08</v>
      </c>
      <c r="G252" s="3">
        <f t="shared" si="134"/>
        <v>214.49630695445049</v>
      </c>
      <c r="H252" s="3">
        <f t="shared" si="135"/>
        <v>81.256230789298584</v>
      </c>
      <c r="I252">
        <f t="shared" si="120"/>
        <v>8.1256230789298584E-5</v>
      </c>
      <c r="J252" s="4">
        <f t="shared" si="136"/>
        <v>414.60623171502374</v>
      </c>
      <c r="K252" s="40">
        <f t="shared" si="137"/>
        <v>5.1024546387109462</v>
      </c>
      <c r="L252" s="40">
        <f t="shared" si="121"/>
        <v>0.89754536128905382</v>
      </c>
      <c r="M252" s="10">
        <f t="shared" si="138"/>
        <v>5.0440997549965862</v>
      </c>
      <c r="N252" s="10">
        <f t="shared" si="110"/>
        <v>8.26</v>
      </c>
      <c r="O252" s="10">
        <f t="shared" si="111"/>
        <v>0.31900000000000001</v>
      </c>
      <c r="P252" s="10">
        <f t="shared" si="139"/>
        <v>13.841018114857768</v>
      </c>
      <c r="Q252" s="42">
        <f t="shared" si="140"/>
        <v>0.1106654469314656</v>
      </c>
      <c r="R252" s="4">
        <f t="shared" si="141"/>
        <v>73800.029381923829</v>
      </c>
      <c r="S252">
        <f t="shared" si="122"/>
        <v>7.3800029381923833E-5</v>
      </c>
      <c r="T252" s="41">
        <f t="shared" si="123"/>
        <v>1.0600434265996E-4</v>
      </c>
      <c r="U252" s="42">
        <f t="shared" si="142"/>
        <v>0.13243784272733139</v>
      </c>
      <c r="V252" s="42">
        <f t="shared" si="143"/>
        <v>0.45291356835289304</v>
      </c>
      <c r="W252" s="42">
        <f t="shared" si="144"/>
        <v>0.44869944492966374</v>
      </c>
      <c r="X252" s="42">
        <f t="shared" si="145"/>
        <v>4.214123423229299E-3</v>
      </c>
      <c r="Y252" s="42">
        <f t="shared" si="119"/>
        <v>1.6209241742572219E-3</v>
      </c>
      <c r="Z252" s="10">
        <f t="shared" si="146"/>
        <v>15.291111039260073</v>
      </c>
      <c r="AA252">
        <f t="shared" si="124"/>
        <v>5044619.838000644</v>
      </c>
      <c r="AB252" s="10">
        <f t="shared" si="125"/>
        <v>5.044619838000644</v>
      </c>
      <c r="AC252" s="10">
        <f t="shared" si="126"/>
        <v>4.943619838000644</v>
      </c>
      <c r="AD252" s="3">
        <f t="shared" si="127"/>
        <v>716.98619840473441</v>
      </c>
      <c r="AI252" s="94">
        <f t="shared" si="128"/>
        <v>0.44869944492966374</v>
      </c>
    </row>
    <row r="253" spans="2:35">
      <c r="B253" s="39">
        <f t="shared" si="129"/>
        <v>225</v>
      </c>
      <c r="C253" s="42">
        <f t="shared" si="130"/>
        <v>1.4946043165452016</v>
      </c>
      <c r="D253" s="10">
        <f t="shared" si="131"/>
        <v>4.0453956834545988</v>
      </c>
      <c r="E253" s="40">
        <f t="shared" si="132"/>
        <v>22.989208633090801</v>
      </c>
      <c r="F253" s="40">
        <f t="shared" si="133"/>
        <v>31.08</v>
      </c>
      <c r="G253" s="3">
        <f t="shared" si="134"/>
        <v>214.44316546764</v>
      </c>
      <c r="H253" s="3">
        <f t="shared" si="135"/>
        <v>81.256230789298584</v>
      </c>
      <c r="I253">
        <f t="shared" si="120"/>
        <v>8.1256230789298584E-5</v>
      </c>
      <c r="J253" s="4">
        <f t="shared" si="136"/>
        <v>415.08584599114596</v>
      </c>
      <c r="K253" s="40">
        <f t="shared" si="137"/>
        <v>5.1083571310055476</v>
      </c>
      <c r="L253" s="40">
        <f t="shared" si="121"/>
        <v>0.89164286899445244</v>
      </c>
      <c r="M253" s="10">
        <f t="shared" si="138"/>
        <v>5.044619838000644</v>
      </c>
      <c r="N253" s="10">
        <f t="shared" si="110"/>
        <v>8.26</v>
      </c>
      <c r="O253" s="10">
        <f t="shared" si="111"/>
        <v>0.31900000000000001</v>
      </c>
      <c r="P253" s="10">
        <f t="shared" si="139"/>
        <v>13.84147334652816</v>
      </c>
      <c r="Q253" s="42">
        <f t="shared" si="140"/>
        <v>0.11114535869266393</v>
      </c>
      <c r="R253" s="4">
        <f t="shared" si="141"/>
        <v>73678.895411861362</v>
      </c>
      <c r="S253">
        <f t="shared" si="122"/>
        <v>7.3678895411861365E-5</v>
      </c>
      <c r="T253" s="41">
        <f t="shared" si="123"/>
        <v>1.0612547663002247E-4</v>
      </c>
      <c r="U253" s="42">
        <f t="shared" si="142"/>
        <v>0.1322204617613558</v>
      </c>
      <c r="V253" s="42">
        <f t="shared" si="143"/>
        <v>0.45296028051656867</v>
      </c>
      <c r="W253" s="42">
        <f t="shared" si="144"/>
        <v>0.44874665436641481</v>
      </c>
      <c r="X253" s="42">
        <f t="shared" si="145"/>
        <v>4.2136261501538597E-3</v>
      </c>
      <c r="Y253" s="42">
        <f t="shared" si="119"/>
        <v>1.6229463430039734E-3</v>
      </c>
      <c r="Z253" s="10">
        <f t="shared" si="146"/>
        <v>15.292711934401325</v>
      </c>
      <c r="AA253">
        <f t="shared" si="124"/>
        <v>5045137.4077807954</v>
      </c>
      <c r="AB253" s="10">
        <f t="shared" si="125"/>
        <v>5.0451374077807953</v>
      </c>
      <c r="AC253" s="10">
        <f t="shared" si="126"/>
        <v>4.9441374077807954</v>
      </c>
      <c r="AD253" s="3">
        <f t="shared" si="127"/>
        <v>717.06126291237058</v>
      </c>
      <c r="AI253" s="94">
        <f t="shared" si="128"/>
        <v>0.44874665436641481</v>
      </c>
    </row>
    <row r="254" spans="2:35">
      <c r="B254" s="39">
        <f t="shared" si="129"/>
        <v>226</v>
      </c>
      <c r="C254" s="42">
        <f t="shared" si="130"/>
        <v>1.5012470023965137</v>
      </c>
      <c r="D254" s="10">
        <f t="shared" si="131"/>
        <v>4.0387529976032859</v>
      </c>
      <c r="E254" s="40">
        <f t="shared" si="132"/>
        <v>23.002494004793427</v>
      </c>
      <c r="F254" s="40">
        <f t="shared" si="133"/>
        <v>31.08</v>
      </c>
      <c r="G254" s="3">
        <f t="shared" si="134"/>
        <v>214.39002398082951</v>
      </c>
      <c r="H254" s="3">
        <f t="shared" si="135"/>
        <v>81.256230789298584</v>
      </c>
      <c r="I254">
        <f t="shared" si="120"/>
        <v>8.1256230789298584E-5</v>
      </c>
      <c r="J254" s="4">
        <f t="shared" si="136"/>
        <v>415.56573751454982</v>
      </c>
      <c r="K254" s="40">
        <f t="shared" si="137"/>
        <v>5.114263035312729</v>
      </c>
      <c r="L254" s="40">
        <f t="shared" si="121"/>
        <v>0.88573696468727103</v>
      </c>
      <c r="M254" s="10">
        <f t="shared" si="138"/>
        <v>5.0451374077807953</v>
      </c>
      <c r="N254" s="10">
        <f t="shared" si="110"/>
        <v>8.26</v>
      </c>
      <c r="O254" s="10">
        <f t="shared" si="111"/>
        <v>0.31900000000000001</v>
      </c>
      <c r="P254" s="10">
        <f t="shared" si="139"/>
        <v>13.841926346630236</v>
      </c>
      <c r="Q254" s="42">
        <f t="shared" si="140"/>
        <v>0.11162525474795028</v>
      </c>
      <c r="R254" s="4">
        <f t="shared" si="141"/>
        <v>73557.752977579003</v>
      </c>
      <c r="S254">
        <f t="shared" si="122"/>
        <v>7.3557752977578998E-5</v>
      </c>
      <c r="T254" s="41">
        <f t="shared" si="123"/>
        <v>1.0624661906430484E-4</v>
      </c>
      <c r="U254" s="42">
        <f t="shared" si="142"/>
        <v>0.1320030656059144</v>
      </c>
      <c r="V254" s="42">
        <f t="shared" si="143"/>
        <v>0.45300675645618926</v>
      </c>
      <c r="W254" s="42">
        <f t="shared" si="144"/>
        <v>0.44879363567057146</v>
      </c>
      <c r="X254" s="42">
        <f t="shared" si="145"/>
        <v>4.2131207856178077E-3</v>
      </c>
      <c r="Y254" s="42">
        <f t="shared" si="119"/>
        <v>1.6249682030494363E-3</v>
      </c>
      <c r="Z254" s="10">
        <f t="shared" si="146"/>
        <v>15.294305055165459</v>
      </c>
      <c r="AA254">
        <f t="shared" si="124"/>
        <v>5045652.4641029732</v>
      </c>
      <c r="AB254" s="10">
        <f t="shared" si="125"/>
        <v>5.0456524641029734</v>
      </c>
      <c r="AC254" s="10">
        <f t="shared" si="126"/>
        <v>4.9446524641029734</v>
      </c>
      <c r="AD254" s="3">
        <f t="shared" si="127"/>
        <v>717.13596288658061</v>
      </c>
      <c r="AI254" s="94">
        <f t="shared" si="128"/>
        <v>0.44879363567057146</v>
      </c>
    </row>
    <row r="255" spans="2:35">
      <c r="B255" s="39">
        <f t="shared" si="129"/>
        <v>227</v>
      </c>
      <c r="C255" s="42">
        <f t="shared" si="130"/>
        <v>1.5078896882478257</v>
      </c>
      <c r="D255" s="10">
        <f t="shared" si="131"/>
        <v>4.032110311751973</v>
      </c>
      <c r="E255" s="40">
        <f t="shared" si="132"/>
        <v>23.015779376496052</v>
      </c>
      <c r="F255" s="40">
        <f t="shared" si="133"/>
        <v>31.08</v>
      </c>
      <c r="G255" s="3">
        <f t="shared" si="134"/>
        <v>214.33688249401902</v>
      </c>
      <c r="H255" s="3">
        <f t="shared" si="135"/>
        <v>81.256230789298584</v>
      </c>
      <c r="I255">
        <f t="shared" si="120"/>
        <v>8.1256230789298584E-5</v>
      </c>
      <c r="J255" s="4">
        <f t="shared" si="136"/>
        <v>416.04590628523522</v>
      </c>
      <c r="K255" s="40">
        <f t="shared" si="137"/>
        <v>5.1201723516324895</v>
      </c>
      <c r="L255" s="40">
        <f t="shared" si="121"/>
        <v>0.87982764836751048</v>
      </c>
      <c r="M255" s="10">
        <f t="shared" si="138"/>
        <v>5.0456524641029734</v>
      </c>
      <c r="N255" s="10">
        <f t="shared" si="110"/>
        <v>8.26</v>
      </c>
      <c r="O255" s="10">
        <f t="shared" si="111"/>
        <v>0.31900000000000001</v>
      </c>
      <c r="P255" s="10">
        <f t="shared" si="139"/>
        <v>13.842377115425665</v>
      </c>
      <c r="Q255" s="42">
        <f t="shared" si="140"/>
        <v>0.1121051351757064</v>
      </c>
      <c r="R255" s="4">
        <f t="shared" si="141"/>
        <v>73436.602123276767</v>
      </c>
      <c r="S255">
        <f t="shared" si="122"/>
        <v>7.3436602123276768E-5</v>
      </c>
      <c r="T255" s="41">
        <f t="shared" si="123"/>
        <v>1.0636776991860707E-4</v>
      </c>
      <c r="U255" s="42">
        <f t="shared" si="142"/>
        <v>0.13178565434032632</v>
      </c>
      <c r="V255" s="42">
        <f t="shared" si="143"/>
        <v>0.45305299614880035</v>
      </c>
      <c r="W255" s="42">
        <f t="shared" si="144"/>
        <v>0.44884038882088673</v>
      </c>
      <c r="X255" s="42">
        <f t="shared" si="145"/>
        <v>4.21260732791362E-3</v>
      </c>
      <c r="Y255" s="42">
        <f t="shared" si="119"/>
        <v>1.626989750855924E-3</v>
      </c>
      <c r="Z255" s="10">
        <f t="shared" si="146"/>
        <v>15.295890400831958</v>
      </c>
      <c r="AA255">
        <f t="shared" si="124"/>
        <v>5046165.0067342361</v>
      </c>
      <c r="AB255" s="10">
        <f t="shared" si="125"/>
        <v>5.0461650067342365</v>
      </c>
      <c r="AC255" s="10">
        <f t="shared" si="126"/>
        <v>4.9451650067342365</v>
      </c>
      <c r="AD255" s="3">
        <f t="shared" si="127"/>
        <v>717.21029829358031</v>
      </c>
      <c r="AI255" s="94">
        <f t="shared" si="128"/>
        <v>0.44884038882088673</v>
      </c>
    </row>
    <row r="256" spans="2:35">
      <c r="B256" s="39">
        <f t="shared" si="129"/>
        <v>228</v>
      </c>
      <c r="C256" s="42">
        <f t="shared" si="130"/>
        <v>1.5145323740991377</v>
      </c>
      <c r="D256" s="10">
        <f t="shared" si="131"/>
        <v>4.0254676259006601</v>
      </c>
      <c r="E256" s="40">
        <f t="shared" si="132"/>
        <v>23.029064748198678</v>
      </c>
      <c r="F256" s="40">
        <f t="shared" si="133"/>
        <v>31.08</v>
      </c>
      <c r="G256" s="3">
        <f t="shared" si="134"/>
        <v>214.28374100720853</v>
      </c>
      <c r="H256" s="3">
        <f t="shared" si="135"/>
        <v>81.256230789298584</v>
      </c>
      <c r="I256">
        <f t="shared" si="120"/>
        <v>8.1256230789298584E-5</v>
      </c>
      <c r="J256" s="4">
        <f t="shared" si="136"/>
        <v>416.52635230320209</v>
      </c>
      <c r="K256" s="40">
        <f t="shared" si="137"/>
        <v>5.1260850799648274</v>
      </c>
      <c r="L256" s="40">
        <f t="shared" si="121"/>
        <v>0.87391492003517257</v>
      </c>
      <c r="M256" s="10">
        <f t="shared" si="138"/>
        <v>5.0461650067342365</v>
      </c>
      <c r="N256" s="10">
        <f t="shared" si="110"/>
        <v>8.26</v>
      </c>
      <c r="O256" s="10">
        <f t="shared" si="111"/>
        <v>0.31900000000000001</v>
      </c>
      <c r="P256" s="10">
        <f t="shared" si="139"/>
        <v>13.842825653174748</v>
      </c>
      <c r="Q256" s="42">
        <f t="shared" si="140"/>
        <v>0.11258500005428981</v>
      </c>
      <c r="R256" s="4">
        <f t="shared" si="141"/>
        <v>73315.442893154657</v>
      </c>
      <c r="S256">
        <f t="shared" si="122"/>
        <v>7.3315442893154658E-5</v>
      </c>
      <c r="T256" s="41">
        <f t="shared" si="123"/>
        <v>1.0648892914872918E-4</v>
      </c>
      <c r="U256" s="42">
        <f t="shared" si="142"/>
        <v>0.13156822804391066</v>
      </c>
      <c r="V256" s="42">
        <f t="shared" si="143"/>
        <v>0.45309899957154126</v>
      </c>
      <c r="W256" s="42">
        <f t="shared" si="144"/>
        <v>0.44888691379621581</v>
      </c>
      <c r="X256" s="42">
        <f t="shared" si="145"/>
        <v>4.212085775325447E-3</v>
      </c>
      <c r="Y256" s="42">
        <f t="shared" si="119"/>
        <v>1.6290109828850834E-3</v>
      </c>
      <c r="Z256" s="10">
        <f t="shared" si="146"/>
        <v>15.297467970683634</v>
      </c>
      <c r="AA256">
        <f t="shared" si="124"/>
        <v>5046675.0354427164</v>
      </c>
      <c r="AB256" s="10">
        <f t="shared" si="125"/>
        <v>5.0466750354427168</v>
      </c>
      <c r="AC256" s="10">
        <f t="shared" si="126"/>
        <v>4.9456750354427168</v>
      </c>
      <c r="AD256" s="3">
        <f t="shared" si="127"/>
        <v>717.28426909974132</v>
      </c>
      <c r="AI256" s="94">
        <f t="shared" si="128"/>
        <v>0.44888691379621581</v>
      </c>
    </row>
    <row r="257" spans="2:35">
      <c r="B257" s="39">
        <f t="shared" si="129"/>
        <v>229</v>
      </c>
      <c r="C257" s="42">
        <f t="shared" si="130"/>
        <v>1.5211750599504497</v>
      </c>
      <c r="D257" s="10">
        <f t="shared" si="131"/>
        <v>4.0188249400493472</v>
      </c>
      <c r="E257" s="40">
        <f t="shared" si="132"/>
        <v>23.042350119901304</v>
      </c>
      <c r="F257" s="40">
        <f t="shared" si="133"/>
        <v>31.08</v>
      </c>
      <c r="G257" s="3">
        <f t="shared" si="134"/>
        <v>214.23059952039804</v>
      </c>
      <c r="H257" s="3">
        <f t="shared" si="135"/>
        <v>81.256230789298584</v>
      </c>
      <c r="I257">
        <f t="shared" si="120"/>
        <v>8.1256230789298584E-5</v>
      </c>
      <c r="J257" s="4">
        <f t="shared" si="136"/>
        <v>417.0070755684506</v>
      </c>
      <c r="K257" s="40">
        <f t="shared" si="137"/>
        <v>5.1320012203097454</v>
      </c>
      <c r="L257" s="40">
        <f t="shared" si="121"/>
        <v>0.86799877969025463</v>
      </c>
      <c r="M257" s="10">
        <f t="shared" si="138"/>
        <v>5.0466750354427168</v>
      </c>
      <c r="N257" s="10">
        <f t="shared" si="110"/>
        <v>8.26</v>
      </c>
      <c r="O257" s="10">
        <f t="shared" si="111"/>
        <v>0.31900000000000001</v>
      </c>
      <c r="P257" s="10">
        <f t="shared" si="139"/>
        <v>13.843271960136391</v>
      </c>
      <c r="Q257" s="42">
        <f t="shared" si="140"/>
        <v>0.11306484946203392</v>
      </c>
      <c r="R257" s="4">
        <f t="shared" si="141"/>
        <v>73194.275331412631</v>
      </c>
      <c r="S257">
        <f t="shared" si="122"/>
        <v>7.3194275331412635E-5</v>
      </c>
      <c r="T257" s="41">
        <f t="shared" si="123"/>
        <v>1.066100967104712E-4</v>
      </c>
      <c r="U257" s="42">
        <f t="shared" si="142"/>
        <v>0.13135078679598652</v>
      </c>
      <c r="V257" s="42">
        <f t="shared" si="143"/>
        <v>0.45314476670167114</v>
      </c>
      <c r="W257" s="42">
        <f t="shared" si="144"/>
        <v>0.44893321057551139</v>
      </c>
      <c r="X257" s="42">
        <f t="shared" si="145"/>
        <v>4.2115561261597545E-3</v>
      </c>
      <c r="Y257" s="42">
        <f t="shared" si="119"/>
        <v>1.6310318955979023E-3</v>
      </c>
      <c r="Z257" s="10">
        <f t="shared" si="146"/>
        <v>15.299037764006671</v>
      </c>
      <c r="AA257">
        <f t="shared" si="124"/>
        <v>5047182.549997637</v>
      </c>
      <c r="AB257" s="10">
        <f t="shared" si="125"/>
        <v>5.047182549997637</v>
      </c>
      <c r="AC257" s="10">
        <f t="shared" si="126"/>
        <v>4.9461825499976371</v>
      </c>
      <c r="AD257" s="3">
        <f t="shared" si="127"/>
        <v>717.35787527159346</v>
      </c>
      <c r="AI257" s="94">
        <f t="shared" si="128"/>
        <v>0.44893321057551139</v>
      </c>
    </row>
    <row r="258" spans="2:35">
      <c r="B258" s="39">
        <f t="shared" si="129"/>
        <v>230</v>
      </c>
      <c r="C258" s="42">
        <f t="shared" si="130"/>
        <v>1.5278177458017617</v>
      </c>
      <c r="D258" s="10">
        <f t="shared" si="131"/>
        <v>4.0121822541980343</v>
      </c>
      <c r="E258" s="40">
        <f t="shared" si="132"/>
        <v>23.05563549160393</v>
      </c>
      <c r="F258" s="40">
        <f t="shared" si="133"/>
        <v>31.08</v>
      </c>
      <c r="G258" s="3">
        <f t="shared" si="134"/>
        <v>214.17745803358756</v>
      </c>
      <c r="H258" s="3">
        <f t="shared" si="135"/>
        <v>81.256230789298584</v>
      </c>
      <c r="I258">
        <f t="shared" si="120"/>
        <v>8.1256230789298584E-5</v>
      </c>
      <c r="J258" s="4">
        <f t="shared" si="136"/>
        <v>417.48807608098065</v>
      </c>
      <c r="K258" s="40">
        <f t="shared" si="137"/>
        <v>5.1379207726672407</v>
      </c>
      <c r="L258" s="40">
        <f t="shared" si="121"/>
        <v>0.86207922733275932</v>
      </c>
      <c r="M258" s="10">
        <f t="shared" si="138"/>
        <v>5.047182549997637</v>
      </c>
      <c r="N258" s="10">
        <f t="shared" si="110"/>
        <v>8.26</v>
      </c>
      <c r="O258" s="10">
        <f t="shared" si="111"/>
        <v>0.31900000000000001</v>
      </c>
      <c r="P258" s="10">
        <f t="shared" si="139"/>
        <v>13.843716036568116</v>
      </c>
      <c r="Q258" s="42">
        <f t="shared" si="140"/>
        <v>0.11354468347724815</v>
      </c>
      <c r="R258" s="4">
        <f t="shared" si="141"/>
        <v>73073.09948225072</v>
      </c>
      <c r="S258">
        <f t="shared" si="122"/>
        <v>7.3073099482250721E-5</v>
      </c>
      <c r="T258" s="41">
        <f t="shared" si="123"/>
        <v>1.0673127255963311E-4</v>
      </c>
      <c r="U258" s="42">
        <f t="shared" si="142"/>
        <v>0.13113333067587304</v>
      </c>
      <c r="V258" s="42">
        <f t="shared" si="143"/>
        <v>0.45319029751651108</v>
      </c>
      <c r="W258" s="42">
        <f t="shared" si="144"/>
        <v>0.44897927913782526</v>
      </c>
      <c r="X258" s="42">
        <f t="shared" si="145"/>
        <v>4.2110183786858157E-3</v>
      </c>
      <c r="Y258" s="42">
        <f t="shared" si="119"/>
        <v>1.633052485454688E-3</v>
      </c>
      <c r="Z258" s="10">
        <f t="shared" si="146"/>
        <v>15.300599780090373</v>
      </c>
      <c r="AA258">
        <f t="shared" si="124"/>
        <v>5047687.5501692295</v>
      </c>
      <c r="AB258" s="10">
        <f t="shared" si="125"/>
        <v>5.0476875501692291</v>
      </c>
      <c r="AC258" s="10">
        <f t="shared" si="126"/>
        <v>4.9466875501692291</v>
      </c>
      <c r="AD258" s="3">
        <f t="shared" si="127"/>
        <v>717.43111677581282</v>
      </c>
      <c r="AI258" s="94">
        <f t="shared" si="128"/>
        <v>0.44897927913782526</v>
      </c>
    </row>
    <row r="259" spans="2:35">
      <c r="B259" s="39">
        <f t="shared" si="129"/>
        <v>231</v>
      </c>
      <c r="C259" s="42">
        <f t="shared" si="130"/>
        <v>1.5344604316530737</v>
      </c>
      <c r="D259" s="10">
        <f t="shared" si="131"/>
        <v>4.0055395683467214</v>
      </c>
      <c r="E259" s="40">
        <f t="shared" si="132"/>
        <v>23.068920863306555</v>
      </c>
      <c r="F259" s="40">
        <f t="shared" si="133"/>
        <v>31.08</v>
      </c>
      <c r="G259" s="3">
        <f t="shared" si="134"/>
        <v>214.12431654677707</v>
      </c>
      <c r="H259" s="3">
        <f t="shared" si="135"/>
        <v>81.256230789298584</v>
      </c>
      <c r="I259">
        <f t="shared" si="120"/>
        <v>8.1256230789298584E-5</v>
      </c>
      <c r="J259" s="4">
        <f t="shared" si="136"/>
        <v>417.96935384079222</v>
      </c>
      <c r="K259" s="40">
        <f t="shared" si="137"/>
        <v>5.143843737037316</v>
      </c>
      <c r="L259" s="40">
        <f t="shared" si="121"/>
        <v>0.85615626296268399</v>
      </c>
      <c r="M259" s="10">
        <f t="shared" si="138"/>
        <v>5.0476875501692291</v>
      </c>
      <c r="N259" s="10">
        <f t="shared" si="110"/>
        <v>8.26</v>
      </c>
      <c r="O259" s="10">
        <f t="shared" si="111"/>
        <v>0.31900000000000001</v>
      </c>
      <c r="P259" s="10">
        <f t="shared" si="139"/>
        <v>13.844157882725986</v>
      </c>
      <c r="Q259" s="42">
        <f t="shared" si="140"/>
        <v>0.11402450217821807</v>
      </c>
      <c r="R259" s="4">
        <f t="shared" si="141"/>
        <v>72951.915389868926</v>
      </c>
      <c r="S259">
        <f t="shared" si="122"/>
        <v>7.2951915389868926E-5</v>
      </c>
      <c r="T259" s="41">
        <f t="shared" si="123"/>
        <v>1.0685245665201491E-4</v>
      </c>
      <c r="U259" s="42">
        <f t="shared" si="142"/>
        <v>0.13091585976288928</v>
      </c>
      <c r="V259" s="42">
        <f t="shared" si="143"/>
        <v>0.45323559199374636</v>
      </c>
      <c r="W259" s="42">
        <f t="shared" si="144"/>
        <v>0.44902511946230056</v>
      </c>
      <c r="X259" s="42">
        <f t="shared" si="145"/>
        <v>4.2104725314457969E-3</v>
      </c>
      <c r="Y259" s="42">
        <f t="shared" si="119"/>
        <v>1.6350727489151959E-3</v>
      </c>
      <c r="Z259" s="10">
        <f t="shared" si="146"/>
        <v>15.302154018228308</v>
      </c>
      <c r="AA259">
        <f t="shared" si="124"/>
        <v>5048190.0357291037</v>
      </c>
      <c r="AB259" s="10">
        <f t="shared" si="125"/>
        <v>5.0481900357291041</v>
      </c>
      <c r="AC259" s="10">
        <f t="shared" si="126"/>
        <v>4.9471900357291041</v>
      </c>
      <c r="AD259" s="3">
        <f t="shared" si="127"/>
        <v>717.5039935792754</v>
      </c>
      <c r="AI259" s="94">
        <f t="shared" si="128"/>
        <v>0.44902511946230056</v>
      </c>
    </row>
    <row r="260" spans="2:35">
      <c r="B260" s="39">
        <f t="shared" si="129"/>
        <v>232</v>
      </c>
      <c r="C260" s="42">
        <f t="shared" si="130"/>
        <v>1.5411031175043857</v>
      </c>
      <c r="D260" s="10">
        <f t="shared" si="131"/>
        <v>3.9988968824954085</v>
      </c>
      <c r="E260" s="40">
        <f t="shared" si="132"/>
        <v>23.082206235009181</v>
      </c>
      <c r="F260" s="40">
        <f t="shared" si="133"/>
        <v>31.08</v>
      </c>
      <c r="G260" s="3">
        <f t="shared" si="134"/>
        <v>214.07117505996658</v>
      </c>
      <c r="H260" s="3">
        <f t="shared" si="135"/>
        <v>81.256230789298584</v>
      </c>
      <c r="I260">
        <f t="shared" si="120"/>
        <v>8.1256230789298584E-5</v>
      </c>
      <c r="J260" s="4">
        <f t="shared" si="136"/>
        <v>418.45090884788539</v>
      </c>
      <c r="K260" s="40">
        <f t="shared" si="137"/>
        <v>5.1497701134199696</v>
      </c>
      <c r="L260" s="40">
        <f t="shared" si="121"/>
        <v>0.8502298865800304</v>
      </c>
      <c r="M260" s="10">
        <f t="shared" si="138"/>
        <v>5.0481900357291041</v>
      </c>
      <c r="N260" s="10">
        <f t="shared" si="110"/>
        <v>8.26</v>
      </c>
      <c r="O260" s="10">
        <f t="shared" si="111"/>
        <v>0.31900000000000001</v>
      </c>
      <c r="P260" s="10">
        <f t="shared" si="139"/>
        <v>13.84459749886493</v>
      </c>
      <c r="Q260" s="42">
        <f t="shared" si="140"/>
        <v>0.11450430564320552</v>
      </c>
      <c r="R260" s="4">
        <f t="shared" si="141"/>
        <v>72830.723098467235</v>
      </c>
      <c r="S260">
        <f t="shared" si="122"/>
        <v>7.2830723098467231E-5</v>
      </c>
      <c r="T260" s="41">
        <f t="shared" si="123"/>
        <v>1.069736489434166E-4</v>
      </c>
      <c r="U260" s="42">
        <f t="shared" si="142"/>
        <v>0.13069837413635438</v>
      </c>
      <c r="V260" s="42">
        <f t="shared" si="143"/>
        <v>0.45328065011073743</v>
      </c>
      <c r="W260" s="42">
        <f t="shared" si="144"/>
        <v>0.44907073152820576</v>
      </c>
      <c r="X260" s="42">
        <f t="shared" si="145"/>
        <v>4.2099185825316687E-3</v>
      </c>
      <c r="Y260" s="42">
        <f t="shared" si="119"/>
        <v>1.6370926824384097E-3</v>
      </c>
      <c r="Z260" s="10">
        <f t="shared" si="146"/>
        <v>15.3037004777162</v>
      </c>
      <c r="AA260">
        <f t="shared" si="124"/>
        <v>5048690.0064495681</v>
      </c>
      <c r="AB260" s="10">
        <f t="shared" si="125"/>
        <v>5.0486900064495677</v>
      </c>
      <c r="AC260" s="10">
        <f t="shared" si="126"/>
        <v>4.9476900064495677</v>
      </c>
      <c r="AD260" s="3">
        <f t="shared" si="127"/>
        <v>717.57650564895835</v>
      </c>
      <c r="AI260" s="94">
        <f t="shared" si="128"/>
        <v>0.44907073152820576</v>
      </c>
    </row>
    <row r="261" spans="2:35">
      <c r="B261" s="39">
        <f t="shared" si="129"/>
        <v>233</v>
      </c>
      <c r="C261" s="42">
        <f t="shared" si="130"/>
        <v>1.5477458033556977</v>
      </c>
      <c r="D261" s="10">
        <f t="shared" si="131"/>
        <v>3.9922541966440956</v>
      </c>
      <c r="E261" s="40">
        <f t="shared" si="132"/>
        <v>23.095491606711807</v>
      </c>
      <c r="F261" s="40">
        <f t="shared" si="133"/>
        <v>31.08</v>
      </c>
      <c r="G261" s="3">
        <f t="shared" si="134"/>
        <v>214.01803357315609</v>
      </c>
      <c r="H261" s="3">
        <f t="shared" si="135"/>
        <v>81.256230789298584</v>
      </c>
      <c r="I261">
        <f t="shared" si="120"/>
        <v>8.1256230789298584E-5</v>
      </c>
      <c r="J261" s="4">
        <f t="shared" si="136"/>
        <v>418.93274110226014</v>
      </c>
      <c r="K261" s="40">
        <f t="shared" si="137"/>
        <v>5.1556999018152023</v>
      </c>
      <c r="L261" s="40">
        <f t="shared" si="121"/>
        <v>0.84430009818479768</v>
      </c>
      <c r="M261" s="10">
        <f t="shared" si="138"/>
        <v>5.0486900064495677</v>
      </c>
      <c r="N261" s="10">
        <f t="shared" si="110"/>
        <v>8.26</v>
      </c>
      <c r="O261" s="10">
        <f t="shared" si="111"/>
        <v>0.31900000000000001</v>
      </c>
      <c r="P261" s="10">
        <f t="shared" si="139"/>
        <v>13.84503488523816</v>
      </c>
      <c r="Q261" s="42">
        <f t="shared" si="140"/>
        <v>0.11498409395044876</v>
      </c>
      <c r="R261" s="4">
        <f t="shared" si="141"/>
        <v>72709.522652245636</v>
      </c>
      <c r="S261">
        <f t="shared" si="122"/>
        <v>7.2709522652245631E-5</v>
      </c>
      <c r="T261" s="41">
        <f t="shared" si="123"/>
        <v>1.070948493896382E-4</v>
      </c>
      <c r="U261" s="42">
        <f t="shared" si="142"/>
        <v>0.13048087387558741</v>
      </c>
      <c r="V261" s="42">
        <f t="shared" si="143"/>
        <v>0.4533254718454533</v>
      </c>
      <c r="W261" s="42">
        <f t="shared" si="144"/>
        <v>0.44911611531487267</v>
      </c>
      <c r="X261" s="42">
        <f t="shared" si="145"/>
        <v>4.2093565305806324E-3</v>
      </c>
      <c r="Y261" s="42">
        <f t="shared" si="119"/>
        <v>1.6391122824828002E-3</v>
      </c>
      <c r="Z261" s="10">
        <f t="shared" si="146"/>
        <v>15.305239157854309</v>
      </c>
      <c r="AA261">
        <f t="shared" si="124"/>
        <v>5049187.4621043969</v>
      </c>
      <c r="AB261" s="10">
        <f t="shared" si="125"/>
        <v>5.0491874621043973</v>
      </c>
      <c r="AC261" s="10">
        <f t="shared" si="126"/>
        <v>4.9481874621043973</v>
      </c>
      <c r="AD261" s="3">
        <f t="shared" si="127"/>
        <v>717.64865295205175</v>
      </c>
      <c r="AI261" s="94">
        <f t="shared" si="128"/>
        <v>0.44911611531487267</v>
      </c>
    </row>
    <row r="262" spans="2:35">
      <c r="B262" s="39">
        <f t="shared" si="129"/>
        <v>234</v>
      </c>
      <c r="C262" s="42">
        <f t="shared" si="130"/>
        <v>1.5543884892070097</v>
      </c>
      <c r="D262" s="10">
        <f t="shared" si="131"/>
        <v>3.9856115107927828</v>
      </c>
      <c r="E262" s="40">
        <f t="shared" si="132"/>
        <v>23.108776978414433</v>
      </c>
      <c r="F262" s="40">
        <f t="shared" si="133"/>
        <v>31.08</v>
      </c>
      <c r="G262" s="3">
        <f t="shared" si="134"/>
        <v>213.9648920863456</v>
      </c>
      <c r="H262" s="3">
        <f t="shared" si="135"/>
        <v>81.256230789298584</v>
      </c>
      <c r="I262">
        <f t="shared" si="120"/>
        <v>8.1256230789298584E-5</v>
      </c>
      <c r="J262" s="4">
        <f t="shared" si="136"/>
        <v>419.41485060391648</v>
      </c>
      <c r="K262" s="40">
        <f t="shared" si="137"/>
        <v>5.1616331022230142</v>
      </c>
      <c r="L262" s="40">
        <f t="shared" si="121"/>
        <v>0.83836689777698581</v>
      </c>
      <c r="M262" s="10">
        <f t="shared" si="138"/>
        <v>5.0491874621043973</v>
      </c>
      <c r="N262" s="10">
        <f t="shared" si="110"/>
        <v>8.26</v>
      </c>
      <c r="O262" s="10">
        <f t="shared" si="111"/>
        <v>0.31900000000000001</v>
      </c>
      <c r="P262" s="10">
        <f t="shared" si="139"/>
        <v>13.845470042097826</v>
      </c>
      <c r="Q262" s="42">
        <f t="shared" si="140"/>
        <v>0.11546386717816257</v>
      </c>
      <c r="R262" s="4">
        <f t="shared" si="141"/>
        <v>72588.31409540413</v>
      </c>
      <c r="S262">
        <f t="shared" si="122"/>
        <v>7.2588314095404136E-5</v>
      </c>
      <c r="T262" s="41">
        <f t="shared" si="123"/>
        <v>1.072160579464797E-4</v>
      </c>
      <c r="U262" s="42">
        <f t="shared" si="142"/>
        <v>0.13026335905990746</v>
      </c>
      <c r="V262" s="42">
        <f t="shared" si="143"/>
        <v>0.45337005717562195</v>
      </c>
      <c r="W262" s="42">
        <f t="shared" si="144"/>
        <v>0.44916127080176588</v>
      </c>
      <c r="X262" s="42">
        <f t="shared" si="145"/>
        <v>4.2087863738560771E-3</v>
      </c>
      <c r="Y262" s="42">
        <f t="shared" si="119"/>
        <v>1.6411315455061432E-3</v>
      </c>
      <c r="Z262" s="10">
        <f t="shared" si="146"/>
        <v>15.306770057945668</v>
      </c>
      <c r="AA262">
        <f t="shared" si="124"/>
        <v>5049682.4024682604</v>
      </c>
      <c r="AB262" s="10">
        <f t="shared" si="125"/>
        <v>5.0496824024682603</v>
      </c>
      <c r="AC262" s="10">
        <f t="shared" si="126"/>
        <v>4.9486824024682603</v>
      </c>
      <c r="AD262" s="3">
        <f t="shared" si="127"/>
        <v>717.7204354558753</v>
      </c>
      <c r="AI262" s="94">
        <f t="shared" si="128"/>
        <v>0.44916127080176588</v>
      </c>
    </row>
    <row r="263" spans="2:35">
      <c r="B263" s="39">
        <f t="shared" si="129"/>
        <v>235</v>
      </c>
      <c r="C263" s="42">
        <f t="shared" si="130"/>
        <v>1.5610311750583217</v>
      </c>
      <c r="D263" s="10">
        <f t="shared" si="131"/>
        <v>3.9789688249414699</v>
      </c>
      <c r="E263" s="40">
        <f t="shared" si="132"/>
        <v>23.122062350117059</v>
      </c>
      <c r="F263" s="40">
        <f t="shared" si="133"/>
        <v>31.08</v>
      </c>
      <c r="G263" s="3">
        <f t="shared" si="134"/>
        <v>213.91175059953511</v>
      </c>
      <c r="H263" s="3">
        <f t="shared" si="135"/>
        <v>81.256230789298584</v>
      </c>
      <c r="I263">
        <f t="shared" si="120"/>
        <v>8.1256230789298584E-5</v>
      </c>
      <c r="J263" s="4">
        <f t="shared" si="136"/>
        <v>419.89723735285429</v>
      </c>
      <c r="K263" s="40">
        <f t="shared" si="137"/>
        <v>5.1675697146434043</v>
      </c>
      <c r="L263" s="40">
        <f t="shared" si="121"/>
        <v>0.83243028535659569</v>
      </c>
      <c r="M263" s="10">
        <f t="shared" si="138"/>
        <v>5.0496824024682603</v>
      </c>
      <c r="N263" s="10">
        <f t="shared" si="110"/>
        <v>8.26</v>
      </c>
      <c r="O263" s="10">
        <f t="shared" si="111"/>
        <v>0.31900000000000001</v>
      </c>
      <c r="P263" s="10">
        <f t="shared" si="139"/>
        <v>13.845902969694531</v>
      </c>
      <c r="Q263" s="42">
        <f t="shared" si="140"/>
        <v>0.11594362540453836</v>
      </c>
      <c r="R263" s="4">
        <f t="shared" si="141"/>
        <v>72467.097472142748</v>
      </c>
      <c r="S263">
        <f t="shared" si="122"/>
        <v>7.2467097472142753E-5</v>
      </c>
      <c r="T263" s="41">
        <f t="shared" si="123"/>
        <v>1.0733727456974108E-4</v>
      </c>
      <c r="U263" s="42">
        <f t="shared" si="142"/>
        <v>0.13004582976863377</v>
      </c>
      <c r="V263" s="42">
        <f t="shared" si="143"/>
        <v>0.45341440607900102</v>
      </c>
      <c r="W263" s="42">
        <f t="shared" si="144"/>
        <v>0.44920619796843175</v>
      </c>
      <c r="X263" s="42">
        <f t="shared" si="145"/>
        <v>4.208208110569267E-3</v>
      </c>
      <c r="Y263" s="42">
        <f t="shared" si="119"/>
        <v>1.64315046796549E-3</v>
      </c>
      <c r="Z263" s="10">
        <f t="shared" si="146"/>
        <v>15.308293177295768</v>
      </c>
      <c r="AA263">
        <f t="shared" si="124"/>
        <v>5050174.8273166222</v>
      </c>
      <c r="AB263" s="10">
        <f t="shared" si="125"/>
        <v>5.0501748273166225</v>
      </c>
      <c r="AC263" s="10">
        <f t="shared" si="126"/>
        <v>4.9491748273166225</v>
      </c>
      <c r="AD263" s="3">
        <f t="shared" si="127"/>
        <v>717.79185312786399</v>
      </c>
      <c r="AI263" s="94">
        <f t="shared" si="128"/>
        <v>0.44920619796843175</v>
      </c>
    </row>
    <row r="264" spans="2:35">
      <c r="B264" s="39">
        <f t="shared" si="129"/>
        <v>236</v>
      </c>
      <c r="C264" s="42">
        <f t="shared" si="130"/>
        <v>1.5676738609096337</v>
      </c>
      <c r="D264" s="10">
        <f t="shared" si="131"/>
        <v>3.972326139090157</v>
      </c>
      <c r="E264" s="40">
        <f t="shared" si="132"/>
        <v>23.135347721819684</v>
      </c>
      <c r="F264" s="40">
        <f t="shared" si="133"/>
        <v>31.08</v>
      </c>
      <c r="G264" s="3">
        <f t="shared" si="134"/>
        <v>213.85860911272462</v>
      </c>
      <c r="H264" s="3">
        <f t="shared" si="135"/>
        <v>81.256230789298584</v>
      </c>
      <c r="I264">
        <f t="shared" si="120"/>
        <v>8.1256230789298584E-5</v>
      </c>
      <c r="J264" s="4">
        <f t="shared" si="136"/>
        <v>420.37990134907369</v>
      </c>
      <c r="K264" s="40">
        <f t="shared" si="137"/>
        <v>5.1735097390763736</v>
      </c>
      <c r="L264" s="40">
        <f t="shared" si="121"/>
        <v>0.82649026092362643</v>
      </c>
      <c r="M264" s="10">
        <f t="shared" si="138"/>
        <v>5.0501748273166225</v>
      </c>
      <c r="N264" s="10">
        <f t="shared" si="110"/>
        <v>8.26</v>
      </c>
      <c r="O264" s="10">
        <f t="shared" si="111"/>
        <v>0.31900000000000001</v>
      </c>
      <c r="P264" s="10">
        <f t="shared" si="139"/>
        <v>13.846333668277238</v>
      </c>
      <c r="Q264" s="42">
        <f t="shared" si="140"/>
        <v>0.11642336870774438</v>
      </c>
      <c r="R264" s="4">
        <f t="shared" si="141"/>
        <v>72345.872826661463</v>
      </c>
      <c r="S264">
        <f t="shared" si="122"/>
        <v>7.2345872826661464E-5</v>
      </c>
      <c r="T264" s="41">
        <f t="shared" si="123"/>
        <v>1.0745849921522237E-4</v>
      </c>
      <c r="U264" s="42">
        <f t="shared" si="142"/>
        <v>0.12982828608108532</v>
      </c>
      <c r="V264" s="42">
        <f t="shared" si="143"/>
        <v>0.4534585185340827</v>
      </c>
      <c r="W264" s="42">
        <f t="shared" si="144"/>
        <v>0.44925089679448837</v>
      </c>
      <c r="X264" s="42">
        <f t="shared" si="145"/>
        <v>4.2076217395943249E-3</v>
      </c>
      <c r="Y264" s="42">
        <f t="shared" si="119"/>
        <v>1.6451690463174845E-3</v>
      </c>
      <c r="Z264" s="10">
        <f t="shared" si="146"/>
        <v>15.309808515215453</v>
      </c>
      <c r="AA264">
        <f t="shared" si="124"/>
        <v>5050664.7364266794</v>
      </c>
      <c r="AB264" s="10">
        <f t="shared" si="125"/>
        <v>5.050664736426679</v>
      </c>
      <c r="AC264" s="10">
        <f t="shared" si="126"/>
        <v>4.949664736426679</v>
      </c>
      <c r="AD264" s="3">
        <f t="shared" si="127"/>
        <v>717.86290593570402</v>
      </c>
      <c r="AI264" s="94">
        <f t="shared" si="128"/>
        <v>0.44925089679448837</v>
      </c>
    </row>
    <row r="265" spans="2:35">
      <c r="B265" s="39">
        <f t="shared" si="129"/>
        <v>237</v>
      </c>
      <c r="C265" s="42">
        <f t="shared" si="130"/>
        <v>1.5743165467609457</v>
      </c>
      <c r="D265" s="10">
        <f t="shared" si="131"/>
        <v>3.9656834532388441</v>
      </c>
      <c r="E265" s="40">
        <f t="shared" si="132"/>
        <v>23.14863309352231</v>
      </c>
      <c r="F265" s="40">
        <f t="shared" si="133"/>
        <v>31.08</v>
      </c>
      <c r="G265" s="3">
        <f t="shared" si="134"/>
        <v>213.80546762591413</v>
      </c>
      <c r="H265" s="3">
        <f t="shared" si="135"/>
        <v>81.256230789298584</v>
      </c>
      <c r="I265">
        <f t="shared" si="120"/>
        <v>8.1256230789298584E-5</v>
      </c>
      <c r="J265" s="4">
        <f t="shared" si="136"/>
        <v>420.86284259257474</v>
      </c>
      <c r="K265" s="40">
        <f t="shared" si="137"/>
        <v>5.179453175521922</v>
      </c>
      <c r="L265" s="40">
        <f t="shared" si="121"/>
        <v>0.82054682447807803</v>
      </c>
      <c r="M265" s="10">
        <f t="shared" si="138"/>
        <v>5.050664736426679</v>
      </c>
      <c r="N265" s="10">
        <f t="shared" si="110"/>
        <v>8.26</v>
      </c>
      <c r="O265" s="10">
        <f t="shared" si="111"/>
        <v>0.31900000000000001</v>
      </c>
      <c r="P265" s="10">
        <f t="shared" si="139"/>
        <v>13.846762138094087</v>
      </c>
      <c r="Q265" s="42">
        <f t="shared" si="140"/>
        <v>0.11690309716592574</v>
      </c>
      <c r="R265" s="4">
        <f t="shared" si="141"/>
        <v>72224.640203160248</v>
      </c>
      <c r="S265">
        <f t="shared" si="122"/>
        <v>7.2224640203160252E-5</v>
      </c>
      <c r="T265" s="41">
        <f t="shared" si="123"/>
        <v>1.0757973183872358E-4</v>
      </c>
      <c r="U265" s="42">
        <f t="shared" si="142"/>
        <v>0.12961072807658122</v>
      </c>
      <c r="V265" s="42">
        <f t="shared" si="143"/>
        <v>0.45350239451887581</v>
      </c>
      <c r="W265" s="42">
        <f t="shared" si="144"/>
        <v>0.44929536725971153</v>
      </c>
      <c r="X265" s="42">
        <f t="shared" si="145"/>
        <v>4.2070272591642754E-3</v>
      </c>
      <c r="Y265" s="42">
        <f t="shared" si="119"/>
        <v>1.6471872770180503E-3</v>
      </c>
      <c r="Z265" s="10">
        <f t="shared" si="146"/>
        <v>15.311316071017954</v>
      </c>
      <c r="AA265">
        <f t="shared" si="124"/>
        <v>5051152.129576399</v>
      </c>
      <c r="AB265" s="10">
        <f t="shared" si="125"/>
        <v>5.0511521295763986</v>
      </c>
      <c r="AC265" s="10">
        <f t="shared" si="126"/>
        <v>4.9501521295763986</v>
      </c>
      <c r="AD265" s="3">
        <f t="shared" si="127"/>
        <v>717.93359384719349</v>
      </c>
      <c r="AI265" s="94">
        <f t="shared" si="128"/>
        <v>0.44929536725971153</v>
      </c>
    </row>
    <row r="266" spans="2:35">
      <c r="B266" s="39">
        <f t="shared" si="129"/>
        <v>238</v>
      </c>
      <c r="C266" s="42">
        <f t="shared" si="130"/>
        <v>1.5809592326122577</v>
      </c>
      <c r="D266" s="10">
        <f t="shared" si="131"/>
        <v>3.9590407673875312</v>
      </c>
      <c r="E266" s="40">
        <f t="shared" si="132"/>
        <v>23.161918465224936</v>
      </c>
      <c r="F266" s="40">
        <f t="shared" si="133"/>
        <v>31.08</v>
      </c>
      <c r="G266" s="3">
        <f t="shared" si="134"/>
        <v>213.75232613910364</v>
      </c>
      <c r="H266" s="3">
        <f t="shared" si="135"/>
        <v>81.256230789298584</v>
      </c>
      <c r="I266">
        <f t="shared" si="120"/>
        <v>8.1256230789298584E-5</v>
      </c>
      <c r="J266" s="4">
        <f t="shared" si="136"/>
        <v>421.3460610833572</v>
      </c>
      <c r="K266" s="40">
        <f t="shared" si="137"/>
        <v>5.1854000239800477</v>
      </c>
      <c r="L266" s="40">
        <f t="shared" si="121"/>
        <v>0.81459997601995227</v>
      </c>
      <c r="M266" s="10">
        <f t="shared" si="138"/>
        <v>5.0511521295763986</v>
      </c>
      <c r="N266" s="10">
        <f t="shared" si="110"/>
        <v>8.26</v>
      </c>
      <c r="O266" s="10">
        <f t="shared" si="111"/>
        <v>0.31900000000000001</v>
      </c>
      <c r="P266" s="10">
        <f t="shared" si="139"/>
        <v>13.847188379391572</v>
      </c>
      <c r="Q266" s="42">
        <f t="shared" si="140"/>
        <v>0.11738281085720463</v>
      </c>
      <c r="R266" s="4">
        <f t="shared" si="141"/>
        <v>72103.399645839148</v>
      </c>
      <c r="S266">
        <f t="shared" si="122"/>
        <v>7.2103399645839151E-5</v>
      </c>
      <c r="T266" s="41">
        <f t="shared" si="123"/>
        <v>1.0770097239604468E-4</v>
      </c>
      <c r="U266" s="42">
        <f t="shared" si="142"/>
        <v>0.12939315583444064</v>
      </c>
      <c r="V266" s="42">
        <f t="shared" si="143"/>
        <v>0.45354603401155802</v>
      </c>
      <c r="W266" s="42">
        <f t="shared" si="144"/>
        <v>0.44933960934394623</v>
      </c>
      <c r="X266" s="42">
        <f t="shared" si="145"/>
        <v>4.2064246676117856E-3</v>
      </c>
      <c r="Y266" s="42">
        <f t="shared" si="119"/>
        <v>1.6492051565224369E-3</v>
      </c>
      <c r="Z266" s="10">
        <f t="shared" si="146"/>
        <v>15.312815844019287</v>
      </c>
      <c r="AA266">
        <f t="shared" si="124"/>
        <v>5051637.0065446496</v>
      </c>
      <c r="AB266" s="10">
        <f t="shared" si="125"/>
        <v>5.0516370065446496</v>
      </c>
      <c r="AC266" s="10">
        <f t="shared" si="126"/>
        <v>4.9506370065446497</v>
      </c>
      <c r="AD266" s="3">
        <f t="shared" si="127"/>
        <v>718.00391683026101</v>
      </c>
      <c r="AI266" s="94">
        <f t="shared" si="128"/>
        <v>0.44933960934394623</v>
      </c>
    </row>
    <row r="267" spans="2:35">
      <c r="B267" s="39">
        <f t="shared" si="129"/>
        <v>239</v>
      </c>
      <c r="C267" s="42">
        <f t="shared" si="130"/>
        <v>1.5876019184635697</v>
      </c>
      <c r="D267" s="10">
        <f t="shared" si="131"/>
        <v>3.9523980815362183</v>
      </c>
      <c r="E267" s="40">
        <f t="shared" si="132"/>
        <v>23.175203836927562</v>
      </c>
      <c r="F267" s="40">
        <f t="shared" si="133"/>
        <v>31.08</v>
      </c>
      <c r="G267" s="3">
        <f t="shared" si="134"/>
        <v>213.69918465229316</v>
      </c>
      <c r="H267" s="3">
        <f t="shared" si="135"/>
        <v>81.256230789298584</v>
      </c>
      <c r="I267">
        <f t="shared" si="120"/>
        <v>8.1256230789298584E-5</v>
      </c>
      <c r="J267" s="4">
        <f t="shared" si="136"/>
        <v>421.82955682142131</v>
      </c>
      <c r="K267" s="40">
        <f t="shared" si="137"/>
        <v>5.1913502844507535</v>
      </c>
      <c r="L267" s="40">
        <f t="shared" si="121"/>
        <v>0.80864971554924647</v>
      </c>
      <c r="M267" s="10">
        <f t="shared" si="138"/>
        <v>5.0516370065446496</v>
      </c>
      <c r="N267" s="10">
        <f t="shared" si="110"/>
        <v>8.26</v>
      </c>
      <c r="O267" s="10">
        <f t="shared" si="111"/>
        <v>0.31900000000000001</v>
      </c>
      <c r="P267" s="10">
        <f t="shared" si="139"/>
        <v>13.847612392414634</v>
      </c>
      <c r="Q267" s="42">
        <f t="shared" si="140"/>
        <v>0.11786250985968037</v>
      </c>
      <c r="R267" s="4">
        <f t="shared" si="141"/>
        <v>71982.151198898136</v>
      </c>
      <c r="S267">
        <f t="shared" si="122"/>
        <v>7.1982151198898131E-5</v>
      </c>
      <c r="T267" s="41">
        <f t="shared" si="123"/>
        <v>1.078222208429857E-4</v>
      </c>
      <c r="U267" s="42">
        <f t="shared" si="142"/>
        <v>0.12917556943398265</v>
      </c>
      <c r="V267" s="42">
        <f t="shared" si="143"/>
        <v>0.45358943699074117</v>
      </c>
      <c r="W267" s="42">
        <f t="shared" si="144"/>
        <v>0.44938362302712015</v>
      </c>
      <c r="X267" s="42">
        <f t="shared" si="145"/>
        <v>4.205813963621019E-3</v>
      </c>
      <c r="Y267" s="42">
        <f t="shared" si="119"/>
        <v>1.6512226812853844E-3</v>
      </c>
      <c r="Z267" s="10">
        <f t="shared" si="146"/>
        <v>15.314307833539708</v>
      </c>
      <c r="AA267">
        <f t="shared" si="124"/>
        <v>5052119.367111668</v>
      </c>
      <c r="AB267" s="10">
        <f t="shared" si="125"/>
        <v>5.0521193671116684</v>
      </c>
      <c r="AC267" s="10">
        <f t="shared" si="126"/>
        <v>4.9511193671116684</v>
      </c>
      <c r="AD267" s="3">
        <f t="shared" si="127"/>
        <v>718.07387485303377</v>
      </c>
      <c r="AI267" s="94">
        <f t="shared" si="128"/>
        <v>0.44938362302712015</v>
      </c>
    </row>
    <row r="268" spans="2:35">
      <c r="B268" s="39">
        <f t="shared" si="129"/>
        <v>240</v>
      </c>
      <c r="C268" s="42">
        <f t="shared" si="130"/>
        <v>1.5942446043148817</v>
      </c>
      <c r="D268" s="10">
        <f t="shared" si="131"/>
        <v>3.9457553956849054</v>
      </c>
      <c r="E268" s="40">
        <f t="shared" si="132"/>
        <v>23.188489208630187</v>
      </c>
      <c r="F268" s="40">
        <f t="shared" si="133"/>
        <v>31.08</v>
      </c>
      <c r="G268" s="3">
        <f t="shared" si="134"/>
        <v>213.64604316548267</v>
      </c>
      <c r="H268" s="3">
        <f t="shared" si="135"/>
        <v>81.256230789298584</v>
      </c>
      <c r="I268">
        <f t="shared" si="120"/>
        <v>8.1256230789298584E-5</v>
      </c>
      <c r="J268" s="4">
        <f t="shared" si="136"/>
        <v>422.313329806767</v>
      </c>
      <c r="K268" s="40">
        <f t="shared" si="137"/>
        <v>5.1973039569340385</v>
      </c>
      <c r="L268" s="40">
        <f t="shared" si="121"/>
        <v>0.80269604306596154</v>
      </c>
      <c r="M268" s="10">
        <f t="shared" si="138"/>
        <v>5.0521193671116684</v>
      </c>
      <c r="N268" s="10">
        <f t="shared" si="110"/>
        <v>8.26</v>
      </c>
      <c r="O268" s="10">
        <f t="shared" si="111"/>
        <v>0.31900000000000001</v>
      </c>
      <c r="P268" s="10">
        <f t="shared" si="139"/>
        <v>13.848034177407087</v>
      </c>
      <c r="Q268" s="42">
        <f t="shared" si="140"/>
        <v>0.1183421942514296</v>
      </c>
      <c r="R268" s="4">
        <f t="shared" si="141"/>
        <v>71860.894906537214</v>
      </c>
      <c r="S268">
        <f t="shared" si="122"/>
        <v>7.1860894906537214E-5</v>
      </c>
      <c r="T268" s="41">
        <f t="shared" si="123"/>
        <v>1.0794347713534662E-4</v>
      </c>
      <c r="U268" s="42">
        <f t="shared" si="142"/>
        <v>0.12895796895452635</v>
      </c>
      <c r="V268" s="42">
        <f t="shared" si="143"/>
        <v>0.45363260343491113</v>
      </c>
      <c r="W268" s="42">
        <f t="shared" si="144"/>
        <v>0.44942740828928446</v>
      </c>
      <c r="X268" s="42">
        <f t="shared" si="145"/>
        <v>4.2051951456266723E-3</v>
      </c>
      <c r="Y268" s="42">
        <f t="shared" si="119"/>
        <v>1.6532398477610011E-3</v>
      </c>
      <c r="Z268" s="10">
        <f t="shared" si="146"/>
        <v>15.315792038902549</v>
      </c>
      <c r="AA268">
        <f t="shared" si="124"/>
        <v>5052599.2110586884</v>
      </c>
      <c r="AB268" s="10">
        <f t="shared" si="125"/>
        <v>5.0525992110586886</v>
      </c>
      <c r="AC268" s="10">
        <f t="shared" si="126"/>
        <v>4.9515992110586886</v>
      </c>
      <c r="AD268" s="3">
        <f t="shared" si="127"/>
        <v>718.14346788378361</v>
      </c>
      <c r="AI268" s="94">
        <f t="shared" si="128"/>
        <v>0.44942740828928446</v>
      </c>
    </row>
    <row r="269" spans="2:35">
      <c r="B269" s="39">
        <f t="shared" si="129"/>
        <v>241</v>
      </c>
      <c r="C269" s="42">
        <f t="shared" si="130"/>
        <v>1.6008872901661937</v>
      </c>
      <c r="D269" s="10">
        <f t="shared" si="131"/>
        <v>3.9391127098335925</v>
      </c>
      <c r="E269" s="40">
        <f t="shared" si="132"/>
        <v>23.201774580332813</v>
      </c>
      <c r="F269" s="40">
        <f t="shared" si="133"/>
        <v>31.08</v>
      </c>
      <c r="G269" s="3">
        <f t="shared" si="134"/>
        <v>213.59290167867218</v>
      </c>
      <c r="H269" s="3">
        <f t="shared" si="135"/>
        <v>81.256230789298584</v>
      </c>
      <c r="I269">
        <f t="shared" si="120"/>
        <v>8.1256230789298584E-5</v>
      </c>
      <c r="J269" s="4">
        <f t="shared" si="136"/>
        <v>422.79738003939423</v>
      </c>
      <c r="K269" s="40">
        <f t="shared" si="137"/>
        <v>5.2032610414299025</v>
      </c>
      <c r="L269" s="40">
        <f t="shared" si="121"/>
        <v>0.79673895857009747</v>
      </c>
      <c r="M269" s="10">
        <f t="shared" si="138"/>
        <v>5.0525992110586886</v>
      </c>
      <c r="N269" s="10">
        <f t="shared" si="110"/>
        <v>8.26</v>
      </c>
      <c r="O269" s="10">
        <f t="shared" si="111"/>
        <v>0.31900000000000001</v>
      </c>
      <c r="P269" s="10">
        <f t="shared" si="139"/>
        <v>13.848453734611281</v>
      </c>
      <c r="Q269" s="42">
        <f t="shared" si="140"/>
        <v>0.11882186411050635</v>
      </c>
      <c r="R269" s="4">
        <f t="shared" si="141"/>
        <v>71739.630812956369</v>
      </c>
      <c r="S269">
        <f t="shared" si="122"/>
        <v>7.1739630812956367E-5</v>
      </c>
      <c r="T269" s="41">
        <f t="shared" si="123"/>
        <v>1.0806474122892747E-4</v>
      </c>
      <c r="U269" s="42">
        <f t="shared" si="142"/>
        <v>0.12874035447539084</v>
      </c>
      <c r="V269" s="42">
        <f t="shared" si="143"/>
        <v>0.45367553332278798</v>
      </c>
      <c r="W269" s="42">
        <f t="shared" si="144"/>
        <v>0.44947096511058132</v>
      </c>
      <c r="X269" s="42">
        <f t="shared" si="145"/>
        <v>4.2045682122066608E-3</v>
      </c>
      <c r="Y269" s="42">
        <f t="shared" si="119"/>
        <v>1.6552566524028289E-3</v>
      </c>
      <c r="Z269" s="10">
        <f t="shared" si="146"/>
        <v>15.317268459434752</v>
      </c>
      <c r="AA269">
        <f t="shared" si="124"/>
        <v>5053076.5381681109</v>
      </c>
      <c r="AB269" s="10">
        <f t="shared" si="125"/>
        <v>5.0530765381681109</v>
      </c>
      <c r="AC269" s="10">
        <f t="shared" si="126"/>
        <v>4.9520765381681109</v>
      </c>
      <c r="AD269" s="3">
        <f t="shared" si="127"/>
        <v>718.21269589095152</v>
      </c>
      <c r="AI269" s="94">
        <f t="shared" si="128"/>
        <v>0.44947096511058132</v>
      </c>
    </row>
    <row r="270" spans="2:35">
      <c r="B270" s="39">
        <f t="shared" si="129"/>
        <v>242</v>
      </c>
      <c r="C270" s="42">
        <f t="shared" si="130"/>
        <v>1.6075299760175057</v>
      </c>
      <c r="D270" s="10">
        <f t="shared" si="131"/>
        <v>3.9324700239822796</v>
      </c>
      <c r="E270" s="40">
        <f t="shared" si="132"/>
        <v>23.215059952035439</v>
      </c>
      <c r="F270" s="40">
        <f t="shared" si="133"/>
        <v>31.08</v>
      </c>
      <c r="G270" s="3">
        <f t="shared" si="134"/>
        <v>213.53976019186169</v>
      </c>
      <c r="H270" s="3">
        <f t="shared" si="135"/>
        <v>81.256230789298584</v>
      </c>
      <c r="I270">
        <f t="shared" si="120"/>
        <v>8.1256230789298584E-5</v>
      </c>
      <c r="J270" s="4">
        <f t="shared" si="136"/>
        <v>423.28170751930304</v>
      </c>
      <c r="K270" s="40">
        <f t="shared" si="137"/>
        <v>5.2092215379383449</v>
      </c>
      <c r="L270" s="40">
        <f t="shared" si="121"/>
        <v>0.79077846206165514</v>
      </c>
      <c r="M270" s="10">
        <f t="shared" si="138"/>
        <v>5.0530765381681109</v>
      </c>
      <c r="N270" s="10">
        <f t="shared" si="110"/>
        <v>8.26</v>
      </c>
      <c r="O270" s="10">
        <f t="shared" si="111"/>
        <v>0.31900000000000001</v>
      </c>
      <c r="P270" s="10">
        <f t="shared" si="139"/>
        <v>13.848871064268266</v>
      </c>
      <c r="Q270" s="42">
        <f t="shared" si="140"/>
        <v>0.11930151951494224</v>
      </c>
      <c r="R270" s="4">
        <f t="shared" si="141"/>
        <v>71618.358962355618</v>
      </c>
      <c r="S270">
        <f t="shared" si="122"/>
        <v>7.1618358962355613E-5</v>
      </c>
      <c r="T270" s="41">
        <f t="shared" si="123"/>
        <v>1.0818601307952822E-4</v>
      </c>
      <c r="U270" s="42">
        <f t="shared" si="142"/>
        <v>0.12852272607589527</v>
      </c>
      <c r="V270" s="42">
        <f t="shared" si="143"/>
        <v>0.45371822663297862</v>
      </c>
      <c r="W270" s="42">
        <f t="shared" si="144"/>
        <v>0.4495142934712586</v>
      </c>
      <c r="X270" s="42">
        <f t="shared" si="145"/>
        <v>4.2039331617200193E-3</v>
      </c>
      <c r="Y270" s="42">
        <f t="shared" si="119"/>
        <v>1.6572730916637351E-3</v>
      </c>
      <c r="Z270" s="10">
        <f t="shared" si="146"/>
        <v>15.318737094465837</v>
      </c>
      <c r="AA270">
        <f t="shared" si="124"/>
        <v>5053551.3482231684</v>
      </c>
      <c r="AB270" s="10">
        <f t="shared" si="125"/>
        <v>5.0535513482231682</v>
      </c>
      <c r="AC270" s="10">
        <f t="shared" si="126"/>
        <v>4.9525513482231682</v>
      </c>
      <c r="AD270" s="3">
        <f t="shared" si="127"/>
        <v>718.28155884309911</v>
      </c>
      <c r="AI270" s="94">
        <f t="shared" si="128"/>
        <v>0.4495142934712586</v>
      </c>
    </row>
    <row r="271" spans="2:35">
      <c r="B271" s="39">
        <f t="shared" si="129"/>
        <v>243</v>
      </c>
      <c r="C271" s="42">
        <f t="shared" si="130"/>
        <v>1.6141726618688177</v>
      </c>
      <c r="D271" s="10">
        <f t="shared" si="131"/>
        <v>3.9258273381309667</v>
      </c>
      <c r="E271" s="40">
        <f t="shared" si="132"/>
        <v>23.228345323738065</v>
      </c>
      <c r="F271" s="40">
        <f t="shared" si="133"/>
        <v>31.08</v>
      </c>
      <c r="G271" s="3">
        <f t="shared" si="134"/>
        <v>213.4866187050512</v>
      </c>
      <c r="H271" s="3">
        <f t="shared" si="135"/>
        <v>81.256230789298584</v>
      </c>
      <c r="I271">
        <f t="shared" si="120"/>
        <v>8.1256230789298584E-5</v>
      </c>
      <c r="J271" s="4">
        <f t="shared" si="136"/>
        <v>423.76631224649338</v>
      </c>
      <c r="K271" s="40">
        <f t="shared" si="137"/>
        <v>5.2151854464593654</v>
      </c>
      <c r="L271" s="40">
        <f t="shared" si="121"/>
        <v>0.78481455354063456</v>
      </c>
      <c r="M271" s="10">
        <f t="shared" si="138"/>
        <v>5.0535513482231682</v>
      </c>
      <c r="N271" s="10">
        <f t="shared" si="110"/>
        <v>8.26</v>
      </c>
      <c r="O271" s="10">
        <f t="shared" si="111"/>
        <v>0.31900000000000001</v>
      </c>
      <c r="P271" s="10">
        <f t="shared" si="139"/>
        <v>13.849286166617489</v>
      </c>
      <c r="Q271" s="42">
        <f t="shared" si="140"/>
        <v>0.11978116054274651</v>
      </c>
      <c r="R271" s="4">
        <f t="shared" si="141"/>
        <v>71497.079398934962</v>
      </c>
      <c r="S271">
        <f t="shared" si="122"/>
        <v>7.149707939893496E-5</v>
      </c>
      <c r="T271" s="41">
        <f t="shared" si="123"/>
        <v>1.0830729264294887E-4</v>
      </c>
      <c r="U271" s="42">
        <f t="shared" si="142"/>
        <v>0.12830508383535874</v>
      </c>
      <c r="V271" s="42">
        <f t="shared" si="143"/>
        <v>0.45376068334449754</v>
      </c>
      <c r="W271" s="42">
        <f t="shared" si="144"/>
        <v>0.44955739335163952</v>
      </c>
      <c r="X271" s="42">
        <f t="shared" si="145"/>
        <v>4.203289992858017E-3</v>
      </c>
      <c r="Y271" s="42">
        <f t="shared" si="119"/>
        <v>1.6592891619960689E-3</v>
      </c>
      <c r="Z271" s="10">
        <f t="shared" si="146"/>
        <v>15.320197943329291</v>
      </c>
      <c r="AA271">
        <f t="shared" si="124"/>
        <v>5054023.6410083789</v>
      </c>
      <c r="AB271" s="10">
        <f t="shared" si="125"/>
        <v>5.0540236410083788</v>
      </c>
      <c r="AC271" s="10">
        <f t="shared" si="126"/>
        <v>4.9530236410083788</v>
      </c>
      <c r="AD271" s="3">
        <f t="shared" si="127"/>
        <v>718.35005670897442</v>
      </c>
      <c r="AI271" s="94">
        <f t="shared" si="128"/>
        <v>0.44955739335163952</v>
      </c>
    </row>
    <row r="272" spans="2:35">
      <c r="B272" s="39">
        <f t="shared" si="129"/>
        <v>244</v>
      </c>
      <c r="C272" s="42">
        <f t="shared" si="130"/>
        <v>1.6208153477201297</v>
      </c>
      <c r="D272" s="10">
        <f t="shared" si="131"/>
        <v>3.9191846522796538</v>
      </c>
      <c r="E272" s="40">
        <f t="shared" si="132"/>
        <v>23.241630695440691</v>
      </c>
      <c r="F272" s="40">
        <f t="shared" si="133"/>
        <v>31.08</v>
      </c>
      <c r="G272" s="3">
        <f t="shared" si="134"/>
        <v>213.43347721824071</v>
      </c>
      <c r="H272" s="3">
        <f t="shared" si="135"/>
        <v>81.256230789298584</v>
      </c>
      <c r="I272">
        <f t="shared" si="120"/>
        <v>8.1256230789298584E-5</v>
      </c>
      <c r="J272" s="4">
        <f t="shared" si="136"/>
        <v>424.25119422096532</v>
      </c>
      <c r="K272" s="40">
        <f t="shared" si="137"/>
        <v>5.221152766992966</v>
      </c>
      <c r="L272" s="40">
        <f t="shared" si="121"/>
        <v>0.77884723300703396</v>
      </c>
      <c r="M272" s="10">
        <f t="shared" si="138"/>
        <v>5.0540236410083788</v>
      </c>
      <c r="N272" s="10">
        <f t="shared" si="110"/>
        <v>8.26</v>
      </c>
      <c r="O272" s="10">
        <f t="shared" si="111"/>
        <v>0.31900000000000001</v>
      </c>
      <c r="P272" s="10">
        <f t="shared" si="139"/>
        <v>13.849699041897189</v>
      </c>
      <c r="Q272" s="42">
        <f t="shared" si="140"/>
        <v>0.12026078727190626</v>
      </c>
      <c r="R272" s="4">
        <f t="shared" si="141"/>
        <v>71375.792166894375</v>
      </c>
      <c r="S272">
        <f t="shared" si="122"/>
        <v>7.1375792166894378E-5</v>
      </c>
      <c r="T272" s="41">
        <f t="shared" si="123"/>
        <v>1.0842857987498946E-4</v>
      </c>
      <c r="U272" s="42">
        <f t="shared" si="142"/>
        <v>0.12808742783310029</v>
      </c>
      <c r="V272" s="42">
        <f t="shared" si="143"/>
        <v>0.45380290343652208</v>
      </c>
      <c r="W272" s="42">
        <f t="shared" si="144"/>
        <v>0.44960026473216419</v>
      </c>
      <c r="X272" s="42">
        <f t="shared" si="145"/>
        <v>4.2026387043578861E-3</v>
      </c>
      <c r="Y272" s="42">
        <f t="shared" si="119"/>
        <v>1.6613048598516803E-3</v>
      </c>
      <c r="Z272" s="10">
        <f t="shared" si="146"/>
        <v>15.321651005362684</v>
      </c>
      <c r="AA272">
        <f t="shared" si="124"/>
        <v>5054493.4163095783</v>
      </c>
      <c r="AB272" s="10">
        <f t="shared" si="125"/>
        <v>5.0544934163095787</v>
      </c>
      <c r="AC272" s="10">
        <f t="shared" si="126"/>
        <v>4.9534934163095787</v>
      </c>
      <c r="AD272" s="3">
        <f t="shared" si="127"/>
        <v>718.41818945751675</v>
      </c>
      <c r="AI272" s="94">
        <f t="shared" si="128"/>
        <v>0.44960026473216419</v>
      </c>
    </row>
    <row r="273" spans="2:35">
      <c r="B273" s="39">
        <f t="shared" si="129"/>
        <v>245</v>
      </c>
      <c r="C273" s="42">
        <f t="shared" si="130"/>
        <v>1.6274580335714417</v>
      </c>
      <c r="D273" s="10">
        <f t="shared" si="131"/>
        <v>3.912541966428341</v>
      </c>
      <c r="E273" s="40">
        <f t="shared" si="132"/>
        <v>23.254916067143316</v>
      </c>
      <c r="F273" s="40">
        <f t="shared" si="133"/>
        <v>31.08</v>
      </c>
      <c r="G273" s="3">
        <f t="shared" si="134"/>
        <v>213.38033573143022</v>
      </c>
      <c r="H273" s="3">
        <f t="shared" si="135"/>
        <v>81.256230789298584</v>
      </c>
      <c r="I273">
        <f t="shared" si="120"/>
        <v>8.1256230789298584E-5</v>
      </c>
      <c r="J273" s="4">
        <f t="shared" si="136"/>
        <v>424.73635344271872</v>
      </c>
      <c r="K273" s="40">
        <f t="shared" si="137"/>
        <v>5.227123499539144</v>
      </c>
      <c r="L273" s="40">
        <f t="shared" si="121"/>
        <v>0.77287650046085599</v>
      </c>
      <c r="M273" s="10">
        <f t="shared" si="138"/>
        <v>5.0544934163095787</v>
      </c>
      <c r="N273" s="10">
        <f t="shared" si="110"/>
        <v>8.26</v>
      </c>
      <c r="O273" s="10">
        <f t="shared" si="111"/>
        <v>0.31900000000000001</v>
      </c>
      <c r="P273" s="10">
        <f t="shared" si="139"/>
        <v>13.850109690344441</v>
      </c>
      <c r="Q273" s="42">
        <f t="shared" si="140"/>
        <v>0.12074039978038646</v>
      </c>
      <c r="R273" s="4">
        <f t="shared" si="141"/>
        <v>71254.497310433886</v>
      </c>
      <c r="S273">
        <f t="shared" si="122"/>
        <v>7.1254497310433888E-5</v>
      </c>
      <c r="T273" s="41">
        <f t="shared" si="123"/>
        <v>1.0854987473144995E-4</v>
      </c>
      <c r="U273" s="42">
        <f t="shared" si="142"/>
        <v>0.12786975814843912</v>
      </c>
      <c r="V273" s="42">
        <f t="shared" si="143"/>
        <v>0.45384488688778196</v>
      </c>
      <c r="W273" s="42">
        <f t="shared" si="144"/>
        <v>0.44964290759339243</v>
      </c>
      <c r="X273" s="42">
        <f t="shared" si="145"/>
        <v>4.2019792943895351E-3</v>
      </c>
      <c r="Y273" s="42">
        <f t="shared" si="119"/>
        <v>1.6633201816816444E-3</v>
      </c>
      <c r="Z273" s="10">
        <f t="shared" si="146"/>
        <v>15.323096279905091</v>
      </c>
      <c r="AA273">
        <f t="shared" si="124"/>
        <v>5054960.6739130877</v>
      </c>
      <c r="AB273" s="10">
        <f t="shared" si="125"/>
        <v>5.0549606739130875</v>
      </c>
      <c r="AC273" s="10">
        <f t="shared" si="126"/>
        <v>4.9539606739130875</v>
      </c>
      <c r="AD273" s="3">
        <f t="shared" si="127"/>
        <v>718.48595705773573</v>
      </c>
      <c r="AI273" s="94">
        <f t="shared" si="128"/>
        <v>0.44964290759339243</v>
      </c>
    </row>
    <row r="274" spans="2:35">
      <c r="B274" s="39">
        <f t="shared" si="129"/>
        <v>246</v>
      </c>
      <c r="C274" s="42">
        <f t="shared" si="130"/>
        <v>1.6341007194227537</v>
      </c>
      <c r="D274" s="10">
        <f t="shared" si="131"/>
        <v>3.9058992805770281</v>
      </c>
      <c r="E274" s="40">
        <f t="shared" si="132"/>
        <v>23.268201438845942</v>
      </c>
      <c r="F274" s="40">
        <f t="shared" si="133"/>
        <v>31.08</v>
      </c>
      <c r="G274" s="3">
        <f t="shared" si="134"/>
        <v>213.32719424461973</v>
      </c>
      <c r="H274" s="3">
        <f t="shared" si="135"/>
        <v>81.256230789298584</v>
      </c>
      <c r="I274">
        <f t="shared" si="120"/>
        <v>8.1256230789298584E-5</v>
      </c>
      <c r="J274" s="4">
        <f t="shared" si="136"/>
        <v>425.22178991175377</v>
      </c>
      <c r="K274" s="40">
        <f t="shared" si="137"/>
        <v>5.2330976440979011</v>
      </c>
      <c r="L274" s="40">
        <f t="shared" si="121"/>
        <v>0.76690235590209888</v>
      </c>
      <c r="M274" s="10">
        <f t="shared" si="138"/>
        <v>5.0549606739130875</v>
      </c>
      <c r="N274" s="10">
        <f t="shared" si="110"/>
        <v>8.26</v>
      </c>
      <c r="O274" s="10">
        <f t="shared" si="111"/>
        <v>0.31900000000000001</v>
      </c>
      <c r="P274" s="10">
        <f t="shared" si="139"/>
        <v>13.850518112194415</v>
      </c>
      <c r="Q274" s="42">
        <f t="shared" si="140"/>
        <v>0.12121999814613017</v>
      </c>
      <c r="R274" s="4">
        <f t="shared" si="141"/>
        <v>71133.194873753469</v>
      </c>
      <c r="S274">
        <f t="shared" si="122"/>
        <v>7.1133194873753471E-5</v>
      </c>
      <c r="T274" s="41">
        <f t="shared" si="123"/>
        <v>1.0867117716813036E-4</v>
      </c>
      <c r="U274" s="42">
        <f t="shared" si="142"/>
        <v>0.12765207486069427</v>
      </c>
      <c r="V274" s="42">
        <f t="shared" si="143"/>
        <v>0.45388663367793508</v>
      </c>
      <c r="W274" s="42">
        <f t="shared" si="144"/>
        <v>0.44968532191592803</v>
      </c>
      <c r="X274" s="42">
        <f t="shared" si="145"/>
        <v>4.2013117620070539E-3</v>
      </c>
      <c r="Y274" s="42">
        <f t="shared" si="119"/>
        <v>1.6653351239366827E-3</v>
      </c>
      <c r="Z274" s="10">
        <f t="shared" si="146"/>
        <v>15.324533766300915</v>
      </c>
      <c r="AA274">
        <f t="shared" si="124"/>
        <v>5055425.4136069529</v>
      </c>
      <c r="AB274" s="10">
        <f t="shared" si="125"/>
        <v>5.0554254136069527</v>
      </c>
      <c r="AC274" s="10">
        <f t="shared" si="126"/>
        <v>4.9544254136069528</v>
      </c>
      <c r="AD274" s="3">
        <f t="shared" si="127"/>
        <v>718.55335947889091</v>
      </c>
      <c r="AI274" s="94">
        <f t="shared" si="128"/>
        <v>0.44968532191592803</v>
      </c>
    </row>
    <row r="275" spans="2:35">
      <c r="B275" s="39">
        <f t="shared" si="129"/>
        <v>247</v>
      </c>
      <c r="C275" s="42">
        <f t="shared" si="130"/>
        <v>1.6407434052740657</v>
      </c>
      <c r="D275" s="10">
        <f t="shared" si="131"/>
        <v>3.8992565947257152</v>
      </c>
      <c r="E275" s="40">
        <f t="shared" si="132"/>
        <v>23.281486810548568</v>
      </c>
      <c r="F275" s="40">
        <f t="shared" si="133"/>
        <v>31.08</v>
      </c>
      <c r="G275" s="3">
        <f t="shared" si="134"/>
        <v>213.27405275780924</v>
      </c>
      <c r="H275" s="3">
        <f t="shared" si="135"/>
        <v>81.256230789298584</v>
      </c>
      <c r="I275">
        <f t="shared" si="120"/>
        <v>8.1256230789298584E-5</v>
      </c>
      <c r="J275" s="4">
        <f t="shared" si="136"/>
        <v>425.70750362807036</v>
      </c>
      <c r="K275" s="40">
        <f t="shared" si="137"/>
        <v>5.2390752006692374</v>
      </c>
      <c r="L275" s="40">
        <f t="shared" si="121"/>
        <v>0.76092479933076262</v>
      </c>
      <c r="M275" s="10">
        <f t="shared" si="138"/>
        <v>5.0554254136069527</v>
      </c>
      <c r="N275" s="10">
        <f t="shared" si="110"/>
        <v>8.26</v>
      </c>
      <c r="O275" s="10">
        <f t="shared" si="111"/>
        <v>0.31900000000000001</v>
      </c>
      <c r="P275" s="10">
        <f t="shared" si="139"/>
        <v>13.850924307681463</v>
      </c>
      <c r="Q275" s="42">
        <f t="shared" si="140"/>
        <v>0.1216995824470586</v>
      </c>
      <c r="R275" s="4">
        <f t="shared" si="141"/>
        <v>71011.884901053127</v>
      </c>
      <c r="S275">
        <f t="shared" si="122"/>
        <v>7.1011884901053124E-5</v>
      </c>
      <c r="T275" s="41">
        <f t="shared" si="123"/>
        <v>1.0879248714083071E-4</v>
      </c>
      <c r="U275" s="42">
        <f t="shared" si="142"/>
        <v>0.12743437804918487</v>
      </c>
      <c r="V275" s="42">
        <f t="shared" si="143"/>
        <v>0.4539281437861204</v>
      </c>
      <c r="W275" s="42">
        <f t="shared" si="144"/>
        <v>0.44972750768053121</v>
      </c>
      <c r="X275" s="42">
        <f t="shared" si="145"/>
        <v>4.2006361055891839E-3</v>
      </c>
      <c r="Y275" s="42">
        <f t="shared" si="119"/>
        <v>1.6673496830668364E-3</v>
      </c>
      <c r="Z275" s="10">
        <f t="shared" si="146"/>
        <v>15.325963463896823</v>
      </c>
      <c r="AA275">
        <f t="shared" si="124"/>
        <v>5055887.6351799527</v>
      </c>
      <c r="AB275" s="10">
        <f t="shared" si="125"/>
        <v>5.0558876351799524</v>
      </c>
      <c r="AC275" s="10">
        <f t="shared" si="126"/>
        <v>4.9548876351799525</v>
      </c>
      <c r="AD275" s="3">
        <f t="shared" si="127"/>
        <v>718.62039669034846</v>
      </c>
      <c r="AI275" s="94">
        <f t="shared" si="128"/>
        <v>0.44972750768053121</v>
      </c>
    </row>
    <row r="276" spans="2:35">
      <c r="B276" s="39">
        <f t="shared" si="129"/>
        <v>248</v>
      </c>
      <c r="C276" s="42">
        <f t="shared" si="130"/>
        <v>1.6473860911253777</v>
      </c>
      <c r="D276" s="10">
        <f t="shared" si="131"/>
        <v>3.8926139088744023</v>
      </c>
      <c r="E276" s="40">
        <f t="shared" si="132"/>
        <v>23.294772182251194</v>
      </c>
      <c r="F276" s="40">
        <f t="shared" si="133"/>
        <v>31.08</v>
      </c>
      <c r="G276" s="3">
        <f t="shared" si="134"/>
        <v>213.22091127099876</v>
      </c>
      <c r="H276" s="3">
        <f t="shared" si="135"/>
        <v>81.256230789298584</v>
      </c>
      <c r="I276">
        <f t="shared" si="120"/>
        <v>8.1256230789298584E-5</v>
      </c>
      <c r="J276" s="4">
        <f t="shared" si="136"/>
        <v>426.19349459166847</v>
      </c>
      <c r="K276" s="40">
        <f t="shared" si="137"/>
        <v>5.2450561692531519</v>
      </c>
      <c r="L276" s="40">
        <f t="shared" si="121"/>
        <v>0.75494383074684812</v>
      </c>
      <c r="M276" s="10">
        <f t="shared" si="138"/>
        <v>5.0558876351799524</v>
      </c>
      <c r="N276" s="10">
        <f t="shared" si="110"/>
        <v>8.26</v>
      </c>
      <c r="O276" s="10">
        <f t="shared" si="111"/>
        <v>0.31900000000000001</v>
      </c>
      <c r="P276" s="10">
        <f t="shared" si="139"/>
        <v>13.851328277038261</v>
      </c>
      <c r="Q276" s="42">
        <f t="shared" si="140"/>
        <v>0.12217915276107129</v>
      </c>
      <c r="R276" s="4">
        <f t="shared" si="141"/>
        <v>70890.567436532874</v>
      </c>
      <c r="S276">
        <f t="shared" si="122"/>
        <v>7.0890567436532868E-5</v>
      </c>
      <c r="T276" s="41">
        <f t="shared" si="123"/>
        <v>1.0891380460535097E-4</v>
      </c>
      <c r="U276" s="42">
        <f t="shared" si="142"/>
        <v>0.12721666779323007</v>
      </c>
      <c r="V276" s="42">
        <f t="shared" si="143"/>
        <v>0.45396941719172873</v>
      </c>
      <c r="W276" s="42">
        <f t="shared" si="144"/>
        <v>0.44976946486802877</v>
      </c>
      <c r="X276" s="42">
        <f t="shared" si="145"/>
        <v>4.1999523236999625E-3</v>
      </c>
      <c r="Y276" s="42">
        <f t="shared" si="119"/>
        <v>1.6693638555215515E-3</v>
      </c>
      <c r="Z276" s="10">
        <f t="shared" si="146"/>
        <v>15.3273853720425</v>
      </c>
      <c r="AA276">
        <f t="shared" si="124"/>
        <v>5056347.3384218374</v>
      </c>
      <c r="AB276" s="10">
        <f t="shared" si="125"/>
        <v>5.0563473384218378</v>
      </c>
      <c r="AC276" s="10">
        <f t="shared" si="126"/>
        <v>4.9553473384218378</v>
      </c>
      <c r="AD276" s="3">
        <f t="shared" si="127"/>
        <v>718.68706866161529</v>
      </c>
      <c r="AI276" s="94">
        <f t="shared" si="128"/>
        <v>0.44976946486802877</v>
      </c>
    </row>
    <row r="277" spans="2:35">
      <c r="B277" s="39">
        <f t="shared" si="129"/>
        <v>249</v>
      </c>
      <c r="C277" s="42">
        <f t="shared" si="130"/>
        <v>1.6540287769766897</v>
      </c>
      <c r="D277" s="10">
        <f t="shared" si="131"/>
        <v>3.8859712230230894</v>
      </c>
      <c r="E277" s="40">
        <f t="shared" si="132"/>
        <v>23.30805755395382</v>
      </c>
      <c r="F277" s="40">
        <f t="shared" si="133"/>
        <v>31.08</v>
      </c>
      <c r="G277" s="3">
        <f t="shared" si="134"/>
        <v>213.16776978418827</v>
      </c>
      <c r="H277" s="3">
        <f t="shared" si="135"/>
        <v>81.256230789298584</v>
      </c>
      <c r="I277">
        <f t="shared" si="120"/>
        <v>8.1256230789298584E-5</v>
      </c>
      <c r="J277" s="4">
        <f t="shared" si="136"/>
        <v>426.67976280254817</v>
      </c>
      <c r="K277" s="40">
        <f t="shared" si="137"/>
        <v>5.2510405498496455</v>
      </c>
      <c r="L277" s="40">
        <f t="shared" si="121"/>
        <v>0.74895945015035448</v>
      </c>
      <c r="M277" s="10">
        <f t="shared" si="138"/>
        <v>5.0563473384218378</v>
      </c>
      <c r="N277" s="10">
        <f t="shared" si="110"/>
        <v>8.26</v>
      </c>
      <c r="O277" s="10">
        <f t="shared" si="111"/>
        <v>0.31900000000000001</v>
      </c>
      <c r="P277" s="10">
        <f t="shared" si="139"/>
        <v>13.851730020496008</v>
      </c>
      <c r="Q277" s="42">
        <f t="shared" si="140"/>
        <v>0.1226587091660462</v>
      </c>
      <c r="R277" s="4">
        <f t="shared" si="141"/>
        <v>70769.242524392699</v>
      </c>
      <c r="S277">
        <f t="shared" si="122"/>
        <v>7.0769242524392699E-5</v>
      </c>
      <c r="T277" s="41">
        <f t="shared" si="123"/>
        <v>1.0903512951749114E-4</v>
      </c>
      <c r="U277" s="42">
        <f t="shared" si="142"/>
        <v>0.12699894417214891</v>
      </c>
      <c r="V277" s="42">
        <f t="shared" si="143"/>
        <v>0.45401045387466837</v>
      </c>
      <c r="W277" s="42">
        <f t="shared" si="144"/>
        <v>0.44981119345933573</v>
      </c>
      <c r="X277" s="42">
        <f t="shared" si="145"/>
        <v>4.1992604153326396E-3</v>
      </c>
      <c r="Y277" s="42">
        <f t="shared" si="119"/>
        <v>1.6713776377498819E-3</v>
      </c>
      <c r="Z277" s="10">
        <f t="shared" si="146"/>
        <v>15.328799490092447</v>
      </c>
      <c r="AA277">
        <f t="shared" si="124"/>
        <v>5056804.52312392</v>
      </c>
      <c r="AB277" s="10">
        <f t="shared" si="125"/>
        <v>5.0568045231239198</v>
      </c>
      <c r="AC277" s="10">
        <f t="shared" si="126"/>
        <v>4.9558045231239198</v>
      </c>
      <c r="AD277" s="3">
        <f t="shared" si="127"/>
        <v>718.75337536242489</v>
      </c>
      <c r="AI277" s="94">
        <f t="shared" si="128"/>
        <v>0.44981119345933573</v>
      </c>
    </row>
    <row r="278" spans="2:35">
      <c r="B278" s="39">
        <f t="shared" si="129"/>
        <v>250</v>
      </c>
      <c r="C278" s="42">
        <f t="shared" si="130"/>
        <v>1.6606714628280017</v>
      </c>
      <c r="D278" s="10">
        <f t="shared" si="131"/>
        <v>3.8793285371717765</v>
      </c>
      <c r="E278" s="40">
        <f t="shared" si="132"/>
        <v>23.321342925656445</v>
      </c>
      <c r="F278" s="40">
        <f t="shared" si="133"/>
        <v>31.08</v>
      </c>
      <c r="G278" s="3">
        <f t="shared" si="134"/>
        <v>213.11462829737778</v>
      </c>
      <c r="H278" s="3">
        <f t="shared" si="135"/>
        <v>81.256230789298584</v>
      </c>
      <c r="I278">
        <f t="shared" si="120"/>
        <v>8.1256230789298584E-5</v>
      </c>
      <c r="J278" s="4">
        <f t="shared" si="136"/>
        <v>427.16630826070946</v>
      </c>
      <c r="K278" s="40">
        <f t="shared" si="137"/>
        <v>5.2570283424587192</v>
      </c>
      <c r="L278" s="40">
        <f t="shared" si="121"/>
        <v>0.74297165754128081</v>
      </c>
      <c r="M278" s="10">
        <f t="shared" si="138"/>
        <v>5.0568045231239198</v>
      </c>
      <c r="N278" s="10">
        <f t="shared" si="110"/>
        <v>8.26</v>
      </c>
      <c r="O278" s="10">
        <f t="shared" si="111"/>
        <v>0.31900000000000001</v>
      </c>
      <c r="P278" s="10">
        <f t="shared" si="139"/>
        <v>13.852129538284949</v>
      </c>
      <c r="Q278" s="42">
        <f t="shared" si="140"/>
        <v>0.12313825173983983</v>
      </c>
      <c r="R278" s="4">
        <f t="shared" si="141"/>
        <v>70647.910208832574</v>
      </c>
      <c r="S278">
        <f t="shared" si="122"/>
        <v>7.064791020883257E-5</v>
      </c>
      <c r="T278" s="41">
        <f t="shared" si="123"/>
        <v>1.0915646183305126E-4</v>
      </c>
      <c r="U278" s="42">
        <f t="shared" si="142"/>
        <v>0.12678120726526049</v>
      </c>
      <c r="V278" s="42">
        <f t="shared" si="143"/>
        <v>0.45405125381447564</v>
      </c>
      <c r="W278" s="42">
        <f t="shared" si="144"/>
        <v>0.4498526934355091</v>
      </c>
      <c r="X278" s="42">
        <f t="shared" si="145"/>
        <v>4.1985603789665427E-3</v>
      </c>
      <c r="Y278" s="42">
        <f t="shared" si="119"/>
        <v>1.6733910262002394E-3</v>
      </c>
      <c r="Z278" s="10">
        <f t="shared" si="146"/>
        <v>15.330205817403627</v>
      </c>
      <c r="AA278">
        <f t="shared" si="124"/>
        <v>5057259.1890783049</v>
      </c>
      <c r="AB278" s="10">
        <f t="shared" si="125"/>
        <v>5.0572591890783052</v>
      </c>
      <c r="AC278" s="10">
        <f t="shared" si="126"/>
        <v>4.9562591890783052</v>
      </c>
      <c r="AD278" s="3">
        <f t="shared" si="127"/>
        <v>718.81931676262582</v>
      </c>
      <c r="AI278" s="94">
        <f t="shared" si="128"/>
        <v>0.4498526934355091</v>
      </c>
    </row>
    <row r="279" spans="2:35">
      <c r="B279" s="39">
        <f t="shared" si="129"/>
        <v>251</v>
      </c>
      <c r="C279" s="42">
        <f t="shared" si="130"/>
        <v>1.6673141486793137</v>
      </c>
      <c r="D279" s="10">
        <f t="shared" si="131"/>
        <v>3.8726858513204636</v>
      </c>
      <c r="E279" s="40">
        <f t="shared" si="132"/>
        <v>23.334628297359071</v>
      </c>
      <c r="F279" s="40">
        <f t="shared" si="133"/>
        <v>31.08</v>
      </c>
      <c r="G279" s="3">
        <f t="shared" si="134"/>
        <v>213.06148681056729</v>
      </c>
      <c r="H279" s="3">
        <f t="shared" si="135"/>
        <v>81.256230789298584</v>
      </c>
      <c r="I279">
        <f t="shared" si="120"/>
        <v>8.1256230789298584E-5</v>
      </c>
      <c r="J279" s="4">
        <f t="shared" si="136"/>
        <v>427.65313096615233</v>
      </c>
      <c r="K279" s="40">
        <f t="shared" si="137"/>
        <v>5.2630195470803711</v>
      </c>
      <c r="L279" s="40">
        <f t="shared" si="121"/>
        <v>0.73698045291962888</v>
      </c>
      <c r="M279" s="10">
        <f t="shared" si="138"/>
        <v>5.0572591890783052</v>
      </c>
      <c r="N279" s="10">
        <f t="shared" si="110"/>
        <v>8.26</v>
      </c>
      <c r="O279" s="10">
        <f t="shared" si="111"/>
        <v>0.31900000000000001</v>
      </c>
      <c r="P279" s="10">
        <f t="shared" si="139"/>
        <v>13.8525268306337</v>
      </c>
      <c r="Q279" s="42">
        <f t="shared" si="140"/>
        <v>0.1236177805602874</v>
      </c>
      <c r="R279" s="4">
        <f t="shared" si="141"/>
        <v>70526.570534052531</v>
      </c>
      <c r="S279">
        <f t="shared" si="122"/>
        <v>7.0526570534052533E-5</v>
      </c>
      <c r="T279" s="41">
        <f t="shared" si="123"/>
        <v>1.092778015078313E-4</v>
      </c>
      <c r="U279" s="42">
        <f t="shared" si="142"/>
        <v>0.12656345715188397</v>
      </c>
      <c r="V279" s="42">
        <f t="shared" si="143"/>
        <v>0.4540918169908621</v>
      </c>
      <c r="W279" s="42">
        <f t="shared" si="144"/>
        <v>0.4498939647776774</v>
      </c>
      <c r="X279" s="42">
        <f t="shared" si="145"/>
        <v>4.197852213184694E-3</v>
      </c>
      <c r="Y279" s="42">
        <f t="shared" si="119"/>
        <v>1.675404017320441E-3</v>
      </c>
      <c r="Z279" s="10">
        <f t="shared" si="146"/>
        <v>15.331604353335884</v>
      </c>
      <c r="AA279">
        <f t="shared" si="124"/>
        <v>5057711.3360780301</v>
      </c>
      <c r="AB279" s="10">
        <f t="shared" si="125"/>
        <v>5.0577113360780297</v>
      </c>
      <c r="AC279" s="10">
        <f t="shared" si="126"/>
        <v>4.9567113360780297</v>
      </c>
      <c r="AD279" s="3">
        <f t="shared" si="127"/>
        <v>718.88489283220156</v>
      </c>
      <c r="AI279" s="94">
        <f t="shared" si="128"/>
        <v>0.4498939647776774</v>
      </c>
    </row>
    <row r="280" spans="2:35">
      <c r="B280" s="39">
        <f t="shared" si="129"/>
        <v>252</v>
      </c>
      <c r="C280" s="42">
        <f t="shared" si="130"/>
        <v>1.6739568345306257</v>
      </c>
      <c r="D280" s="10">
        <f t="shared" si="131"/>
        <v>3.8660431654691507</v>
      </c>
      <c r="E280" s="40">
        <f t="shared" si="132"/>
        <v>23.347913669061697</v>
      </c>
      <c r="F280" s="40">
        <f t="shared" si="133"/>
        <v>31.08</v>
      </c>
      <c r="G280" s="3">
        <f t="shared" si="134"/>
        <v>213.0083453237568</v>
      </c>
      <c r="H280" s="3">
        <f t="shared" si="135"/>
        <v>81.256230789298584</v>
      </c>
      <c r="I280">
        <f t="shared" si="120"/>
        <v>8.1256230789298584E-5</v>
      </c>
      <c r="J280" s="4">
        <f t="shared" si="136"/>
        <v>428.14023091887668</v>
      </c>
      <c r="K280" s="40">
        <f t="shared" si="137"/>
        <v>5.2690141637146013</v>
      </c>
      <c r="L280" s="40">
        <f t="shared" si="121"/>
        <v>0.7309858362853987</v>
      </c>
      <c r="M280" s="10">
        <f t="shared" si="138"/>
        <v>5.0577113360780297</v>
      </c>
      <c r="N280" s="10">
        <f t="shared" si="110"/>
        <v>8.26</v>
      </c>
      <c r="O280" s="10">
        <f t="shared" si="111"/>
        <v>0.31900000000000001</v>
      </c>
      <c r="P280" s="10">
        <f t="shared" si="139"/>
        <v>13.852921897769377</v>
      </c>
      <c r="Q280" s="42">
        <f t="shared" si="140"/>
        <v>0.12409729570520289</v>
      </c>
      <c r="R280" s="4">
        <f t="shared" si="141"/>
        <v>70405.223544252571</v>
      </c>
      <c r="S280">
        <f t="shared" si="122"/>
        <v>7.0405223544252568E-5</v>
      </c>
      <c r="T280" s="41">
        <f t="shared" si="123"/>
        <v>1.0939914849763127E-4</v>
      </c>
      <c r="U280" s="42">
        <f t="shared" si="142"/>
        <v>0.12634569391133843</v>
      </c>
      <c r="V280" s="42">
        <f t="shared" si="143"/>
        <v>0.45413214338394586</v>
      </c>
      <c r="W280" s="42">
        <f t="shared" si="144"/>
        <v>0.44993500746705439</v>
      </c>
      <c r="X280" s="42">
        <f t="shared" si="145"/>
        <v>4.1971359168914701E-3</v>
      </c>
      <c r="Y280" s="42">
        <f t="shared" si="119"/>
        <v>1.6774166075578592E-3</v>
      </c>
      <c r="Z280" s="10">
        <f t="shared" si="146"/>
        <v>15.332995097253239</v>
      </c>
      <c r="AA280">
        <f t="shared" si="124"/>
        <v>5058160.9639174826</v>
      </c>
      <c r="AB280" s="10">
        <f t="shared" si="125"/>
        <v>5.0581609639174827</v>
      </c>
      <c r="AC280" s="10">
        <f t="shared" si="126"/>
        <v>4.9571609639174827</v>
      </c>
      <c r="AD280" s="3">
        <f t="shared" si="127"/>
        <v>718.95010354133183</v>
      </c>
      <c r="AI280" s="94">
        <f t="shared" si="128"/>
        <v>0.44993500746705439</v>
      </c>
    </row>
    <row r="281" spans="2:35">
      <c r="B281" s="39">
        <f t="shared" si="129"/>
        <v>253</v>
      </c>
      <c r="C281" s="42">
        <f t="shared" si="130"/>
        <v>1.6805995203819377</v>
      </c>
      <c r="D281" s="10">
        <f t="shared" si="131"/>
        <v>3.8594004796178378</v>
      </c>
      <c r="E281" s="40">
        <f t="shared" si="132"/>
        <v>23.361199040764323</v>
      </c>
      <c r="F281" s="40">
        <f t="shared" si="133"/>
        <v>31.08</v>
      </c>
      <c r="G281" s="3">
        <f t="shared" si="134"/>
        <v>212.95520383694631</v>
      </c>
      <c r="H281" s="3">
        <f t="shared" si="135"/>
        <v>81.256230789298584</v>
      </c>
      <c r="I281">
        <f t="shared" si="120"/>
        <v>8.1256230789298584E-5</v>
      </c>
      <c r="J281" s="4">
        <f t="shared" si="136"/>
        <v>428.62760811888262</v>
      </c>
      <c r="K281" s="40">
        <f t="shared" si="137"/>
        <v>5.2750121923614097</v>
      </c>
      <c r="L281" s="40">
        <f t="shared" si="121"/>
        <v>0.72498780763859028</v>
      </c>
      <c r="M281" s="10">
        <f t="shared" si="138"/>
        <v>5.0581609639174827</v>
      </c>
      <c r="N281" s="10">
        <f t="shared" si="110"/>
        <v>8.26</v>
      </c>
      <c r="O281" s="10">
        <f t="shared" si="111"/>
        <v>0.31900000000000001</v>
      </c>
      <c r="P281" s="10">
        <f t="shared" si="139"/>
        <v>13.85331473991795</v>
      </c>
      <c r="Q281" s="42">
        <f t="shared" si="140"/>
        <v>0.12457679725237927</v>
      </c>
      <c r="R281" s="4">
        <f t="shared" si="141"/>
        <v>70283.869283632666</v>
      </c>
      <c r="S281">
        <f t="shared" si="122"/>
        <v>7.028386928363267E-5</v>
      </c>
      <c r="T281" s="41">
        <f t="shared" si="123"/>
        <v>1.0952050275825116E-4</v>
      </c>
      <c r="U281" s="42">
        <f t="shared" si="142"/>
        <v>0.12612791762294298</v>
      </c>
      <c r="V281" s="42">
        <f t="shared" si="143"/>
        <v>0.45417223297371762</v>
      </c>
      <c r="W281" s="42">
        <f t="shared" si="144"/>
        <v>0.44997582148497567</v>
      </c>
      <c r="X281" s="42">
        <f t="shared" si="145"/>
        <v>4.1964114887419468E-3</v>
      </c>
      <c r="Y281" s="42">
        <f t="shared" si="119"/>
        <v>1.6794287933592997E-3</v>
      </c>
      <c r="Z281" s="10">
        <f t="shared" si="146"/>
        <v>15.33437804852273</v>
      </c>
      <c r="AA281">
        <f t="shared" si="124"/>
        <v>5058608.0723920269</v>
      </c>
      <c r="AB281" s="10">
        <f t="shared" si="125"/>
        <v>5.058608072392027</v>
      </c>
      <c r="AC281" s="10">
        <f t="shared" si="126"/>
        <v>4.9576080723920271</v>
      </c>
      <c r="AD281" s="3">
        <f t="shared" si="127"/>
        <v>719.01494886033743</v>
      </c>
      <c r="AI281" s="94">
        <f t="shared" si="128"/>
        <v>0.44997582148497567</v>
      </c>
    </row>
    <row r="282" spans="2:35">
      <c r="B282" s="39">
        <f t="shared" si="129"/>
        <v>254</v>
      </c>
      <c r="C282" s="42">
        <f t="shared" si="130"/>
        <v>1.6872422062332497</v>
      </c>
      <c r="D282" s="10">
        <f t="shared" si="131"/>
        <v>3.8527577937665249</v>
      </c>
      <c r="E282" s="40">
        <f t="shared" si="132"/>
        <v>23.374484412466948</v>
      </c>
      <c r="F282" s="40">
        <f t="shared" si="133"/>
        <v>31.08</v>
      </c>
      <c r="G282" s="3">
        <f t="shared" si="134"/>
        <v>212.90206235013582</v>
      </c>
      <c r="H282" s="3">
        <f t="shared" si="135"/>
        <v>81.256230789298584</v>
      </c>
      <c r="I282">
        <f t="shared" si="120"/>
        <v>8.1256230789298584E-5</v>
      </c>
      <c r="J282" s="4">
        <f t="shared" si="136"/>
        <v>429.11526256617014</v>
      </c>
      <c r="K282" s="40">
        <f t="shared" si="137"/>
        <v>5.2810136330207982</v>
      </c>
      <c r="L282" s="40">
        <f t="shared" si="121"/>
        <v>0.71898636697920182</v>
      </c>
      <c r="M282" s="10">
        <f t="shared" si="138"/>
        <v>5.058608072392027</v>
      </c>
      <c r="N282" s="10">
        <f t="shared" si="110"/>
        <v>8.26</v>
      </c>
      <c r="O282" s="10">
        <f t="shared" si="111"/>
        <v>0.31900000000000001</v>
      </c>
      <c r="P282" s="10">
        <f t="shared" si="139"/>
        <v>13.853705357303935</v>
      </c>
      <c r="Q282" s="42">
        <f t="shared" si="140"/>
        <v>0.12505628527958854</v>
      </c>
      <c r="R282" s="4">
        <f t="shared" si="141"/>
        <v>70162.507796392834</v>
      </c>
      <c r="S282">
        <f t="shared" si="122"/>
        <v>7.0162507796392836E-5</v>
      </c>
      <c r="T282" s="41">
        <f t="shared" si="123"/>
        <v>1.09641864245491E-4</v>
      </c>
      <c r="U282" s="42">
        <f t="shared" si="142"/>
        <v>0.12591012836601675</v>
      </c>
      <c r="V282" s="42">
        <f t="shared" si="143"/>
        <v>0.45421208574031113</v>
      </c>
      <c r="W282" s="42">
        <f t="shared" si="144"/>
        <v>0.45001640681286603</v>
      </c>
      <c r="X282" s="42">
        <f t="shared" si="145"/>
        <v>4.1956789274451012E-3</v>
      </c>
      <c r="Y282" s="42">
        <f t="shared" si="119"/>
        <v>1.6814405711710239E-3</v>
      </c>
      <c r="Z282" s="10">
        <f t="shared" si="146"/>
        <v>15.335753206514571</v>
      </c>
      <c r="AA282">
        <f t="shared" si="124"/>
        <v>5059052.6612980515</v>
      </c>
      <c r="AB282" s="10">
        <f t="shared" si="125"/>
        <v>5.0590526612980513</v>
      </c>
      <c r="AC282" s="10">
        <f t="shared" si="126"/>
        <v>4.9580526612980513</v>
      </c>
      <c r="AD282" s="3">
        <f t="shared" si="127"/>
        <v>719.07942875968843</v>
      </c>
      <c r="AI282" s="94">
        <f t="shared" si="128"/>
        <v>0.45001640681286603</v>
      </c>
    </row>
    <row r="283" spans="2:35">
      <c r="B283" s="39">
        <f t="shared" si="129"/>
        <v>255</v>
      </c>
      <c r="C283" s="42">
        <f t="shared" si="130"/>
        <v>1.6938848920845617</v>
      </c>
      <c r="D283" s="10">
        <f t="shared" si="131"/>
        <v>3.8461151079152121</v>
      </c>
      <c r="E283" s="40">
        <f t="shared" si="132"/>
        <v>23.387769784169574</v>
      </c>
      <c r="F283" s="40">
        <f t="shared" si="133"/>
        <v>31.08</v>
      </c>
      <c r="G283" s="3">
        <f t="shared" si="134"/>
        <v>212.84892086332533</v>
      </c>
      <c r="H283" s="3">
        <f t="shared" si="135"/>
        <v>81.256230789298584</v>
      </c>
      <c r="I283">
        <f t="shared" si="120"/>
        <v>8.1256230789298584E-5</v>
      </c>
      <c r="J283" s="4">
        <f t="shared" si="136"/>
        <v>429.60319426073931</v>
      </c>
      <c r="K283" s="40">
        <f t="shared" si="137"/>
        <v>5.2870184856927658</v>
      </c>
      <c r="L283" s="40">
        <f t="shared" si="121"/>
        <v>0.71298151430723422</v>
      </c>
      <c r="M283" s="10">
        <f t="shared" si="138"/>
        <v>5.0590526612980513</v>
      </c>
      <c r="N283" s="10">
        <f t="shared" si="110"/>
        <v>8.26</v>
      </c>
      <c r="O283" s="10">
        <f t="shared" si="111"/>
        <v>0.31900000000000001</v>
      </c>
      <c r="P283" s="10">
        <f t="shared" si="139"/>
        <v>13.854093750150417</v>
      </c>
      <c r="Q283" s="42">
        <f t="shared" si="140"/>
        <v>0.12553575986458188</v>
      </c>
      <c r="R283" s="4">
        <f t="shared" si="141"/>
        <v>70041.139126733047</v>
      </c>
      <c r="S283">
        <f t="shared" si="122"/>
        <v>7.0041139126733045E-5</v>
      </c>
      <c r="T283" s="41">
        <f t="shared" si="123"/>
        <v>1.0976323291515079E-4</v>
      </c>
      <c r="U283" s="42">
        <f t="shared" si="142"/>
        <v>0.12569232621987877</v>
      </c>
      <c r="V283" s="42">
        <f t="shared" si="143"/>
        <v>0.4542517016642405</v>
      </c>
      <c r="W283" s="42">
        <f t="shared" si="144"/>
        <v>0.4500567634322431</v>
      </c>
      <c r="X283" s="42">
        <f t="shared" si="145"/>
        <v>4.1949382319974027E-3</v>
      </c>
      <c r="Y283" s="42">
        <f t="shared" si="119"/>
        <v>1.6834519374388836E-3</v>
      </c>
      <c r="Z283" s="10">
        <f t="shared" si="146"/>
        <v>15.337120570603329</v>
      </c>
      <c r="AA283">
        <f t="shared" si="124"/>
        <v>5059494.7304333551</v>
      </c>
      <c r="AB283" s="10">
        <f t="shared" si="125"/>
        <v>5.0594947304333555</v>
      </c>
      <c r="AC283" s="10">
        <f t="shared" si="126"/>
        <v>4.9584947304333555</v>
      </c>
      <c r="AD283" s="3">
        <f t="shared" si="127"/>
        <v>719.14354321005874</v>
      </c>
      <c r="AI283" s="94">
        <f t="shared" si="128"/>
        <v>0.4500567634322431</v>
      </c>
    </row>
    <row r="284" spans="2:35">
      <c r="B284" s="39">
        <f t="shared" si="129"/>
        <v>256</v>
      </c>
      <c r="C284" s="42">
        <f t="shared" si="130"/>
        <v>1.7005275779358737</v>
      </c>
      <c r="D284" s="10">
        <f t="shared" si="131"/>
        <v>3.8394724220638992</v>
      </c>
      <c r="E284" s="40">
        <f t="shared" si="132"/>
        <v>23.4010551558722</v>
      </c>
      <c r="F284" s="40">
        <f t="shared" si="133"/>
        <v>31.08</v>
      </c>
      <c r="G284" s="3">
        <f t="shared" si="134"/>
        <v>212.79577937651484</v>
      </c>
      <c r="H284" s="3">
        <f t="shared" si="135"/>
        <v>81.256230789298584</v>
      </c>
      <c r="I284">
        <f t="shared" si="120"/>
        <v>8.1256230789298584E-5</v>
      </c>
      <c r="J284" s="4">
        <f t="shared" si="136"/>
        <v>430.0914032025899</v>
      </c>
      <c r="K284" s="40">
        <f t="shared" si="137"/>
        <v>5.2930267503773107</v>
      </c>
      <c r="L284" s="40">
        <f t="shared" si="121"/>
        <v>0.70697324962268926</v>
      </c>
      <c r="M284" s="10">
        <f t="shared" si="138"/>
        <v>5.0594947304333555</v>
      </c>
      <c r="N284" s="10">
        <f t="shared" ref="N284:N347" si="147">IF(fueltype=1,VLOOKUP($M284,kndxbn_,4),IF(fueltype=2,VLOOKUP($M284,knsobn_,4),IF(fueltype=3,VLOOKUP($M284,knsbcobn_,4),IF(fueltype=4,VLOOKUP($M284,knsubn_,4),IF(fueltype=5,am_1,IF(fueltype=6,am_0,IF(fueltype=7,am_3,am_4)))))))</f>
        <v>8.26</v>
      </c>
      <c r="O284" s="10">
        <f t="shared" ref="O284:O347" si="148">IF(fueltype=1,VLOOKUP($M284,kndxbn_,5),IF(fueltype=2,VLOOKUP($M284,knsobn_,5),IF(fueltype=3,VLOOKUP($M284,knsbcobn_,5),IF(fueltype=4,VLOOKUP($M284,knsubn_,5),IF(fueltype=5,nm_1,IF(fueltype=6,an_0,IF(fueltype=7,nm_3,nm_4)))))))</f>
        <v>0.31900000000000001</v>
      </c>
      <c r="P284" s="10">
        <f t="shared" si="139"/>
        <v>13.854479918679408</v>
      </c>
      <c r="Q284" s="42">
        <f t="shared" si="140"/>
        <v>0.12601522108508975</v>
      </c>
      <c r="R284" s="4">
        <f t="shared" si="141"/>
        <v>69919.763318853336</v>
      </c>
      <c r="S284">
        <f t="shared" si="122"/>
        <v>6.9919763318853335E-5</v>
      </c>
      <c r="T284" s="41">
        <f t="shared" si="123"/>
        <v>1.098846087230305E-4</v>
      </c>
      <c r="U284" s="42">
        <f t="shared" si="142"/>
        <v>0.12547451126384823</v>
      </c>
      <c r="V284" s="42">
        <f t="shared" si="143"/>
        <v>0.45429108072560997</v>
      </c>
      <c r="W284" s="42">
        <f t="shared" si="144"/>
        <v>0.45009689132475234</v>
      </c>
      <c r="X284" s="42">
        <f t="shared" si="145"/>
        <v>4.1941894008576397E-3</v>
      </c>
      <c r="Y284" s="42">
        <f t="shared" si="119"/>
        <v>1.6854628886080599E-3</v>
      </c>
      <c r="Z284" s="10">
        <f t="shared" si="146"/>
        <v>15.338480140165499</v>
      </c>
      <c r="AA284">
        <f t="shared" si="124"/>
        <v>5059934.2795963576</v>
      </c>
      <c r="AB284" s="10">
        <f t="shared" si="125"/>
        <v>5.0599342795963578</v>
      </c>
      <c r="AC284" s="10">
        <f t="shared" si="126"/>
        <v>4.9589342795963578</v>
      </c>
      <c r="AD284" s="3">
        <f t="shared" si="127"/>
        <v>719.20729218221288</v>
      </c>
      <c r="AI284" s="94">
        <f t="shared" si="128"/>
        <v>0.45009689132475234</v>
      </c>
    </row>
    <row r="285" spans="2:35">
      <c r="B285" s="39">
        <f t="shared" si="129"/>
        <v>257</v>
      </c>
      <c r="C285" s="42">
        <f t="shared" si="130"/>
        <v>1.7071702637871857</v>
      </c>
      <c r="D285" s="10">
        <f t="shared" si="131"/>
        <v>3.8328297362125863</v>
      </c>
      <c r="E285" s="40">
        <f t="shared" si="132"/>
        <v>23.414340527574826</v>
      </c>
      <c r="F285" s="40">
        <f t="shared" si="133"/>
        <v>31.08</v>
      </c>
      <c r="G285" s="3">
        <f t="shared" si="134"/>
        <v>212.74263788970435</v>
      </c>
      <c r="H285" s="3">
        <f t="shared" si="135"/>
        <v>81.256230789298584</v>
      </c>
      <c r="I285">
        <f t="shared" si="120"/>
        <v>8.1256230789298584E-5</v>
      </c>
      <c r="J285" s="4">
        <f t="shared" si="136"/>
        <v>430.57988939172213</v>
      </c>
      <c r="K285" s="40">
        <f t="shared" si="137"/>
        <v>5.2990384270744357</v>
      </c>
      <c r="L285" s="40">
        <f t="shared" si="121"/>
        <v>0.70096157292556427</v>
      </c>
      <c r="M285" s="10">
        <f t="shared" si="138"/>
        <v>5.0599342795963578</v>
      </c>
      <c r="N285" s="10">
        <f t="shared" si="147"/>
        <v>8.26</v>
      </c>
      <c r="O285" s="10">
        <f t="shared" si="148"/>
        <v>0.31900000000000001</v>
      </c>
      <c r="P285" s="10">
        <f t="shared" si="139"/>
        <v>13.854863863111133</v>
      </c>
      <c r="Q285" s="42">
        <f t="shared" si="140"/>
        <v>0.12649466901882214</v>
      </c>
      <c r="R285" s="4">
        <f t="shared" si="141"/>
        <v>69798.380416953689</v>
      </c>
      <c r="S285">
        <f t="shared" si="122"/>
        <v>6.9798380416953687E-5</v>
      </c>
      <c r="T285" s="41">
        <f t="shared" si="123"/>
        <v>1.1000599162493015E-4</v>
      </c>
      <c r="U285" s="42">
        <f t="shared" si="142"/>
        <v>0.12525668357724423</v>
      </c>
      <c r="V285" s="42">
        <f t="shared" si="143"/>
        <v>0.45433022290504343</v>
      </c>
      <c r="W285" s="42">
        <f t="shared" si="144"/>
        <v>0.45013679047209593</v>
      </c>
      <c r="X285" s="42">
        <f t="shared" si="145"/>
        <v>4.1934324329475081E-3</v>
      </c>
      <c r="Y285" s="42">
        <f t="shared" si="119"/>
        <v>1.687473421123283E-3</v>
      </c>
      <c r="Z285" s="10">
        <f t="shared" si="146"/>
        <v>15.339831914581449</v>
      </c>
      <c r="AA285">
        <f t="shared" si="124"/>
        <v>5060371.3085867325</v>
      </c>
      <c r="AB285" s="10">
        <f t="shared" si="125"/>
        <v>5.0603713085867321</v>
      </c>
      <c r="AC285" s="10">
        <f t="shared" si="126"/>
        <v>4.9593713085867321</v>
      </c>
      <c r="AD285" s="3">
        <f t="shared" si="127"/>
        <v>719.27067564709682</v>
      </c>
      <c r="AI285" s="94">
        <f t="shared" si="128"/>
        <v>0.45013679047209593</v>
      </c>
    </row>
    <row r="286" spans="2:35">
      <c r="B286" s="39">
        <f t="shared" si="129"/>
        <v>258</v>
      </c>
      <c r="C286" s="42">
        <f t="shared" si="130"/>
        <v>1.7138129496384977</v>
      </c>
      <c r="D286" s="10">
        <f t="shared" si="131"/>
        <v>3.8261870503612734</v>
      </c>
      <c r="E286" s="40">
        <f t="shared" si="132"/>
        <v>23.427625899277452</v>
      </c>
      <c r="F286" s="40">
        <f t="shared" si="133"/>
        <v>31.08</v>
      </c>
      <c r="G286" s="3">
        <f t="shared" si="134"/>
        <v>212.68949640289387</v>
      </c>
      <c r="H286" s="3">
        <f t="shared" si="135"/>
        <v>81.256230789298584</v>
      </c>
      <c r="I286">
        <f t="shared" si="120"/>
        <v>8.1256230789298584E-5</v>
      </c>
      <c r="J286" s="4">
        <f t="shared" si="136"/>
        <v>431.06865282813584</v>
      </c>
      <c r="K286" s="40">
        <f t="shared" si="137"/>
        <v>5.305053515784139</v>
      </c>
      <c r="L286" s="40">
        <f t="shared" si="121"/>
        <v>0.69494648421586103</v>
      </c>
      <c r="M286" s="10">
        <f t="shared" si="138"/>
        <v>5.0603713085867321</v>
      </c>
      <c r="N286" s="10">
        <f t="shared" si="147"/>
        <v>8.26</v>
      </c>
      <c r="O286" s="10">
        <f t="shared" si="148"/>
        <v>0.31900000000000001</v>
      </c>
      <c r="P286" s="10">
        <f t="shared" si="139"/>
        <v>13.855245583664612</v>
      </c>
      <c r="Q286" s="42">
        <f t="shared" si="140"/>
        <v>0.12697410374346851</v>
      </c>
      <c r="R286" s="4">
        <f t="shared" si="141"/>
        <v>69676.990465234107</v>
      </c>
      <c r="S286">
        <f t="shared" si="122"/>
        <v>6.967699046523411E-5</v>
      </c>
      <c r="T286" s="41">
        <f t="shared" si="123"/>
        <v>1.1012738157664972E-4</v>
      </c>
      <c r="U286" s="42">
        <f t="shared" si="142"/>
        <v>0.12503884323938586</v>
      </c>
      <c r="V286" s="42">
        <f t="shared" si="143"/>
        <v>0.45436912818330999</v>
      </c>
      <c r="W286" s="42">
        <f t="shared" si="144"/>
        <v>0.45017646085608953</v>
      </c>
      <c r="X286" s="42">
        <f t="shared" si="145"/>
        <v>4.1926673272204562E-3</v>
      </c>
      <c r="Y286" s="42">
        <f t="shared" ref="Y286:Y349" si="149">IF((X286*(Q286-Q285)+Y285)&lt;0,0,X286*(Q286-Q285)+Y285)</f>
        <v>1.6894835314288429E-3</v>
      </c>
      <c r="Z286" s="10">
        <f t="shared" si="146"/>
        <v>15.341175893235471</v>
      </c>
      <c r="AA286">
        <f t="shared" si="124"/>
        <v>5060805.8172054198</v>
      </c>
      <c r="AB286" s="10">
        <f t="shared" si="125"/>
        <v>5.06080581720542</v>
      </c>
      <c r="AC286" s="10">
        <f t="shared" si="126"/>
        <v>4.95980581720542</v>
      </c>
      <c r="AD286" s="3">
        <f t="shared" si="127"/>
        <v>719.33369357584047</v>
      </c>
      <c r="AI286" s="94">
        <f t="shared" si="128"/>
        <v>0.45017646085608953</v>
      </c>
    </row>
    <row r="287" spans="2:35">
      <c r="B287" s="39">
        <f t="shared" si="129"/>
        <v>259</v>
      </c>
      <c r="C287" s="42">
        <f t="shared" si="130"/>
        <v>1.7204556354898097</v>
      </c>
      <c r="D287" s="10">
        <f t="shared" si="131"/>
        <v>3.8195443645099605</v>
      </c>
      <c r="E287" s="40">
        <f t="shared" si="132"/>
        <v>23.440911270980077</v>
      </c>
      <c r="F287" s="40">
        <f t="shared" si="133"/>
        <v>31.08</v>
      </c>
      <c r="G287" s="3">
        <f t="shared" si="134"/>
        <v>212.63635491608338</v>
      </c>
      <c r="H287" s="3">
        <f t="shared" si="135"/>
        <v>81.256230789298584</v>
      </c>
      <c r="I287">
        <f t="shared" si="120"/>
        <v>8.1256230789298584E-5</v>
      </c>
      <c r="J287" s="4">
        <f t="shared" si="136"/>
        <v>431.55769351183113</v>
      </c>
      <c r="K287" s="40">
        <f t="shared" si="137"/>
        <v>5.3110720165064205</v>
      </c>
      <c r="L287" s="40">
        <f t="shared" si="121"/>
        <v>0.68892798349357953</v>
      </c>
      <c r="M287" s="10">
        <f t="shared" si="138"/>
        <v>5.06080581720542</v>
      </c>
      <c r="N287" s="10">
        <f t="shared" si="147"/>
        <v>8.26</v>
      </c>
      <c r="O287" s="10">
        <f t="shared" si="148"/>
        <v>0.31900000000000001</v>
      </c>
      <c r="P287" s="10">
        <f t="shared" si="139"/>
        <v>13.855625080557655</v>
      </c>
      <c r="Q287" s="42">
        <f t="shared" si="140"/>
        <v>0.12745352533669804</v>
      </c>
      <c r="R287" s="4">
        <f t="shared" si="141"/>
        <v>69555.593507894591</v>
      </c>
      <c r="S287">
        <f t="shared" si="122"/>
        <v>6.9555593507894585E-5</v>
      </c>
      <c r="T287" s="41">
        <f t="shared" si="123"/>
        <v>1.1024877853398925E-4</v>
      </c>
      <c r="U287" s="42">
        <f t="shared" si="142"/>
        <v>0.12482099032959222</v>
      </c>
      <c r="V287" s="42">
        <f t="shared" si="143"/>
        <v>0.45440779654105856</v>
      </c>
      <c r="W287" s="42">
        <f t="shared" si="144"/>
        <v>0.45021590245866394</v>
      </c>
      <c r="X287" s="42">
        <f t="shared" si="145"/>
        <v>4.1918940823946205E-3</v>
      </c>
      <c r="Y287" s="42">
        <f t="shared" si="149"/>
        <v>1.6914932159684739E-3</v>
      </c>
      <c r="Z287" s="10">
        <f t="shared" si="146"/>
        <v>15.342512075514682</v>
      </c>
      <c r="AA287">
        <f t="shared" si="124"/>
        <v>5061237.8052542759</v>
      </c>
      <c r="AB287" s="10">
        <f t="shared" si="125"/>
        <v>5.0612378052542759</v>
      </c>
      <c r="AC287" s="10">
        <f t="shared" si="126"/>
        <v>4.9602378052542759</v>
      </c>
      <c r="AD287" s="3">
        <f t="shared" si="127"/>
        <v>719.39634593970641</v>
      </c>
      <c r="AI287" s="94">
        <f t="shared" si="128"/>
        <v>0.45021590245866394</v>
      </c>
    </row>
    <row r="288" spans="2:35">
      <c r="B288" s="39">
        <f t="shared" si="129"/>
        <v>260</v>
      </c>
      <c r="C288" s="42">
        <f t="shared" si="130"/>
        <v>1.7270983213411217</v>
      </c>
      <c r="D288" s="10">
        <f t="shared" si="131"/>
        <v>3.8129016786586476</v>
      </c>
      <c r="E288" s="40">
        <f t="shared" si="132"/>
        <v>23.454196642682703</v>
      </c>
      <c r="F288" s="40">
        <f t="shared" si="133"/>
        <v>31.08</v>
      </c>
      <c r="G288" s="3">
        <f t="shared" si="134"/>
        <v>212.58321342927289</v>
      </c>
      <c r="H288" s="3">
        <f t="shared" si="135"/>
        <v>81.256230789298584</v>
      </c>
      <c r="I288">
        <f t="shared" si="120"/>
        <v>8.1256230789298584E-5</v>
      </c>
      <c r="J288" s="4">
        <f t="shared" si="136"/>
        <v>432.04701144280801</v>
      </c>
      <c r="K288" s="40">
        <f t="shared" si="137"/>
        <v>5.317093929241282</v>
      </c>
      <c r="L288" s="40">
        <f t="shared" si="121"/>
        <v>0.68290607075871801</v>
      </c>
      <c r="M288" s="10">
        <f t="shared" si="138"/>
        <v>5.0612378052542759</v>
      </c>
      <c r="N288" s="10">
        <f t="shared" si="147"/>
        <v>8.26</v>
      </c>
      <c r="O288" s="10">
        <f t="shared" si="148"/>
        <v>0.31900000000000001</v>
      </c>
      <c r="P288" s="10">
        <f t="shared" si="139"/>
        <v>13.856002354006556</v>
      </c>
      <c r="Q288" s="42">
        <f t="shared" si="140"/>
        <v>0.12793293387615973</v>
      </c>
      <c r="R288" s="4">
        <f t="shared" si="141"/>
        <v>69434.189589135116</v>
      </c>
      <c r="S288">
        <f t="shared" si="122"/>
        <v>6.9434189589135122E-5</v>
      </c>
      <c r="T288" s="41">
        <f t="shared" si="123"/>
        <v>1.1037018245274871E-4</v>
      </c>
      <c r="U288" s="42">
        <f t="shared" si="142"/>
        <v>0.12460312492718242</v>
      </c>
      <c r="V288" s="42">
        <f t="shared" si="143"/>
        <v>0.45444622795921225</v>
      </c>
      <c r="W288" s="42">
        <f t="shared" si="144"/>
        <v>0.45025511526183304</v>
      </c>
      <c r="X288" s="42">
        <f t="shared" si="145"/>
        <v>4.1911126973792068E-3</v>
      </c>
      <c r="Y288" s="42">
        <f t="shared" si="149"/>
        <v>1.6935024711854437E-3</v>
      </c>
      <c r="Z288" s="10">
        <f t="shared" si="146"/>
        <v>15.343840460809783</v>
      </c>
      <c r="AA288">
        <f t="shared" si="124"/>
        <v>5061667.2725363141</v>
      </c>
      <c r="AB288" s="10">
        <f t="shared" si="125"/>
        <v>5.0616672725363143</v>
      </c>
      <c r="AC288" s="10">
        <f t="shared" si="126"/>
        <v>4.9606672725363143</v>
      </c>
      <c r="AD288" s="3">
        <f t="shared" si="127"/>
        <v>719.45863271012536</v>
      </c>
      <c r="AI288" s="94">
        <f t="shared" si="128"/>
        <v>0.45025511526183304</v>
      </c>
    </row>
    <row r="289" spans="2:35">
      <c r="B289" s="39">
        <f t="shared" si="129"/>
        <v>261</v>
      </c>
      <c r="C289" s="42">
        <f t="shared" si="130"/>
        <v>1.7337410071924337</v>
      </c>
      <c r="D289" s="10">
        <f t="shared" si="131"/>
        <v>3.8062589928073347</v>
      </c>
      <c r="E289" s="40">
        <f t="shared" si="132"/>
        <v>23.467482014385329</v>
      </c>
      <c r="F289" s="40">
        <f t="shared" si="133"/>
        <v>31.08</v>
      </c>
      <c r="G289" s="3">
        <f t="shared" si="134"/>
        <v>212.5300719424624</v>
      </c>
      <c r="H289" s="3">
        <f t="shared" si="135"/>
        <v>81.256230789298584</v>
      </c>
      <c r="I289">
        <f t="shared" si="120"/>
        <v>8.1256230789298584E-5</v>
      </c>
      <c r="J289" s="4">
        <f t="shared" si="136"/>
        <v>432.53660662106648</v>
      </c>
      <c r="K289" s="40">
        <f t="shared" si="137"/>
        <v>5.3231192539887218</v>
      </c>
      <c r="L289" s="40">
        <f t="shared" si="121"/>
        <v>0.67688074601127823</v>
      </c>
      <c r="M289" s="10">
        <f t="shared" si="138"/>
        <v>5.0616672725363143</v>
      </c>
      <c r="N289" s="10">
        <f t="shared" si="147"/>
        <v>8.26</v>
      </c>
      <c r="O289" s="10">
        <f t="shared" si="148"/>
        <v>0.31900000000000001</v>
      </c>
      <c r="P289" s="10">
        <f t="shared" si="139"/>
        <v>13.856377404226309</v>
      </c>
      <c r="Q289" s="42">
        <f t="shared" si="140"/>
        <v>0.1284123294394825</v>
      </c>
      <c r="R289" s="4">
        <f t="shared" si="141"/>
        <v>69312.778753155682</v>
      </c>
      <c r="S289">
        <f t="shared" si="122"/>
        <v>6.9312778753155687E-5</v>
      </c>
      <c r="T289" s="41">
        <f t="shared" si="123"/>
        <v>1.1049159328872815E-4</v>
      </c>
      <c r="U289" s="42">
        <f t="shared" si="142"/>
        <v>0.12438524711147551</v>
      </c>
      <c r="V289" s="42">
        <f t="shared" si="143"/>
        <v>0.45448442241885262</v>
      </c>
      <c r="W289" s="42">
        <f t="shared" si="144"/>
        <v>0.45029409924771585</v>
      </c>
      <c r="X289" s="42">
        <f t="shared" si="145"/>
        <v>4.1903231711367672E-3</v>
      </c>
      <c r="Y289" s="42">
        <f t="shared" si="149"/>
        <v>1.6955112935225752E-3</v>
      </c>
      <c r="Z289" s="10">
        <f t="shared" si="146"/>
        <v>15.345161048515205</v>
      </c>
      <c r="AA289">
        <f t="shared" si="124"/>
        <v>5062094.2188557535</v>
      </c>
      <c r="AB289" s="10">
        <f t="shared" si="125"/>
        <v>5.0620942188557532</v>
      </c>
      <c r="AC289" s="10">
        <f t="shared" si="126"/>
        <v>4.9610942188557532</v>
      </c>
      <c r="AD289" s="3">
        <f t="shared" si="127"/>
        <v>719.52055385870244</v>
      </c>
      <c r="AI289" s="94">
        <f t="shared" si="128"/>
        <v>0.45029409924771585</v>
      </c>
    </row>
    <row r="290" spans="2:35">
      <c r="B290" s="39">
        <f t="shared" si="129"/>
        <v>262</v>
      </c>
      <c r="C290" s="42">
        <f t="shared" si="130"/>
        <v>1.7403836930437457</v>
      </c>
      <c r="D290" s="10">
        <f t="shared" si="131"/>
        <v>3.7996163069560218</v>
      </c>
      <c r="E290" s="40">
        <f t="shared" si="132"/>
        <v>23.480767386087955</v>
      </c>
      <c r="F290" s="40">
        <f t="shared" si="133"/>
        <v>31.08</v>
      </c>
      <c r="G290" s="3">
        <f t="shared" si="134"/>
        <v>212.47693045565191</v>
      </c>
      <c r="H290" s="3">
        <f t="shared" si="135"/>
        <v>81.256230789298584</v>
      </c>
      <c r="I290">
        <f t="shared" si="120"/>
        <v>8.1256230789298584E-5</v>
      </c>
      <c r="J290" s="4">
        <f t="shared" si="136"/>
        <v>433.02647904660654</v>
      </c>
      <c r="K290" s="40">
        <f t="shared" si="137"/>
        <v>5.3291479907487407</v>
      </c>
      <c r="L290" s="40">
        <f t="shared" si="121"/>
        <v>0.67085200925125932</v>
      </c>
      <c r="M290" s="10">
        <f t="shared" si="138"/>
        <v>5.0620942188557532</v>
      </c>
      <c r="N290" s="10">
        <f t="shared" si="147"/>
        <v>8.26</v>
      </c>
      <c r="O290" s="10">
        <f t="shared" si="148"/>
        <v>0.31900000000000001</v>
      </c>
      <c r="P290" s="10">
        <f t="shared" si="139"/>
        <v>13.856750231430656</v>
      </c>
      <c r="Q290" s="42">
        <f t="shared" si="140"/>
        <v>0.12889171210427533</v>
      </c>
      <c r="R290" s="4">
        <f t="shared" si="141"/>
        <v>69191.361044156307</v>
      </c>
      <c r="S290">
        <f t="shared" si="122"/>
        <v>6.9191361044156305E-5</v>
      </c>
      <c r="T290" s="41">
        <f t="shared" si="123"/>
        <v>1.1061301099772753E-4</v>
      </c>
      <c r="U290" s="42">
        <f t="shared" si="142"/>
        <v>0.1241673569617907</v>
      </c>
      <c r="V290" s="42">
        <f t="shared" si="143"/>
        <v>0.45452237990078515</v>
      </c>
      <c r="W290" s="42">
        <f t="shared" si="144"/>
        <v>0.45033285439854065</v>
      </c>
      <c r="X290" s="42">
        <f t="shared" si="145"/>
        <v>4.1895255022444955E-3</v>
      </c>
      <c r="Y290" s="42">
        <f t="shared" si="149"/>
        <v>1.6975196794220587E-3</v>
      </c>
      <c r="Z290" s="10">
        <f t="shared" si="146"/>
        <v>15.346473838027364</v>
      </c>
      <c r="AA290">
        <f t="shared" si="124"/>
        <v>5062518.6440174542</v>
      </c>
      <c r="AB290" s="10">
        <f t="shared" si="125"/>
        <v>5.0625186440174543</v>
      </c>
      <c r="AC290" s="10">
        <f t="shared" si="126"/>
        <v>4.9615186440174543</v>
      </c>
      <c r="AD290" s="3">
        <f t="shared" si="127"/>
        <v>719.58210935713623</v>
      </c>
      <c r="AI290" s="94">
        <f t="shared" si="128"/>
        <v>0.45033285439854065</v>
      </c>
    </row>
    <row r="291" spans="2:35">
      <c r="B291" s="39">
        <f t="shared" si="129"/>
        <v>263</v>
      </c>
      <c r="C291" s="42">
        <f t="shared" si="130"/>
        <v>1.7470263788950577</v>
      </c>
      <c r="D291" s="10">
        <f t="shared" si="131"/>
        <v>3.7929736211047089</v>
      </c>
      <c r="E291" s="40">
        <f t="shared" si="132"/>
        <v>23.49405275779058</v>
      </c>
      <c r="F291" s="40">
        <f t="shared" si="133"/>
        <v>31.08</v>
      </c>
      <c r="G291" s="3">
        <f t="shared" si="134"/>
        <v>212.42378896884142</v>
      </c>
      <c r="H291" s="3">
        <f t="shared" si="135"/>
        <v>81.256230789298584</v>
      </c>
      <c r="I291">
        <f t="shared" si="120"/>
        <v>8.1256230789298584E-5</v>
      </c>
      <c r="J291" s="4">
        <f t="shared" si="136"/>
        <v>433.51662871942813</v>
      </c>
      <c r="K291" s="40">
        <f t="shared" si="137"/>
        <v>5.3351801395213387</v>
      </c>
      <c r="L291" s="40">
        <f t="shared" si="121"/>
        <v>0.66481986047866126</v>
      </c>
      <c r="M291" s="10">
        <f t="shared" si="138"/>
        <v>5.0625186440174543</v>
      </c>
      <c r="N291" s="10">
        <f t="shared" si="147"/>
        <v>8.26</v>
      </c>
      <c r="O291" s="10">
        <f t="shared" si="148"/>
        <v>0.31900000000000001</v>
      </c>
      <c r="P291" s="10">
        <f t="shared" si="139"/>
        <v>13.857120835831582</v>
      </c>
      <c r="Q291" s="42">
        <f t="shared" si="140"/>
        <v>0.12937108194812741</v>
      </c>
      <c r="R291" s="4">
        <f t="shared" si="141"/>
        <v>69069.936506336991</v>
      </c>
      <c r="S291">
        <f t="shared" si="122"/>
        <v>6.9069936506336996E-5</v>
      </c>
      <c r="T291" s="41">
        <f t="shared" si="123"/>
        <v>1.1073443553554684E-4</v>
      </c>
      <c r="U291" s="42">
        <f t="shared" si="142"/>
        <v>0.12394945455744703</v>
      </c>
      <c r="V291" s="42">
        <f t="shared" si="143"/>
        <v>0.45456010038649985</v>
      </c>
      <c r="W291" s="42">
        <f t="shared" si="144"/>
        <v>0.45037138069659421</v>
      </c>
      <c r="X291" s="42">
        <f t="shared" si="145"/>
        <v>4.18871968990564E-3</v>
      </c>
      <c r="Y291" s="42">
        <f t="shared" si="149"/>
        <v>1.699527625325749E-3</v>
      </c>
      <c r="Z291" s="10">
        <f t="shared" si="146"/>
        <v>15.347778828747305</v>
      </c>
      <c r="AA291">
        <f t="shared" si="124"/>
        <v>5062940.5478277756</v>
      </c>
      <c r="AB291" s="10">
        <f t="shared" si="125"/>
        <v>5.0629405478277754</v>
      </c>
      <c r="AC291" s="10">
        <f t="shared" si="126"/>
        <v>4.9619405478277754</v>
      </c>
      <c r="AD291" s="3">
        <f t="shared" si="127"/>
        <v>719.64329917734233</v>
      </c>
      <c r="AI291" s="94">
        <f t="shared" si="128"/>
        <v>0.45037138069659421</v>
      </c>
    </row>
    <row r="292" spans="2:35">
      <c r="B292" s="39">
        <f t="shared" si="129"/>
        <v>264</v>
      </c>
      <c r="C292" s="42">
        <f t="shared" si="130"/>
        <v>1.7536690647463697</v>
      </c>
      <c r="D292" s="10">
        <f t="shared" si="131"/>
        <v>3.786330935253396</v>
      </c>
      <c r="E292" s="40">
        <f t="shared" si="132"/>
        <v>23.507338129493206</v>
      </c>
      <c r="F292" s="40">
        <f t="shared" si="133"/>
        <v>31.08</v>
      </c>
      <c r="G292" s="3">
        <f t="shared" si="134"/>
        <v>212.37064748203093</v>
      </c>
      <c r="H292" s="3">
        <f t="shared" si="135"/>
        <v>81.256230789298584</v>
      </c>
      <c r="I292">
        <f t="shared" si="120"/>
        <v>8.1256230789298584E-5</v>
      </c>
      <c r="J292" s="4">
        <f t="shared" si="136"/>
        <v>434.00705563953113</v>
      </c>
      <c r="K292" s="40">
        <f t="shared" si="137"/>
        <v>5.3412157003065133</v>
      </c>
      <c r="L292" s="40">
        <f t="shared" si="121"/>
        <v>0.65878429969348673</v>
      </c>
      <c r="M292" s="10">
        <f t="shared" si="138"/>
        <v>5.0629405478277754</v>
      </c>
      <c r="N292" s="10">
        <f t="shared" si="147"/>
        <v>8.26</v>
      </c>
      <c r="O292" s="10">
        <f t="shared" si="148"/>
        <v>0.31900000000000001</v>
      </c>
      <c r="P292" s="10">
        <f t="shared" si="139"/>
        <v>13.857489217640081</v>
      </c>
      <c r="Q292" s="42">
        <f t="shared" si="140"/>
        <v>0.12985043904860821</v>
      </c>
      <c r="R292" s="4">
        <f t="shared" si="141"/>
        <v>68948.505183897752</v>
      </c>
      <c r="S292">
        <f t="shared" si="122"/>
        <v>6.8948505183897757E-5</v>
      </c>
      <c r="T292" s="41">
        <f t="shared" si="123"/>
        <v>1.1085586685798608E-4</v>
      </c>
      <c r="U292" s="42">
        <f t="shared" si="142"/>
        <v>0.1237315399777637</v>
      </c>
      <c r="V292" s="42">
        <f t="shared" si="143"/>
        <v>0.45459758385712118</v>
      </c>
      <c r="W292" s="42">
        <f t="shared" si="144"/>
        <v>0.45040967812429905</v>
      </c>
      <c r="X292" s="42">
        <f t="shared" si="145"/>
        <v>4.1879057328221281E-3</v>
      </c>
      <c r="Y292" s="42">
        <f t="shared" si="149"/>
        <v>1.7015351276749215E-3</v>
      </c>
      <c r="Z292" s="10">
        <f t="shared" si="146"/>
        <v>15.349076020078433</v>
      </c>
      <c r="AA292">
        <f t="shared" si="124"/>
        <v>5063359.930093837</v>
      </c>
      <c r="AB292" s="10">
        <f t="shared" si="125"/>
        <v>5.0633599300938368</v>
      </c>
      <c r="AC292" s="10">
        <f t="shared" si="126"/>
        <v>4.9623599300938368</v>
      </c>
      <c r="AD292" s="3">
        <f t="shared" si="127"/>
        <v>719.70412329134695</v>
      </c>
      <c r="AI292" s="94">
        <f t="shared" si="128"/>
        <v>0.45040967812429905</v>
      </c>
    </row>
    <row r="293" spans="2:35">
      <c r="B293" s="39">
        <f t="shared" si="129"/>
        <v>265</v>
      </c>
      <c r="C293" s="42">
        <f t="shared" si="130"/>
        <v>1.7603117505976817</v>
      </c>
      <c r="D293" s="10">
        <f t="shared" si="131"/>
        <v>3.7796882494020831</v>
      </c>
      <c r="E293" s="40">
        <f t="shared" si="132"/>
        <v>23.520623501195832</v>
      </c>
      <c r="F293" s="40">
        <f t="shared" si="133"/>
        <v>31.08</v>
      </c>
      <c r="G293" s="3">
        <f t="shared" si="134"/>
        <v>212.31750599522044</v>
      </c>
      <c r="H293" s="3">
        <f t="shared" si="135"/>
        <v>81.256230789298584</v>
      </c>
      <c r="I293">
        <f t="shared" si="120"/>
        <v>8.1256230789298584E-5</v>
      </c>
      <c r="J293" s="4">
        <f t="shared" si="136"/>
        <v>434.49775980691589</v>
      </c>
      <c r="K293" s="40">
        <f t="shared" si="137"/>
        <v>5.3472546731042696</v>
      </c>
      <c r="L293" s="40">
        <f t="shared" si="121"/>
        <v>0.65274532689573039</v>
      </c>
      <c r="M293" s="10">
        <f t="shared" si="138"/>
        <v>5.0633599300938368</v>
      </c>
      <c r="N293" s="10">
        <f t="shared" si="147"/>
        <v>8.26</v>
      </c>
      <c r="O293" s="10">
        <f t="shared" si="148"/>
        <v>0.31900000000000001</v>
      </c>
      <c r="P293" s="10">
        <f t="shared" si="139"/>
        <v>13.857855377065492</v>
      </c>
      <c r="Q293" s="42">
        <f t="shared" si="140"/>
        <v>0.13032978348326768</v>
      </c>
      <c r="R293" s="4">
        <f t="shared" si="141"/>
        <v>68827.067121038504</v>
      </c>
      <c r="S293">
        <f t="shared" si="122"/>
        <v>6.8827067121038501E-5</v>
      </c>
      <c r="T293" s="41">
        <f t="shared" si="123"/>
        <v>1.1097730492084533E-4</v>
      </c>
      <c r="U293" s="42">
        <f t="shared" si="142"/>
        <v>0.12351361330205965</v>
      </c>
      <c r="V293" s="42">
        <f t="shared" si="143"/>
        <v>0.45463483029457358</v>
      </c>
      <c r="W293" s="42">
        <f t="shared" si="144"/>
        <v>0.45044774666414694</v>
      </c>
      <c r="X293" s="42">
        <f t="shared" si="145"/>
        <v>4.1870836304266357E-3</v>
      </c>
      <c r="Y293" s="42">
        <f t="shared" si="149"/>
        <v>1.7035421829106202E-3</v>
      </c>
      <c r="Z293" s="10">
        <f t="shared" si="146"/>
        <v>15.3503654114296</v>
      </c>
      <c r="AA293">
        <f t="shared" si="124"/>
        <v>5063776.7906245207</v>
      </c>
      <c r="AB293" s="10">
        <f t="shared" si="125"/>
        <v>5.0637767906245204</v>
      </c>
      <c r="AC293" s="10">
        <f t="shared" si="126"/>
        <v>4.9627767906245204</v>
      </c>
      <c r="AD293" s="3">
        <f t="shared" si="127"/>
        <v>719.76458167143153</v>
      </c>
      <c r="AI293" s="94">
        <f t="shared" si="128"/>
        <v>0.45044774666414694</v>
      </c>
    </row>
    <row r="294" spans="2:35">
      <c r="B294" s="39">
        <f t="shared" si="129"/>
        <v>266</v>
      </c>
      <c r="C294" s="42">
        <f t="shared" si="130"/>
        <v>1.7669544364489937</v>
      </c>
      <c r="D294" s="10">
        <f t="shared" si="131"/>
        <v>3.7730455635507703</v>
      </c>
      <c r="E294" s="40">
        <f t="shared" si="132"/>
        <v>23.533908872898458</v>
      </c>
      <c r="F294" s="40">
        <f t="shared" si="133"/>
        <v>31.08</v>
      </c>
      <c r="G294" s="3">
        <f t="shared" si="134"/>
        <v>212.26436450840995</v>
      </c>
      <c r="H294" s="3">
        <f t="shared" si="135"/>
        <v>81.256230789298584</v>
      </c>
      <c r="I294">
        <f t="shared" si="120"/>
        <v>8.1256230789298584E-5</v>
      </c>
      <c r="J294" s="4">
        <f t="shared" si="136"/>
        <v>434.98874122158213</v>
      </c>
      <c r="K294" s="40">
        <f t="shared" si="137"/>
        <v>5.3532970579146033</v>
      </c>
      <c r="L294" s="40">
        <f t="shared" si="121"/>
        <v>0.64670294208539669</v>
      </c>
      <c r="M294" s="10">
        <f t="shared" si="138"/>
        <v>5.0637767906245204</v>
      </c>
      <c r="N294" s="10">
        <f t="shared" si="147"/>
        <v>8.26</v>
      </c>
      <c r="O294" s="10">
        <f t="shared" si="148"/>
        <v>0.31900000000000001</v>
      </c>
      <c r="P294" s="10">
        <f t="shared" si="139"/>
        <v>13.858219314316393</v>
      </c>
      <c r="Q294" s="42">
        <f t="shared" si="140"/>
        <v>0.13080911532963627</v>
      </c>
      <c r="R294" s="4">
        <f t="shared" si="141"/>
        <v>68705.622361959337</v>
      </c>
      <c r="S294">
        <f t="shared" si="122"/>
        <v>6.8705622361959332E-5</v>
      </c>
      <c r="T294" s="41">
        <f t="shared" si="123"/>
        <v>1.110987496799245E-4</v>
      </c>
      <c r="U294" s="42">
        <f t="shared" si="142"/>
        <v>0.12329567460965411</v>
      </c>
      <c r="V294" s="42">
        <f t="shared" si="143"/>
        <v>0.4546718396798341</v>
      </c>
      <c r="W294" s="42">
        <f t="shared" si="144"/>
        <v>0.45048558629878954</v>
      </c>
      <c r="X294" s="42">
        <f t="shared" si="145"/>
        <v>4.1862533810445579E-3</v>
      </c>
      <c r="Y294" s="42">
        <f t="shared" si="149"/>
        <v>1.705548787473123E-3</v>
      </c>
      <c r="Z294" s="10">
        <f t="shared" si="146"/>
        <v>15.351647002210278</v>
      </c>
      <c r="AA294">
        <f t="shared" si="124"/>
        <v>5064191.1292289095</v>
      </c>
      <c r="AB294" s="10">
        <f t="shared" si="125"/>
        <v>5.0641911292289095</v>
      </c>
      <c r="AC294" s="10">
        <f t="shared" si="126"/>
        <v>4.9631911292289095</v>
      </c>
      <c r="AD294" s="3">
        <f t="shared" si="127"/>
        <v>719.82467428990708</v>
      </c>
      <c r="AI294" s="94">
        <f t="shared" si="128"/>
        <v>0.45048558629878954</v>
      </c>
    </row>
    <row r="295" spans="2:35">
      <c r="B295" s="39">
        <f t="shared" si="129"/>
        <v>267</v>
      </c>
      <c r="C295" s="42">
        <f t="shared" si="130"/>
        <v>1.7735971223003058</v>
      </c>
      <c r="D295" s="10">
        <f t="shared" si="131"/>
        <v>3.7664028776994574</v>
      </c>
      <c r="E295" s="40">
        <f t="shared" si="132"/>
        <v>23.547194244601084</v>
      </c>
      <c r="F295" s="40">
        <f t="shared" si="133"/>
        <v>31.08</v>
      </c>
      <c r="G295" s="3">
        <f t="shared" si="134"/>
        <v>212.21122302159947</v>
      </c>
      <c r="H295" s="3">
        <f t="shared" si="135"/>
        <v>81.256230789298584</v>
      </c>
      <c r="I295">
        <f t="shared" ref="I295:I358" si="150">H295/1000^2</f>
        <v>8.1256230789298584E-5</v>
      </c>
      <c r="J295" s="4">
        <f t="shared" si="136"/>
        <v>435.4799998835299</v>
      </c>
      <c r="K295" s="40">
        <f t="shared" si="137"/>
        <v>5.3593428547375161</v>
      </c>
      <c r="L295" s="40">
        <f t="shared" ref="L295:L358" si="151">IF((gstar-K295)&lt;0,0,gstar-K295)</f>
        <v>0.64065714526248385</v>
      </c>
      <c r="M295" s="10">
        <f t="shared" si="138"/>
        <v>5.0641911292289095</v>
      </c>
      <c r="N295" s="10">
        <f t="shared" si="147"/>
        <v>8.26</v>
      </c>
      <c r="O295" s="10">
        <f t="shared" si="148"/>
        <v>0.31900000000000001</v>
      </c>
      <c r="P295" s="10">
        <f t="shared" si="139"/>
        <v>13.858581029599232</v>
      </c>
      <c r="Q295" s="42">
        <f t="shared" si="140"/>
        <v>0.13128843466522513</v>
      </c>
      <c r="R295" s="4">
        <f t="shared" si="141"/>
        <v>68584.170950860222</v>
      </c>
      <c r="S295">
        <f t="shared" ref="S295:S358" si="152">R295/1000^3</f>
        <v>6.8584170950860217E-5</v>
      </c>
      <c r="T295" s="41">
        <f t="shared" ref="T295:T358" si="153">(vc/1000^3-S295)</f>
        <v>1.1122020109102362E-4</v>
      </c>
      <c r="U295" s="42">
        <f t="shared" si="142"/>
        <v>0.1230777239798662</v>
      </c>
      <c r="V295" s="42">
        <f t="shared" si="143"/>
        <v>0.45470861199485602</v>
      </c>
      <c r="W295" s="42">
        <f t="shared" si="144"/>
        <v>0.45052319701089671</v>
      </c>
      <c r="X295" s="42">
        <f t="shared" si="145"/>
        <v>4.1854149839593013E-3</v>
      </c>
      <c r="Y295" s="42">
        <f t="shared" si="149"/>
        <v>1.707554937802398E-3</v>
      </c>
      <c r="Z295" s="10">
        <f t="shared" si="146"/>
        <v>15.352920791834567</v>
      </c>
      <c r="AA295">
        <f t="shared" ref="AA295:AA358" si="154">Z295*rat*to+patm*1000000</f>
        <v>5064602.9457175815</v>
      </c>
      <c r="AB295" s="10">
        <f t="shared" ref="AB295:AB358" si="155">AA295/1000000</f>
        <v>5.0646029457175814</v>
      </c>
      <c r="AC295" s="10">
        <f t="shared" ref="AC295:AC358" si="156">AB295-patm</f>
        <v>4.9636029457175814</v>
      </c>
      <c r="AD295" s="3">
        <f t="shared" ref="AD295:AD358" si="157">AC295*1000000/6895</f>
        <v>719.88440111930117</v>
      </c>
      <c r="AI295" s="94">
        <f t="shared" ref="AI295:AI358" si="158">($M295-patm)*1000000*$I295/SQRT(rat*to)*SQRT(k)*(2/(k+1))^((k+1)/2/(k-1))</f>
        <v>0.45052319701089671</v>
      </c>
    </row>
    <row r="296" spans="2:35">
      <c r="B296" s="39">
        <f t="shared" ref="B296:B359" si="159">1+B295</f>
        <v>268</v>
      </c>
      <c r="C296" s="42">
        <f t="shared" ref="C296:C359" si="160">xincp+C295</f>
        <v>1.7802398081516178</v>
      </c>
      <c r="D296" s="10">
        <f t="shared" ref="D296:D359" si="161">(F296-E296)/2</f>
        <v>3.7597601918481445</v>
      </c>
      <c r="E296" s="40">
        <f t="shared" ref="E296:E359" si="162">E295+ci*2*xincp</f>
        <v>23.560479616303709</v>
      </c>
      <c r="F296" s="40">
        <f t="shared" ref="F296:F359" si="163">F295-osi*2*xincp</f>
        <v>31.08</v>
      </c>
      <c r="G296" s="3">
        <f t="shared" ref="G296:G359" si="164">G295-ei*n*2*xincp</f>
        <v>212.15808153478898</v>
      </c>
      <c r="H296" s="3">
        <f t="shared" ref="H296:H359" si="165">PI()/4*(dto+erate*(two-D296)/two)^2</f>
        <v>81.256230789298584</v>
      </c>
      <c r="I296">
        <f t="shared" si="150"/>
        <v>8.1256230789298584E-5</v>
      </c>
      <c r="J296" s="4">
        <f t="shared" ref="J296:J359" si="166">PI()/4*dc^2-PI()/4*(F296^2-E296^2)</f>
        <v>435.97153579275931</v>
      </c>
      <c r="K296" s="40">
        <f t="shared" ref="K296:K359" si="167">J296/H296</f>
        <v>5.3653920635730081</v>
      </c>
      <c r="L296" s="40">
        <f t="shared" si="151"/>
        <v>0.63460793642699187</v>
      </c>
      <c r="M296" s="10">
        <f t="shared" ref="M296:M359" si="168">AB295</f>
        <v>5.0646029457175814</v>
      </c>
      <c r="N296" s="10">
        <f t="shared" si="147"/>
        <v>8.26</v>
      </c>
      <c r="O296" s="10">
        <f t="shared" si="148"/>
        <v>0.31900000000000001</v>
      </c>
      <c r="P296" s="10">
        <f t="shared" ref="P296:P359" si="169">(1+kv*L296)*N296*M296^O296</f>
        <v>13.85894052311945</v>
      </c>
      <c r="Q296" s="42">
        <f t="shared" ref="Q296:Q359" si="170">xincp/P296+Q295</f>
        <v>0.13176774156752627</v>
      </c>
      <c r="R296" s="4">
        <f t="shared" ref="R296:R359" si="171">PI()/4*(F296^2-E296^2)*G296</f>
        <v>68462.712931941118</v>
      </c>
      <c r="S296">
        <f t="shared" si="152"/>
        <v>6.8462712931941113E-5</v>
      </c>
      <c r="T296" s="41">
        <f t="shared" si="153"/>
        <v>1.1134165910994272E-4</v>
      </c>
      <c r="U296" s="42">
        <f t="shared" ref="U296:U359" si="172">rhopgrain*R296/1000^2</f>
        <v>0.12285976149201493</v>
      </c>
      <c r="V296" s="42">
        <f t="shared" ref="V296:V359" si="173">(U295-U296)/(Q296-Q295)</f>
        <v>0.45474514722163445</v>
      </c>
      <c r="W296" s="42">
        <f t="shared" ref="W296:W359" si="174">IF(V296&lt;AI296,IF(AB295&gt;pbd,AI296,0),AI296)</f>
        <v>0.45056057878327405</v>
      </c>
      <c r="X296" s="42">
        <f t="shared" ref="X296:X359" si="175">V296-W296</f>
        <v>4.1845684383604032E-3</v>
      </c>
      <c r="Y296" s="42">
        <f t="shared" si="149"/>
        <v>1.7095606303380556E-3</v>
      </c>
      <c r="Z296" s="10">
        <f t="shared" ref="Z296:Z359" si="176">Y296/T296</f>
        <v>15.354186779720738</v>
      </c>
      <c r="AA296">
        <f t="shared" si="154"/>
        <v>5065012.2399024628</v>
      </c>
      <c r="AB296" s="10">
        <f t="shared" si="155"/>
        <v>5.0650122399024626</v>
      </c>
      <c r="AC296" s="10">
        <f t="shared" si="156"/>
        <v>4.9640122399024627</v>
      </c>
      <c r="AD296" s="3">
        <f t="shared" si="157"/>
        <v>719.94376213233693</v>
      </c>
      <c r="AI296" s="94">
        <f t="shared" si="158"/>
        <v>0.45056057878327405</v>
      </c>
    </row>
    <row r="297" spans="2:35">
      <c r="B297" s="39">
        <f t="shared" si="159"/>
        <v>269</v>
      </c>
      <c r="C297" s="42">
        <f t="shared" si="160"/>
        <v>1.7868824940029298</v>
      </c>
      <c r="D297" s="10">
        <f t="shared" si="161"/>
        <v>3.7531175059968316</v>
      </c>
      <c r="E297" s="40">
        <f t="shared" si="162"/>
        <v>23.573764988006335</v>
      </c>
      <c r="F297" s="40">
        <f t="shared" si="163"/>
        <v>31.08</v>
      </c>
      <c r="G297" s="3">
        <f t="shared" si="164"/>
        <v>212.10494004797849</v>
      </c>
      <c r="H297" s="3">
        <f t="shared" si="165"/>
        <v>81.256230789298584</v>
      </c>
      <c r="I297">
        <f t="shared" si="150"/>
        <v>8.1256230789298584E-5</v>
      </c>
      <c r="J297" s="4">
        <f t="shared" si="166"/>
        <v>436.4633489492702</v>
      </c>
      <c r="K297" s="40">
        <f t="shared" si="167"/>
        <v>5.3714446844210775</v>
      </c>
      <c r="L297" s="40">
        <f t="shared" si="151"/>
        <v>0.62855531557892252</v>
      </c>
      <c r="M297" s="10">
        <f t="shared" si="168"/>
        <v>5.0650122399024626</v>
      </c>
      <c r="N297" s="10">
        <f t="shared" si="147"/>
        <v>8.26</v>
      </c>
      <c r="O297" s="10">
        <f t="shared" si="148"/>
        <v>0.31900000000000001</v>
      </c>
      <c r="P297" s="10">
        <f t="shared" si="169"/>
        <v>13.859297795081368</v>
      </c>
      <c r="Q297" s="42">
        <f t="shared" si="170"/>
        <v>0.13224703611401256</v>
      </c>
      <c r="R297" s="4">
        <f t="shared" si="171"/>
        <v>68341.248349402071</v>
      </c>
      <c r="S297">
        <f t="shared" si="152"/>
        <v>6.8341248349402067E-5</v>
      </c>
      <c r="T297" s="41">
        <f t="shared" si="153"/>
        <v>1.1146312369248177E-4</v>
      </c>
      <c r="U297" s="42">
        <f t="shared" si="172"/>
        <v>0.12264178722541948</v>
      </c>
      <c r="V297" s="42">
        <f t="shared" si="173"/>
        <v>0.45478144534174042</v>
      </c>
      <c r="W297" s="42">
        <f t="shared" si="174"/>
        <v>0.45059773159884975</v>
      </c>
      <c r="X297" s="42">
        <f t="shared" si="175"/>
        <v>4.1837137428906712E-3</v>
      </c>
      <c r="Y297" s="42">
        <f t="shared" si="149"/>
        <v>1.7115658615190828E-3</v>
      </c>
      <c r="Z297" s="10">
        <f t="shared" si="176"/>
        <v>15.355444965288807</v>
      </c>
      <c r="AA297">
        <f t="shared" si="154"/>
        <v>5065419.0115960445</v>
      </c>
      <c r="AB297" s="10">
        <f t="shared" si="155"/>
        <v>5.0654190115960445</v>
      </c>
      <c r="AC297" s="10">
        <f t="shared" si="156"/>
        <v>4.9644190115960445</v>
      </c>
      <c r="AD297" s="3">
        <f t="shared" si="157"/>
        <v>720.00275730181932</v>
      </c>
      <c r="AI297" s="94">
        <f t="shared" si="158"/>
        <v>0.45059773159884975</v>
      </c>
    </row>
    <row r="298" spans="2:35">
      <c r="B298" s="39">
        <f t="shared" si="159"/>
        <v>270</v>
      </c>
      <c r="C298" s="42">
        <f t="shared" si="160"/>
        <v>1.7935251798542418</v>
      </c>
      <c r="D298" s="10">
        <f t="shared" si="161"/>
        <v>3.7464748201455187</v>
      </c>
      <c r="E298" s="40">
        <f t="shared" si="162"/>
        <v>23.587050359708961</v>
      </c>
      <c r="F298" s="40">
        <f t="shared" si="163"/>
        <v>31.08</v>
      </c>
      <c r="G298" s="3">
        <f t="shared" si="164"/>
        <v>212.051798561168</v>
      </c>
      <c r="H298" s="3">
        <f t="shared" si="165"/>
        <v>81.256230789298584</v>
      </c>
      <c r="I298">
        <f t="shared" si="150"/>
        <v>8.1256230789298584E-5</v>
      </c>
      <c r="J298" s="4">
        <f t="shared" si="166"/>
        <v>436.95543935306273</v>
      </c>
      <c r="K298" s="40">
        <f t="shared" si="167"/>
        <v>5.3775007172817277</v>
      </c>
      <c r="L298" s="40">
        <f t="shared" si="151"/>
        <v>0.62249928271827226</v>
      </c>
      <c r="M298" s="10">
        <f t="shared" si="168"/>
        <v>5.0654190115960445</v>
      </c>
      <c r="N298" s="10">
        <f t="shared" si="147"/>
        <v>8.26</v>
      </c>
      <c r="O298" s="10">
        <f t="shared" si="148"/>
        <v>0.31900000000000001</v>
      </c>
      <c r="P298" s="10">
        <f t="shared" si="169"/>
        <v>13.859652845687489</v>
      </c>
      <c r="Q298" s="42">
        <f t="shared" si="170"/>
        <v>0.13272631838213797</v>
      </c>
      <c r="R298" s="4">
        <f t="shared" si="171"/>
        <v>68219.777247443053</v>
      </c>
      <c r="S298">
        <f t="shared" si="152"/>
        <v>6.8219777247443048E-5</v>
      </c>
      <c r="T298" s="41">
        <f t="shared" si="153"/>
        <v>1.1158459479444079E-4</v>
      </c>
      <c r="U298" s="42">
        <f t="shared" si="172"/>
        <v>0.12242380125939893</v>
      </c>
      <c r="V298" s="42">
        <f t="shared" si="173"/>
        <v>0.45481750633742896</v>
      </c>
      <c r="W298" s="42">
        <f t="shared" si="174"/>
        <v>0.45063465544060283</v>
      </c>
      <c r="X298" s="42">
        <f t="shared" si="175"/>
        <v>4.1828508968261291E-3</v>
      </c>
      <c r="Y298" s="42">
        <f t="shared" si="149"/>
        <v>1.7135706277841441E-3</v>
      </c>
      <c r="Z298" s="10">
        <f t="shared" si="176"/>
        <v>15.35669534796317</v>
      </c>
      <c r="AA298">
        <f t="shared" si="154"/>
        <v>5065823.2606122345</v>
      </c>
      <c r="AB298" s="10">
        <f t="shared" si="155"/>
        <v>5.0658232606122349</v>
      </c>
      <c r="AC298" s="10">
        <f t="shared" si="156"/>
        <v>4.9648232606122349</v>
      </c>
      <c r="AD298" s="3">
        <f t="shared" si="157"/>
        <v>720.06138660075919</v>
      </c>
      <c r="AI298" s="94">
        <f t="shared" si="158"/>
        <v>0.45063465544060283</v>
      </c>
    </row>
    <row r="299" spans="2:35">
      <c r="B299" s="39">
        <f t="shared" si="159"/>
        <v>271</v>
      </c>
      <c r="C299" s="42">
        <f t="shared" si="160"/>
        <v>1.8001678657055538</v>
      </c>
      <c r="D299" s="10">
        <f t="shared" si="161"/>
        <v>3.7398321342942058</v>
      </c>
      <c r="E299" s="40">
        <f t="shared" si="162"/>
        <v>23.600335731411587</v>
      </c>
      <c r="F299" s="40">
        <f t="shared" si="163"/>
        <v>31.08</v>
      </c>
      <c r="G299" s="3">
        <f t="shared" si="164"/>
        <v>211.99865707435751</v>
      </c>
      <c r="H299" s="3">
        <f t="shared" si="165"/>
        <v>81.256230789298584</v>
      </c>
      <c r="I299">
        <f t="shared" si="150"/>
        <v>8.1256230789298584E-5</v>
      </c>
      <c r="J299" s="4">
        <f t="shared" si="166"/>
        <v>437.44780700413679</v>
      </c>
      <c r="K299" s="40">
        <f t="shared" si="167"/>
        <v>5.3835601621549554</v>
      </c>
      <c r="L299" s="40">
        <f t="shared" si="151"/>
        <v>0.61643983784504464</v>
      </c>
      <c r="M299" s="10">
        <f t="shared" si="168"/>
        <v>5.0658232606122349</v>
      </c>
      <c r="N299" s="10">
        <f t="shared" si="147"/>
        <v>8.26</v>
      </c>
      <c r="O299" s="10">
        <f t="shared" si="148"/>
        <v>0.31900000000000001</v>
      </c>
      <c r="P299" s="10">
        <f t="shared" si="169"/>
        <v>13.860005675139252</v>
      </c>
      <c r="Q299" s="42">
        <f t="shared" si="170"/>
        <v>0.13320558844933766</v>
      </c>
      <c r="R299" s="4">
        <f t="shared" si="171"/>
        <v>68098.299670264081</v>
      </c>
      <c r="S299">
        <f t="shared" si="152"/>
        <v>6.8098299670264078E-5</v>
      </c>
      <c r="T299" s="41">
        <f t="shared" si="153"/>
        <v>1.1170607237161976E-4</v>
      </c>
      <c r="U299" s="42">
        <f t="shared" si="172"/>
        <v>0.1222058036732724</v>
      </c>
      <c r="V299" s="42">
        <f t="shared" si="173"/>
        <v>0.4548533301907674</v>
      </c>
      <c r="W299" s="42">
        <f t="shared" si="174"/>
        <v>0.45067135029164118</v>
      </c>
      <c r="X299" s="42">
        <f t="shared" si="175"/>
        <v>4.1819798991262203E-3</v>
      </c>
      <c r="Y299" s="42">
        <f t="shared" si="149"/>
        <v>1.715574925571426E-3</v>
      </c>
      <c r="Z299" s="10">
        <f t="shared" si="176"/>
        <v>15.357937927171164</v>
      </c>
      <c r="AA299">
        <f t="shared" si="154"/>
        <v>5066224.9867658913</v>
      </c>
      <c r="AB299" s="10">
        <f t="shared" si="155"/>
        <v>5.0662249867658913</v>
      </c>
      <c r="AC299" s="10">
        <f t="shared" si="156"/>
        <v>4.9652249867658913</v>
      </c>
      <c r="AD299" s="3">
        <f t="shared" si="157"/>
        <v>720.11965000230475</v>
      </c>
      <c r="AI299" s="94">
        <f t="shared" si="158"/>
        <v>0.45067135029164118</v>
      </c>
    </row>
    <row r="300" spans="2:35">
      <c r="B300" s="39">
        <f t="shared" si="159"/>
        <v>272</v>
      </c>
      <c r="C300" s="42">
        <f t="shared" si="160"/>
        <v>1.8068105515568658</v>
      </c>
      <c r="D300" s="10">
        <f t="shared" si="161"/>
        <v>3.7331894484428929</v>
      </c>
      <c r="E300" s="40">
        <f t="shared" si="162"/>
        <v>23.613621103114212</v>
      </c>
      <c r="F300" s="40">
        <f t="shared" si="163"/>
        <v>31.08</v>
      </c>
      <c r="G300" s="3">
        <f t="shared" si="164"/>
        <v>211.94551558754702</v>
      </c>
      <c r="H300" s="3">
        <f t="shared" si="165"/>
        <v>81.256230789298584</v>
      </c>
      <c r="I300">
        <f t="shared" si="150"/>
        <v>8.1256230789298584E-5</v>
      </c>
      <c r="J300" s="4">
        <f t="shared" si="166"/>
        <v>437.94045190249244</v>
      </c>
      <c r="K300" s="40">
        <f t="shared" si="167"/>
        <v>5.389623019040763</v>
      </c>
      <c r="L300" s="40">
        <f t="shared" si="151"/>
        <v>0.61037698095923698</v>
      </c>
      <c r="M300" s="10">
        <f t="shared" si="168"/>
        <v>5.0662249867658913</v>
      </c>
      <c r="N300" s="10">
        <f t="shared" si="147"/>
        <v>8.26</v>
      </c>
      <c r="O300" s="10">
        <f t="shared" si="148"/>
        <v>0.31900000000000001</v>
      </c>
      <c r="P300" s="10">
        <f t="shared" si="169"/>
        <v>13.860356283636627</v>
      </c>
      <c r="Q300" s="42">
        <f t="shared" si="170"/>
        <v>0.13368484639302808</v>
      </c>
      <c r="R300" s="4">
        <f t="shared" si="171"/>
        <v>67976.815662065143</v>
      </c>
      <c r="S300">
        <f t="shared" si="152"/>
        <v>6.797681566206514E-5</v>
      </c>
      <c r="T300" s="41">
        <f t="shared" si="153"/>
        <v>1.1182755637981869E-4</v>
      </c>
      <c r="U300" s="42">
        <f t="shared" si="172"/>
        <v>0.12198779454635898</v>
      </c>
      <c r="V300" s="42">
        <f t="shared" si="173"/>
        <v>0.45488891688406224</v>
      </c>
      <c r="W300" s="42">
        <f t="shared" si="174"/>
        <v>0.45070781613515926</v>
      </c>
      <c r="X300" s="42">
        <f t="shared" si="175"/>
        <v>4.1811007489029883E-3</v>
      </c>
      <c r="Y300" s="42">
        <f t="shared" si="149"/>
        <v>1.7175787513187078E-3</v>
      </c>
      <c r="Z300" s="10">
        <f t="shared" si="176"/>
        <v>15.35917270234366</v>
      </c>
      <c r="AA300">
        <f t="shared" si="154"/>
        <v>5066624.1898730127</v>
      </c>
      <c r="AB300" s="10">
        <f t="shared" si="155"/>
        <v>5.0666241898730124</v>
      </c>
      <c r="AC300" s="10">
        <f t="shared" si="156"/>
        <v>4.9656241898730125</v>
      </c>
      <c r="AD300" s="3">
        <f t="shared" si="157"/>
        <v>720.17754747976983</v>
      </c>
      <c r="AI300" s="94">
        <f t="shared" si="158"/>
        <v>0.45070781613515926</v>
      </c>
    </row>
    <row r="301" spans="2:35">
      <c r="B301" s="39">
        <f t="shared" si="159"/>
        <v>273</v>
      </c>
      <c r="C301" s="42">
        <f t="shared" si="160"/>
        <v>1.8134532374081778</v>
      </c>
      <c r="D301" s="10">
        <f t="shared" si="161"/>
        <v>3.72654676259158</v>
      </c>
      <c r="E301" s="40">
        <f t="shared" si="162"/>
        <v>23.626906474816838</v>
      </c>
      <c r="F301" s="40">
        <f t="shared" si="163"/>
        <v>31.08</v>
      </c>
      <c r="G301" s="3">
        <f t="shared" si="164"/>
        <v>211.89237410073653</v>
      </c>
      <c r="H301" s="3">
        <f t="shared" si="165"/>
        <v>81.256230789298584</v>
      </c>
      <c r="I301">
        <f t="shared" si="150"/>
        <v>8.1256230789298584E-5</v>
      </c>
      <c r="J301" s="4">
        <f t="shared" si="166"/>
        <v>438.43337404812962</v>
      </c>
      <c r="K301" s="40">
        <f t="shared" si="167"/>
        <v>5.3956892879391489</v>
      </c>
      <c r="L301" s="40">
        <f t="shared" si="151"/>
        <v>0.60431071206085107</v>
      </c>
      <c r="M301" s="10">
        <f t="shared" si="168"/>
        <v>5.0666241898730124</v>
      </c>
      <c r="N301" s="10">
        <f t="shared" si="147"/>
        <v>8.26</v>
      </c>
      <c r="O301" s="10">
        <f t="shared" si="148"/>
        <v>0.31900000000000001</v>
      </c>
      <c r="P301" s="10">
        <f t="shared" si="169"/>
        <v>13.860704671378272</v>
      </c>
      <c r="Q301" s="42">
        <f t="shared" si="170"/>
        <v>0.13416409229060708</v>
      </c>
      <c r="R301" s="4">
        <f t="shared" si="171"/>
        <v>67855.325267046239</v>
      </c>
      <c r="S301">
        <f t="shared" si="152"/>
        <v>6.7855325267046241E-5</v>
      </c>
      <c r="T301" s="41">
        <f t="shared" si="153"/>
        <v>1.1194904677483759E-4</v>
      </c>
      <c r="U301" s="42">
        <f t="shared" si="172"/>
        <v>0.12176977395797782</v>
      </c>
      <c r="V301" s="42">
        <f t="shared" si="173"/>
        <v>0.45492426639963751</v>
      </c>
      <c r="W301" s="42">
        <f t="shared" si="174"/>
        <v>0.45074405295445436</v>
      </c>
      <c r="X301" s="42">
        <f t="shared" si="175"/>
        <v>4.1802134451831563E-3</v>
      </c>
      <c r="Y301" s="42">
        <f t="shared" si="149"/>
        <v>1.7195821014633164E-3</v>
      </c>
      <c r="Z301" s="10">
        <f t="shared" si="176"/>
        <v>15.360399672914598</v>
      </c>
      <c r="AA301">
        <f t="shared" si="154"/>
        <v>5067020.8697505938</v>
      </c>
      <c r="AB301" s="10">
        <f t="shared" si="155"/>
        <v>5.0670208697505936</v>
      </c>
      <c r="AC301" s="10">
        <f t="shared" si="156"/>
        <v>4.9660208697505936</v>
      </c>
      <c r="AD301" s="3">
        <f t="shared" si="157"/>
        <v>720.23507900661264</v>
      </c>
      <c r="AI301" s="94">
        <f t="shared" si="158"/>
        <v>0.45074405295445436</v>
      </c>
    </row>
    <row r="302" spans="2:35">
      <c r="B302" s="39">
        <f t="shared" si="159"/>
        <v>274</v>
      </c>
      <c r="C302" s="42">
        <f t="shared" si="160"/>
        <v>1.8200959232594898</v>
      </c>
      <c r="D302" s="10">
        <f t="shared" si="161"/>
        <v>3.7199040767402671</v>
      </c>
      <c r="E302" s="40">
        <f t="shared" si="162"/>
        <v>23.640191846519464</v>
      </c>
      <c r="F302" s="40">
        <f t="shared" si="163"/>
        <v>31.08</v>
      </c>
      <c r="G302" s="3">
        <f t="shared" si="164"/>
        <v>211.83923261392604</v>
      </c>
      <c r="H302" s="3">
        <f t="shared" si="165"/>
        <v>81.256230789298584</v>
      </c>
      <c r="I302">
        <f t="shared" si="150"/>
        <v>8.1256230789298584E-5</v>
      </c>
      <c r="J302" s="4">
        <f t="shared" si="166"/>
        <v>438.92657344104833</v>
      </c>
      <c r="K302" s="40">
        <f t="shared" si="167"/>
        <v>5.4017589688501131</v>
      </c>
      <c r="L302" s="40">
        <f t="shared" si="151"/>
        <v>0.59824103114988691</v>
      </c>
      <c r="M302" s="10">
        <f t="shared" si="168"/>
        <v>5.0670208697505936</v>
      </c>
      <c r="N302" s="10">
        <f t="shared" si="147"/>
        <v>8.26</v>
      </c>
      <c r="O302" s="10">
        <f t="shared" si="148"/>
        <v>0.31900000000000001</v>
      </c>
      <c r="P302" s="10">
        <f t="shared" si="169"/>
        <v>13.861050838561416</v>
      </c>
      <c r="Q302" s="42">
        <f t="shared" si="170"/>
        <v>0.1346433262194541</v>
      </c>
      <c r="R302" s="4">
        <f t="shared" si="171"/>
        <v>67733.828529407372</v>
      </c>
      <c r="S302">
        <f t="shared" si="152"/>
        <v>6.7733828529407378E-5</v>
      </c>
      <c r="T302" s="41">
        <f t="shared" si="153"/>
        <v>1.1207054351247646E-4</v>
      </c>
      <c r="U302" s="42">
        <f t="shared" si="172"/>
        <v>0.121551741987448</v>
      </c>
      <c r="V302" s="42">
        <f t="shared" si="173"/>
        <v>0.45495937872006387</v>
      </c>
      <c r="W302" s="42">
        <f t="shared" si="174"/>
        <v>0.45078006073291466</v>
      </c>
      <c r="X302" s="42">
        <f t="shared" si="175"/>
        <v>4.1793179871492114E-3</v>
      </c>
      <c r="Y302" s="42">
        <f t="shared" si="149"/>
        <v>1.721584972442199E-3</v>
      </c>
      <c r="Z302" s="10">
        <f t="shared" si="176"/>
        <v>15.361618838321601</v>
      </c>
      <c r="AA302">
        <f t="shared" si="154"/>
        <v>5067415.0262168171</v>
      </c>
      <c r="AB302" s="10">
        <f t="shared" si="155"/>
        <v>5.0674150262168167</v>
      </c>
      <c r="AC302" s="10">
        <f t="shared" si="156"/>
        <v>4.9664150262168167</v>
      </c>
      <c r="AD302" s="3">
        <f t="shared" si="157"/>
        <v>720.29224455646363</v>
      </c>
      <c r="AI302" s="94">
        <f t="shared" si="158"/>
        <v>0.45078006073291466</v>
      </c>
    </row>
    <row r="303" spans="2:35">
      <c r="B303" s="39">
        <f t="shared" si="159"/>
        <v>275</v>
      </c>
      <c r="C303" s="42">
        <f t="shared" si="160"/>
        <v>1.8267386091108018</v>
      </c>
      <c r="D303" s="10">
        <f t="shared" si="161"/>
        <v>3.7132613908889542</v>
      </c>
      <c r="E303" s="40">
        <f t="shared" si="162"/>
        <v>23.65347721822209</v>
      </c>
      <c r="F303" s="40">
        <f t="shared" si="163"/>
        <v>31.08</v>
      </c>
      <c r="G303" s="3">
        <f t="shared" si="164"/>
        <v>211.78609112711555</v>
      </c>
      <c r="H303" s="3">
        <f t="shared" si="165"/>
        <v>81.256230789298584</v>
      </c>
      <c r="I303">
        <f t="shared" si="150"/>
        <v>8.1256230789298584E-5</v>
      </c>
      <c r="J303" s="4">
        <f t="shared" si="166"/>
        <v>439.42005008124858</v>
      </c>
      <c r="K303" s="40">
        <f t="shared" si="167"/>
        <v>5.4078320617736555</v>
      </c>
      <c r="L303" s="40">
        <f t="shared" si="151"/>
        <v>0.5921679382263445</v>
      </c>
      <c r="M303" s="10">
        <f t="shared" si="168"/>
        <v>5.0674150262168167</v>
      </c>
      <c r="N303" s="10">
        <f t="shared" si="147"/>
        <v>8.26</v>
      </c>
      <c r="O303" s="10">
        <f t="shared" si="148"/>
        <v>0.31900000000000001</v>
      </c>
      <c r="P303" s="10">
        <f t="shared" si="169"/>
        <v>13.861394785382023</v>
      </c>
      <c r="Q303" s="42">
        <f t="shared" si="170"/>
        <v>0.13512254825693024</v>
      </c>
      <c r="R303" s="4">
        <f t="shared" si="171"/>
        <v>67612.325493348544</v>
      </c>
      <c r="S303">
        <f t="shared" si="152"/>
        <v>6.7612325493348545E-5</v>
      </c>
      <c r="T303" s="41">
        <f t="shared" si="153"/>
        <v>1.1219204654853529E-4</v>
      </c>
      <c r="U303" s="42">
        <f t="shared" si="172"/>
        <v>0.12133369871408863</v>
      </c>
      <c r="V303" s="42">
        <f t="shared" si="173"/>
        <v>0.45499425382797942</v>
      </c>
      <c r="W303" s="42">
        <f t="shared" si="174"/>
        <v>0.45081583945403625</v>
      </c>
      <c r="X303" s="42">
        <f t="shared" si="175"/>
        <v>4.1784143739431734E-3</v>
      </c>
      <c r="Y303" s="42">
        <f t="shared" si="149"/>
        <v>1.7235873606918997E-3</v>
      </c>
      <c r="Z303" s="10">
        <f t="shared" si="176"/>
        <v>15.362830198005705</v>
      </c>
      <c r="AA303">
        <f t="shared" si="154"/>
        <v>5067806.6590909697</v>
      </c>
      <c r="AB303" s="10">
        <f t="shared" si="155"/>
        <v>5.0678066590909694</v>
      </c>
      <c r="AC303" s="10">
        <f t="shared" si="156"/>
        <v>4.9668066590909694</v>
      </c>
      <c r="AD303" s="3">
        <f t="shared" si="157"/>
        <v>720.34904410311378</v>
      </c>
      <c r="AI303" s="94">
        <f t="shared" si="158"/>
        <v>0.45081583945403625</v>
      </c>
    </row>
    <row r="304" spans="2:35">
      <c r="B304" s="39">
        <f t="shared" si="159"/>
        <v>276</v>
      </c>
      <c r="C304" s="42">
        <f t="shared" si="160"/>
        <v>1.8333812949621138</v>
      </c>
      <c r="D304" s="10">
        <f t="shared" si="161"/>
        <v>3.7066187050376413</v>
      </c>
      <c r="E304" s="40">
        <f t="shared" si="162"/>
        <v>23.666762589924716</v>
      </c>
      <c r="F304" s="40">
        <f t="shared" si="163"/>
        <v>31.08</v>
      </c>
      <c r="G304" s="3">
        <f t="shared" si="164"/>
        <v>211.73294964030507</v>
      </c>
      <c r="H304" s="3">
        <f t="shared" si="165"/>
        <v>81.256230789298584</v>
      </c>
      <c r="I304">
        <f t="shared" si="150"/>
        <v>8.1256230789298584E-5</v>
      </c>
      <c r="J304" s="4">
        <f t="shared" si="166"/>
        <v>439.91380396873052</v>
      </c>
      <c r="K304" s="40">
        <f t="shared" si="167"/>
        <v>5.4139085667097788</v>
      </c>
      <c r="L304" s="40">
        <f t="shared" si="151"/>
        <v>0.58609143329022118</v>
      </c>
      <c r="M304" s="10">
        <f t="shared" si="168"/>
        <v>5.0678066590909694</v>
      </c>
      <c r="N304" s="10">
        <f t="shared" si="147"/>
        <v>8.26</v>
      </c>
      <c r="O304" s="10">
        <f t="shared" si="148"/>
        <v>0.31900000000000001</v>
      </c>
      <c r="P304" s="10">
        <f t="shared" si="169"/>
        <v>13.861736512034726</v>
      </c>
      <c r="Q304" s="42">
        <f t="shared" si="170"/>
        <v>0.13560175848037842</v>
      </c>
      <c r="R304" s="4">
        <f t="shared" si="171"/>
        <v>67490.816203069713</v>
      </c>
      <c r="S304">
        <f t="shared" si="152"/>
        <v>6.749081620306971E-5</v>
      </c>
      <c r="T304" s="41">
        <f t="shared" si="153"/>
        <v>1.1231355583881412E-4</v>
      </c>
      <c r="U304" s="42">
        <f t="shared" si="172"/>
        <v>0.12111564421721874</v>
      </c>
      <c r="V304" s="42">
        <f t="shared" si="173"/>
        <v>0.45502889170615823</v>
      </c>
      <c r="W304" s="42">
        <f t="shared" si="174"/>
        <v>0.45085138910141503</v>
      </c>
      <c r="X304" s="42">
        <f t="shared" si="175"/>
        <v>4.1775026047431996E-3</v>
      </c>
      <c r="Y304" s="42">
        <f t="shared" si="149"/>
        <v>1.7255892626485741E-3</v>
      </c>
      <c r="Z304" s="10">
        <f t="shared" si="176"/>
        <v>15.364033751411444</v>
      </c>
      <c r="AA304">
        <f t="shared" si="154"/>
        <v>5068195.7681934694</v>
      </c>
      <c r="AB304" s="10">
        <f t="shared" si="155"/>
        <v>5.0681957681934691</v>
      </c>
      <c r="AC304" s="10">
        <f t="shared" si="156"/>
        <v>4.9671957681934691</v>
      </c>
      <c r="AD304" s="3">
        <f t="shared" si="157"/>
        <v>720.40547762051767</v>
      </c>
      <c r="AI304" s="94">
        <f t="shared" si="158"/>
        <v>0.45085138910141503</v>
      </c>
    </row>
    <row r="305" spans="2:35">
      <c r="B305" s="39">
        <f t="shared" si="159"/>
        <v>277</v>
      </c>
      <c r="C305" s="42">
        <f t="shared" si="160"/>
        <v>1.8400239808134258</v>
      </c>
      <c r="D305" s="10">
        <f t="shared" si="161"/>
        <v>3.6999760191863285</v>
      </c>
      <c r="E305" s="40">
        <f t="shared" si="162"/>
        <v>23.680047961627341</v>
      </c>
      <c r="F305" s="40">
        <f t="shared" si="163"/>
        <v>31.08</v>
      </c>
      <c r="G305" s="3">
        <f t="shared" si="164"/>
        <v>211.67980815349458</v>
      </c>
      <c r="H305" s="3">
        <f t="shared" si="165"/>
        <v>81.256230789298584</v>
      </c>
      <c r="I305">
        <f t="shared" si="150"/>
        <v>8.1256230789298584E-5</v>
      </c>
      <c r="J305" s="4">
        <f t="shared" si="166"/>
        <v>440.40783510349394</v>
      </c>
      <c r="K305" s="40">
        <f t="shared" si="167"/>
        <v>5.4199884836584804</v>
      </c>
      <c r="L305" s="40">
        <f t="shared" si="151"/>
        <v>0.5800115163415196</v>
      </c>
      <c r="M305" s="10">
        <f t="shared" si="168"/>
        <v>5.0681957681934691</v>
      </c>
      <c r="N305" s="10">
        <f t="shared" si="147"/>
        <v>8.26</v>
      </c>
      <c r="O305" s="10">
        <f t="shared" si="148"/>
        <v>0.31900000000000001</v>
      </c>
      <c r="P305" s="10">
        <f t="shared" si="169"/>
        <v>13.862076018712841</v>
      </c>
      <c r="Q305" s="42">
        <f t="shared" si="170"/>
        <v>0.13608095696712347</v>
      </c>
      <c r="R305" s="4">
        <f t="shared" si="171"/>
        <v>67369.300702770925</v>
      </c>
      <c r="S305">
        <f t="shared" si="152"/>
        <v>6.7369300702770923E-5</v>
      </c>
      <c r="T305" s="41">
        <f t="shared" si="153"/>
        <v>1.1243507133911291E-4</v>
      </c>
      <c r="U305" s="42">
        <f t="shared" si="172"/>
        <v>0.12089757857615756</v>
      </c>
      <c r="V305" s="42">
        <f t="shared" si="173"/>
        <v>0.45506329233714676</v>
      </c>
      <c r="W305" s="42">
        <f t="shared" si="174"/>
        <v>0.45088670965875</v>
      </c>
      <c r="X305" s="42">
        <f t="shared" si="175"/>
        <v>4.1765826783967674E-3</v>
      </c>
      <c r="Y305" s="42">
        <f t="shared" si="149"/>
        <v>1.7275906747478275E-3</v>
      </c>
      <c r="Z305" s="10">
        <f t="shared" si="176"/>
        <v>15.365229497985373</v>
      </c>
      <c r="AA305">
        <f t="shared" si="154"/>
        <v>5068582.3533453858</v>
      </c>
      <c r="AB305" s="10">
        <f t="shared" si="155"/>
        <v>5.068582353345386</v>
      </c>
      <c r="AC305" s="10">
        <f t="shared" si="156"/>
        <v>4.967582353345386</v>
      </c>
      <c r="AD305" s="3">
        <f t="shared" si="157"/>
        <v>720.46154508272457</v>
      </c>
      <c r="AI305" s="94">
        <f t="shared" si="158"/>
        <v>0.45088670965875</v>
      </c>
    </row>
    <row r="306" spans="2:35">
      <c r="B306" s="39">
        <f t="shared" si="159"/>
        <v>278</v>
      </c>
      <c r="C306" s="42">
        <f t="shared" si="160"/>
        <v>1.8466666666647378</v>
      </c>
      <c r="D306" s="10">
        <f t="shared" si="161"/>
        <v>3.6933333333350156</v>
      </c>
      <c r="E306" s="40">
        <f t="shared" si="162"/>
        <v>23.693333333329967</v>
      </c>
      <c r="F306" s="40">
        <f t="shared" si="163"/>
        <v>31.08</v>
      </c>
      <c r="G306" s="3">
        <f t="shared" si="164"/>
        <v>211.62666666668409</v>
      </c>
      <c r="H306" s="3">
        <f t="shared" si="165"/>
        <v>81.256230789298584</v>
      </c>
      <c r="I306">
        <f t="shared" si="150"/>
        <v>8.1256230789298584E-5</v>
      </c>
      <c r="J306" s="4">
        <f t="shared" si="166"/>
        <v>440.90214348553883</v>
      </c>
      <c r="K306" s="40">
        <f t="shared" si="167"/>
        <v>5.4260718126197585</v>
      </c>
      <c r="L306" s="40">
        <f t="shared" si="151"/>
        <v>0.57392818738024154</v>
      </c>
      <c r="M306" s="10">
        <f t="shared" si="168"/>
        <v>5.068582353345386</v>
      </c>
      <c r="N306" s="10">
        <f t="shared" si="147"/>
        <v>8.26</v>
      </c>
      <c r="O306" s="10">
        <f t="shared" si="148"/>
        <v>0.31900000000000001</v>
      </c>
      <c r="P306" s="10">
        <f t="shared" si="169"/>
        <v>13.862413305607957</v>
      </c>
      <c r="Q306" s="42">
        <f t="shared" si="170"/>
        <v>0.13656014379447226</v>
      </c>
      <c r="R306" s="4">
        <f t="shared" si="171"/>
        <v>67247.77903665218</v>
      </c>
      <c r="S306">
        <f t="shared" si="152"/>
        <v>6.7247779036652179E-5</v>
      </c>
      <c r="T306" s="41">
        <f t="shared" si="153"/>
        <v>1.1255659300523165E-4</v>
      </c>
      <c r="U306" s="42">
        <f t="shared" si="172"/>
        <v>0.12067950187022417</v>
      </c>
      <c r="V306" s="42">
        <f t="shared" si="173"/>
        <v>0.45509745570417737</v>
      </c>
      <c r="W306" s="42">
        <f t="shared" si="174"/>
        <v>0.45092180110979901</v>
      </c>
      <c r="X306" s="42">
        <f t="shared" si="175"/>
        <v>4.175654594378353E-3</v>
      </c>
      <c r="Y306" s="42">
        <f t="shared" si="149"/>
        <v>1.729591593425012E-3</v>
      </c>
      <c r="Z306" s="10">
        <f t="shared" si="176"/>
        <v>15.366417437178649</v>
      </c>
      <c r="AA306">
        <f t="shared" si="154"/>
        <v>5068966.4143692805</v>
      </c>
      <c r="AB306" s="10">
        <f t="shared" si="155"/>
        <v>5.0689664143692807</v>
      </c>
      <c r="AC306" s="10">
        <f t="shared" si="156"/>
        <v>4.9679664143692808</v>
      </c>
      <c r="AD306" s="3">
        <f t="shared" si="157"/>
        <v>720.5172464640001</v>
      </c>
      <c r="AI306" s="94">
        <f t="shared" si="158"/>
        <v>0.45092180110979901</v>
      </c>
    </row>
    <row r="307" spans="2:35">
      <c r="B307" s="39">
        <f t="shared" si="159"/>
        <v>279</v>
      </c>
      <c r="C307" s="42">
        <f t="shared" si="160"/>
        <v>1.8533093525160498</v>
      </c>
      <c r="D307" s="10">
        <f t="shared" si="161"/>
        <v>3.6866906474837027</v>
      </c>
      <c r="E307" s="40">
        <f t="shared" si="162"/>
        <v>23.706618705032593</v>
      </c>
      <c r="F307" s="40">
        <f t="shared" si="163"/>
        <v>31.08</v>
      </c>
      <c r="G307" s="3">
        <f t="shared" si="164"/>
        <v>211.5735251798736</v>
      </c>
      <c r="H307" s="3">
        <f t="shared" si="165"/>
        <v>81.256230789298584</v>
      </c>
      <c r="I307">
        <f t="shared" si="150"/>
        <v>8.1256230789298584E-5</v>
      </c>
      <c r="J307" s="4">
        <f t="shared" si="166"/>
        <v>441.39672911486542</v>
      </c>
      <c r="K307" s="40">
        <f t="shared" si="167"/>
        <v>5.4321585535936183</v>
      </c>
      <c r="L307" s="40">
        <f t="shared" si="151"/>
        <v>0.56784144640638168</v>
      </c>
      <c r="M307" s="10">
        <f t="shared" si="168"/>
        <v>5.0689664143692807</v>
      </c>
      <c r="N307" s="10">
        <f t="shared" si="147"/>
        <v>8.26</v>
      </c>
      <c r="O307" s="10">
        <f t="shared" si="148"/>
        <v>0.31900000000000001</v>
      </c>
      <c r="P307" s="10">
        <f t="shared" si="169"/>
        <v>13.862748372910668</v>
      </c>
      <c r="Q307" s="42">
        <f t="shared" si="170"/>
        <v>0.13703931903971386</v>
      </c>
      <c r="R307" s="4">
        <f t="shared" si="171"/>
        <v>67126.251248913424</v>
      </c>
      <c r="S307">
        <f t="shared" si="152"/>
        <v>6.7126251248913419E-5</v>
      </c>
      <c r="T307" s="41">
        <f t="shared" si="153"/>
        <v>1.1267812079297041E-4</v>
      </c>
      <c r="U307" s="42">
        <f t="shared" si="172"/>
        <v>0.12046141417873757</v>
      </c>
      <c r="V307" s="42">
        <f t="shared" si="173"/>
        <v>0.45513138179046525</v>
      </c>
      <c r="W307" s="42">
        <f t="shared" si="174"/>
        <v>0.45095666343845558</v>
      </c>
      <c r="X307" s="42">
        <f t="shared" si="175"/>
        <v>4.1747183520096653E-3</v>
      </c>
      <c r="Y307" s="42">
        <f t="shared" si="149"/>
        <v>1.7315920151151508E-3</v>
      </c>
      <c r="Z307" s="10">
        <f t="shared" si="176"/>
        <v>15.367597568446302</v>
      </c>
      <c r="AA307">
        <f t="shared" si="154"/>
        <v>5069347.9510889621</v>
      </c>
      <c r="AB307" s="10">
        <f t="shared" si="155"/>
        <v>5.0693479510889619</v>
      </c>
      <c r="AC307" s="10">
        <f t="shared" si="156"/>
        <v>4.9683479510889619</v>
      </c>
      <c r="AD307" s="3">
        <f t="shared" si="157"/>
        <v>720.57258173879075</v>
      </c>
      <c r="AI307" s="94">
        <f t="shared" si="158"/>
        <v>0.45095666343845558</v>
      </c>
    </row>
    <row r="308" spans="2:35">
      <c r="B308" s="39">
        <f t="shared" si="159"/>
        <v>280</v>
      </c>
      <c r="C308" s="42">
        <f t="shared" si="160"/>
        <v>1.8599520383673618</v>
      </c>
      <c r="D308" s="10">
        <f t="shared" si="161"/>
        <v>3.6800479616323898</v>
      </c>
      <c r="E308" s="40">
        <f t="shared" si="162"/>
        <v>23.719904076735219</v>
      </c>
      <c r="F308" s="40">
        <f t="shared" si="163"/>
        <v>31.08</v>
      </c>
      <c r="G308" s="3">
        <f t="shared" si="164"/>
        <v>211.52038369306311</v>
      </c>
      <c r="H308" s="3">
        <f t="shared" si="165"/>
        <v>81.256230789298584</v>
      </c>
      <c r="I308">
        <f t="shared" si="150"/>
        <v>8.1256230789298584E-5</v>
      </c>
      <c r="J308" s="4">
        <f t="shared" si="166"/>
        <v>441.89159199147355</v>
      </c>
      <c r="K308" s="40">
        <f t="shared" si="167"/>
        <v>5.4382487065800555</v>
      </c>
      <c r="L308" s="40">
        <f t="shared" si="151"/>
        <v>0.56175129341994445</v>
      </c>
      <c r="M308" s="10">
        <f t="shared" si="168"/>
        <v>5.0693479510889619</v>
      </c>
      <c r="N308" s="10">
        <f t="shared" si="147"/>
        <v>8.26</v>
      </c>
      <c r="O308" s="10">
        <f t="shared" si="148"/>
        <v>0.31900000000000001</v>
      </c>
      <c r="P308" s="10">
        <f t="shared" si="169"/>
        <v>13.863081220810354</v>
      </c>
      <c r="Q308" s="42">
        <f t="shared" si="170"/>
        <v>0.13751848278011961</v>
      </c>
      <c r="R308" s="4">
        <f t="shared" si="171"/>
        <v>67004.717383754702</v>
      </c>
      <c r="S308">
        <f t="shared" si="152"/>
        <v>6.7004717383754706E-5</v>
      </c>
      <c r="T308" s="41">
        <f t="shared" si="153"/>
        <v>1.1279965465812913E-4</v>
      </c>
      <c r="U308" s="42">
        <f t="shared" si="172"/>
        <v>0.12024331558101699</v>
      </c>
      <c r="V308" s="42">
        <f t="shared" si="173"/>
        <v>0.4551650705788004</v>
      </c>
      <c r="W308" s="42">
        <f t="shared" si="174"/>
        <v>0.45099129662872622</v>
      </c>
      <c r="X308" s="42">
        <f t="shared" si="175"/>
        <v>4.1737739500741777E-3</v>
      </c>
      <c r="Y308" s="42">
        <f t="shared" si="149"/>
        <v>1.7335919362526763E-3</v>
      </c>
      <c r="Z308" s="10">
        <f t="shared" si="176"/>
        <v>15.36876989124489</v>
      </c>
      <c r="AA308">
        <f t="shared" si="154"/>
        <v>5069726.9633287378</v>
      </c>
      <c r="AB308" s="10">
        <f t="shared" si="155"/>
        <v>5.0697269633287378</v>
      </c>
      <c r="AC308" s="10">
        <f t="shared" si="156"/>
        <v>4.9687269633287379</v>
      </c>
      <c r="AD308" s="3">
        <f t="shared" si="157"/>
        <v>720.62755088161532</v>
      </c>
      <c r="AI308" s="94">
        <f t="shared" si="158"/>
        <v>0.45099129662872622</v>
      </c>
    </row>
    <row r="309" spans="2:35">
      <c r="B309" s="39">
        <f t="shared" si="159"/>
        <v>281</v>
      </c>
      <c r="C309" s="42">
        <f t="shared" si="160"/>
        <v>1.8665947242186738</v>
      </c>
      <c r="D309" s="10">
        <f t="shared" si="161"/>
        <v>3.6734052757810769</v>
      </c>
      <c r="E309" s="40">
        <f t="shared" si="162"/>
        <v>23.733189448437845</v>
      </c>
      <c r="F309" s="40">
        <f t="shared" si="163"/>
        <v>31.08</v>
      </c>
      <c r="G309" s="3">
        <f t="shared" si="164"/>
        <v>211.46724220625262</v>
      </c>
      <c r="H309" s="3">
        <f t="shared" si="165"/>
        <v>81.256230789298584</v>
      </c>
      <c r="I309">
        <f t="shared" si="150"/>
        <v>8.1256230789298584E-5</v>
      </c>
      <c r="J309" s="4">
        <f t="shared" si="166"/>
        <v>442.3867321153632</v>
      </c>
      <c r="K309" s="40">
        <f t="shared" si="167"/>
        <v>5.4443422715790719</v>
      </c>
      <c r="L309" s="40">
        <f t="shared" si="151"/>
        <v>0.55565772842092809</v>
      </c>
      <c r="M309" s="10">
        <f t="shared" si="168"/>
        <v>5.0697269633287378</v>
      </c>
      <c r="N309" s="10">
        <f t="shared" si="147"/>
        <v>8.26</v>
      </c>
      <c r="O309" s="10">
        <f t="shared" si="148"/>
        <v>0.31900000000000001</v>
      </c>
      <c r="P309" s="10">
        <f t="shared" si="169"/>
        <v>13.863411849494547</v>
      </c>
      <c r="Q309" s="42">
        <f t="shared" si="170"/>
        <v>0.13799763509294324</v>
      </c>
      <c r="R309" s="4">
        <f t="shared" si="171"/>
        <v>66883.177485376</v>
      </c>
      <c r="S309">
        <f t="shared" si="152"/>
        <v>6.6883177485375995E-5</v>
      </c>
      <c r="T309" s="41">
        <f t="shared" si="153"/>
        <v>1.1292119455650784E-4</v>
      </c>
      <c r="U309" s="42">
        <f t="shared" si="172"/>
        <v>0.12002520615638149</v>
      </c>
      <c r="V309" s="42">
        <f t="shared" si="173"/>
        <v>0.45519852205280054</v>
      </c>
      <c r="W309" s="42">
        <f t="shared" si="174"/>
        <v>0.45102570066466263</v>
      </c>
      <c r="X309" s="42">
        <f t="shared" si="175"/>
        <v>4.1728213881379039E-3</v>
      </c>
      <c r="Y309" s="42">
        <f t="shared" si="149"/>
        <v>1.7355913532718025E-3</v>
      </c>
      <c r="Z309" s="10">
        <f t="shared" si="176"/>
        <v>15.369934405035725</v>
      </c>
      <c r="AA309">
        <f t="shared" si="154"/>
        <v>5070103.4509144481</v>
      </c>
      <c r="AB309" s="10">
        <f t="shared" si="155"/>
        <v>5.0701034509144485</v>
      </c>
      <c r="AC309" s="10">
        <f t="shared" si="156"/>
        <v>4.9691034509144485</v>
      </c>
      <c r="AD309" s="3">
        <f t="shared" si="157"/>
        <v>720.68215386721511</v>
      </c>
      <c r="AI309" s="94">
        <f t="shared" si="158"/>
        <v>0.45102570066466263</v>
      </c>
    </row>
    <row r="310" spans="2:35">
      <c r="B310" s="39">
        <f t="shared" si="159"/>
        <v>282</v>
      </c>
      <c r="C310" s="42">
        <f t="shared" si="160"/>
        <v>1.8732374100699858</v>
      </c>
      <c r="D310" s="10">
        <f t="shared" si="161"/>
        <v>3.666762589929764</v>
      </c>
      <c r="E310" s="40">
        <f t="shared" si="162"/>
        <v>23.74647482014047</v>
      </c>
      <c r="F310" s="40">
        <f t="shared" si="163"/>
        <v>31.08</v>
      </c>
      <c r="G310" s="3">
        <f t="shared" si="164"/>
        <v>211.41410071944213</v>
      </c>
      <c r="H310" s="3">
        <f t="shared" si="165"/>
        <v>81.256230789298584</v>
      </c>
      <c r="I310">
        <f t="shared" si="150"/>
        <v>8.1256230789298584E-5</v>
      </c>
      <c r="J310" s="4">
        <f t="shared" si="166"/>
        <v>442.88214948653439</v>
      </c>
      <c r="K310" s="40">
        <f t="shared" si="167"/>
        <v>5.4504392485906665</v>
      </c>
      <c r="L310" s="40">
        <f t="shared" si="151"/>
        <v>0.54956075140933347</v>
      </c>
      <c r="M310" s="10">
        <f t="shared" si="168"/>
        <v>5.0701034509144485</v>
      </c>
      <c r="N310" s="10">
        <f t="shared" si="147"/>
        <v>8.26</v>
      </c>
      <c r="O310" s="10">
        <f t="shared" si="148"/>
        <v>0.31900000000000001</v>
      </c>
      <c r="P310" s="10">
        <f t="shared" si="169"/>
        <v>13.863740259149807</v>
      </c>
      <c r="Q310" s="42">
        <f t="shared" si="170"/>
        <v>0.13847677605542111</v>
      </c>
      <c r="R310" s="4">
        <f t="shared" si="171"/>
        <v>66761.631597977335</v>
      </c>
      <c r="S310">
        <f t="shared" si="152"/>
        <v>6.6761631597977335E-5</v>
      </c>
      <c r="T310" s="41">
        <f t="shared" si="153"/>
        <v>1.130427404439065E-4</v>
      </c>
      <c r="U310" s="42">
        <f t="shared" si="172"/>
        <v>0.11980708598415023</v>
      </c>
      <c r="V310" s="42">
        <f t="shared" si="173"/>
        <v>0.45523173619566321</v>
      </c>
      <c r="W310" s="42">
        <f t="shared" si="174"/>
        <v>0.45105987553045623</v>
      </c>
      <c r="X310" s="42">
        <f t="shared" si="175"/>
        <v>4.1718606652069723E-3</v>
      </c>
      <c r="Y310" s="42">
        <f t="shared" si="149"/>
        <v>1.7375902626062534E-3</v>
      </c>
      <c r="Z310" s="10">
        <f t="shared" si="176"/>
        <v>15.371091109282437</v>
      </c>
      <c r="AA310">
        <f t="shared" si="154"/>
        <v>5070477.4136726847</v>
      </c>
      <c r="AB310" s="10">
        <f t="shared" si="155"/>
        <v>5.0704774136726849</v>
      </c>
      <c r="AC310" s="10">
        <f t="shared" si="156"/>
        <v>4.9694774136726849</v>
      </c>
      <c r="AD310" s="3">
        <f t="shared" si="157"/>
        <v>720.73639067044007</v>
      </c>
      <c r="AI310" s="94">
        <f t="shared" si="158"/>
        <v>0.45105987553045623</v>
      </c>
    </row>
    <row r="311" spans="2:35">
      <c r="B311" s="39">
        <f t="shared" si="159"/>
        <v>283</v>
      </c>
      <c r="C311" s="42">
        <f t="shared" si="160"/>
        <v>1.8798800959212978</v>
      </c>
      <c r="D311" s="10">
        <f t="shared" si="161"/>
        <v>3.6601199040784511</v>
      </c>
      <c r="E311" s="40">
        <f t="shared" si="162"/>
        <v>23.759760191843096</v>
      </c>
      <c r="F311" s="40">
        <f t="shared" si="163"/>
        <v>31.08</v>
      </c>
      <c r="G311" s="3">
        <f t="shared" si="164"/>
        <v>211.36095923263164</v>
      </c>
      <c r="H311" s="3">
        <f t="shared" si="165"/>
        <v>81.256230789298584</v>
      </c>
      <c r="I311">
        <f t="shared" si="150"/>
        <v>8.1256230789298584E-5</v>
      </c>
      <c r="J311" s="4">
        <f t="shared" si="166"/>
        <v>443.37784410498722</v>
      </c>
      <c r="K311" s="40">
        <f t="shared" si="167"/>
        <v>5.4565396376148412</v>
      </c>
      <c r="L311" s="40">
        <f t="shared" si="151"/>
        <v>0.54346036238515882</v>
      </c>
      <c r="M311" s="10">
        <f t="shared" si="168"/>
        <v>5.0704774136726849</v>
      </c>
      <c r="N311" s="10">
        <f t="shared" si="147"/>
        <v>8.26</v>
      </c>
      <c r="O311" s="10">
        <f t="shared" si="148"/>
        <v>0.31900000000000001</v>
      </c>
      <c r="P311" s="10">
        <f t="shared" si="169"/>
        <v>13.864066449961065</v>
      </c>
      <c r="Q311" s="42">
        <f t="shared" si="170"/>
        <v>0.13895590574477215</v>
      </c>
      <c r="R311" s="4">
        <f t="shared" si="171"/>
        <v>66640.079765758666</v>
      </c>
      <c r="S311">
        <f t="shared" si="152"/>
        <v>6.6640079765758667E-5</v>
      </c>
      <c r="T311" s="41">
        <f t="shared" si="153"/>
        <v>1.1316429227612517E-4</v>
      </c>
      <c r="U311" s="42">
        <f t="shared" si="172"/>
        <v>0.11958895514364221</v>
      </c>
      <c r="V311" s="42">
        <f t="shared" si="173"/>
        <v>0.45526471299131627</v>
      </c>
      <c r="W311" s="42">
        <f t="shared" si="174"/>
        <v>0.45109382121036601</v>
      </c>
      <c r="X311" s="42">
        <f t="shared" si="175"/>
        <v>4.1708917809502588E-3</v>
      </c>
      <c r="Y311" s="42">
        <f t="shared" si="149"/>
        <v>1.7395886606895769E-3</v>
      </c>
      <c r="Z311" s="10">
        <f t="shared" si="176"/>
        <v>15.372240003453692</v>
      </c>
      <c r="AA311">
        <f t="shared" si="154"/>
        <v>5070848.8514316669</v>
      </c>
      <c r="AB311" s="10">
        <f t="shared" si="155"/>
        <v>5.0708488514316672</v>
      </c>
      <c r="AC311" s="10">
        <f t="shared" si="156"/>
        <v>4.9698488514316672</v>
      </c>
      <c r="AD311" s="3">
        <f t="shared" si="157"/>
        <v>720.79026126637666</v>
      </c>
      <c r="AI311" s="94">
        <f t="shared" si="158"/>
        <v>0.45109382121036601</v>
      </c>
    </row>
    <row r="312" spans="2:35">
      <c r="B312" s="39">
        <f t="shared" si="159"/>
        <v>284</v>
      </c>
      <c r="C312" s="42">
        <f t="shared" si="160"/>
        <v>1.8865227817726098</v>
      </c>
      <c r="D312" s="10">
        <f t="shared" si="161"/>
        <v>3.6534772182271382</v>
      </c>
      <c r="E312" s="40">
        <f t="shared" si="162"/>
        <v>23.773045563545722</v>
      </c>
      <c r="F312" s="40">
        <f t="shared" si="163"/>
        <v>31.08</v>
      </c>
      <c r="G312" s="3">
        <f t="shared" si="164"/>
        <v>211.30781774582115</v>
      </c>
      <c r="H312" s="3">
        <f t="shared" si="165"/>
        <v>81.256230789298584</v>
      </c>
      <c r="I312">
        <f t="shared" si="150"/>
        <v>8.1256230789298584E-5</v>
      </c>
      <c r="J312" s="4">
        <f t="shared" si="166"/>
        <v>443.87381597072158</v>
      </c>
      <c r="K312" s="40">
        <f t="shared" si="167"/>
        <v>5.4626434386515941</v>
      </c>
      <c r="L312" s="40">
        <f t="shared" si="151"/>
        <v>0.53735656134840593</v>
      </c>
      <c r="M312" s="10">
        <f t="shared" si="168"/>
        <v>5.0708488514316672</v>
      </c>
      <c r="N312" s="10">
        <f t="shared" si="147"/>
        <v>8.26</v>
      </c>
      <c r="O312" s="10">
        <f t="shared" si="148"/>
        <v>0.31900000000000001</v>
      </c>
      <c r="P312" s="10">
        <f t="shared" si="169"/>
        <v>13.864390422112374</v>
      </c>
      <c r="Q312" s="42">
        <f t="shared" si="170"/>
        <v>0.13943502423819812</v>
      </c>
      <c r="R312" s="4">
        <f t="shared" si="171"/>
        <v>66518.522032920009</v>
      </c>
      <c r="S312">
        <f t="shared" si="152"/>
        <v>6.6518522032920014E-5</v>
      </c>
      <c r="T312" s="41">
        <f t="shared" si="153"/>
        <v>1.1328585000896382E-4</v>
      </c>
      <c r="U312" s="42">
        <f t="shared" si="172"/>
        <v>0.11937081371417659</v>
      </c>
      <c r="V312" s="42">
        <f t="shared" si="173"/>
        <v>0.45529745242306691</v>
      </c>
      <c r="W312" s="42">
        <f t="shared" si="174"/>
        <v>0.45112753768879893</v>
      </c>
      <c r="X312" s="42">
        <f t="shared" si="175"/>
        <v>4.1699147342679765E-3</v>
      </c>
      <c r="Y312" s="42">
        <f t="shared" si="149"/>
        <v>1.7415865439547741E-3</v>
      </c>
      <c r="Z312" s="10">
        <f t="shared" si="176"/>
        <v>15.373381087019869</v>
      </c>
      <c r="AA312">
        <f t="shared" si="154"/>
        <v>5071217.7640201692</v>
      </c>
      <c r="AB312" s="10">
        <f t="shared" si="155"/>
        <v>5.0712177640201688</v>
      </c>
      <c r="AC312" s="10">
        <f t="shared" si="156"/>
        <v>4.9702177640201688</v>
      </c>
      <c r="AD312" s="3">
        <f t="shared" si="157"/>
        <v>720.84376563019134</v>
      </c>
      <c r="AI312" s="94">
        <f t="shared" si="158"/>
        <v>0.45112753768879893</v>
      </c>
    </row>
    <row r="313" spans="2:35">
      <c r="B313" s="39">
        <f t="shared" si="159"/>
        <v>285</v>
      </c>
      <c r="C313" s="42">
        <f t="shared" si="160"/>
        <v>1.8931654676239218</v>
      </c>
      <c r="D313" s="10">
        <f t="shared" si="161"/>
        <v>3.6468345323758253</v>
      </c>
      <c r="E313" s="40">
        <f t="shared" si="162"/>
        <v>23.786330935248348</v>
      </c>
      <c r="F313" s="40">
        <f t="shared" si="163"/>
        <v>31.08</v>
      </c>
      <c r="G313" s="3">
        <f t="shared" si="164"/>
        <v>211.25467625901067</v>
      </c>
      <c r="H313" s="3">
        <f t="shared" si="165"/>
        <v>81.256230789298584</v>
      </c>
      <c r="I313">
        <f t="shared" si="150"/>
        <v>8.1256230789298584E-5</v>
      </c>
      <c r="J313" s="4">
        <f t="shared" si="166"/>
        <v>444.37006508373742</v>
      </c>
      <c r="K313" s="40">
        <f t="shared" si="167"/>
        <v>5.4687506517009252</v>
      </c>
      <c r="L313" s="40">
        <f t="shared" si="151"/>
        <v>0.53124934829907478</v>
      </c>
      <c r="M313" s="10">
        <f t="shared" si="168"/>
        <v>5.0712177640201688</v>
      </c>
      <c r="N313" s="10">
        <f t="shared" si="147"/>
        <v>8.26</v>
      </c>
      <c r="O313" s="10">
        <f t="shared" si="148"/>
        <v>0.31900000000000001</v>
      </c>
      <c r="P313" s="10">
        <f t="shared" si="169"/>
        <v>13.864712175785977</v>
      </c>
      <c r="Q313" s="42">
        <f t="shared" si="170"/>
        <v>0.13991413161288371</v>
      </c>
      <c r="R313" s="4">
        <f t="shared" si="171"/>
        <v>66396.95844366138</v>
      </c>
      <c r="S313">
        <f t="shared" si="152"/>
        <v>6.6396958443661384E-5</v>
      </c>
      <c r="T313" s="41">
        <f t="shared" si="153"/>
        <v>1.1340741359822245E-4</v>
      </c>
      <c r="U313" s="42">
        <f t="shared" si="172"/>
        <v>0.11915266177507253</v>
      </c>
      <c r="V313" s="42">
        <f t="shared" si="173"/>
        <v>0.45532995447464447</v>
      </c>
      <c r="W313" s="42">
        <f t="shared" si="174"/>
        <v>0.45116102495021243</v>
      </c>
      <c r="X313" s="42">
        <f t="shared" si="175"/>
        <v>4.1689295244320412E-3</v>
      </c>
      <c r="Y313" s="42">
        <f t="shared" si="149"/>
        <v>1.743583908834474E-3</v>
      </c>
      <c r="Z313" s="10">
        <f t="shared" si="176"/>
        <v>15.374514359454565</v>
      </c>
      <c r="AA313">
        <f t="shared" si="154"/>
        <v>5071584.1512680054</v>
      </c>
      <c r="AB313" s="10">
        <f t="shared" si="155"/>
        <v>5.0715841512680058</v>
      </c>
      <c r="AC313" s="10">
        <f t="shared" si="156"/>
        <v>4.9705841512680058</v>
      </c>
      <c r="AD313" s="3">
        <f t="shared" si="157"/>
        <v>720.89690373720168</v>
      </c>
      <c r="AI313" s="94">
        <f t="shared" si="158"/>
        <v>0.45116102495021243</v>
      </c>
    </row>
    <row r="314" spans="2:35">
      <c r="B314" s="39">
        <f t="shared" si="159"/>
        <v>286</v>
      </c>
      <c r="C314" s="42">
        <f t="shared" si="160"/>
        <v>1.8998081534752338</v>
      </c>
      <c r="D314" s="10">
        <f t="shared" si="161"/>
        <v>3.6401918465245124</v>
      </c>
      <c r="E314" s="40">
        <f t="shared" si="162"/>
        <v>23.799616306950973</v>
      </c>
      <c r="F314" s="40">
        <f t="shared" si="163"/>
        <v>31.08</v>
      </c>
      <c r="G314" s="3">
        <f t="shared" si="164"/>
        <v>211.20153477220018</v>
      </c>
      <c r="H314" s="3">
        <f t="shared" si="165"/>
        <v>81.256230789298584</v>
      </c>
      <c r="I314">
        <f t="shared" si="150"/>
        <v>8.1256230789298584E-5</v>
      </c>
      <c r="J314" s="4">
        <f t="shared" si="166"/>
        <v>444.86659144403495</v>
      </c>
      <c r="K314" s="40">
        <f t="shared" si="167"/>
        <v>5.4748612767628364</v>
      </c>
      <c r="L314" s="40">
        <f t="shared" si="151"/>
        <v>0.5251387232371636</v>
      </c>
      <c r="M314" s="10">
        <f t="shared" si="168"/>
        <v>5.0715841512680058</v>
      </c>
      <c r="N314" s="10">
        <f t="shared" si="147"/>
        <v>8.26</v>
      </c>
      <c r="O314" s="10">
        <f t="shared" si="148"/>
        <v>0.31900000000000001</v>
      </c>
      <c r="P314" s="10">
        <f t="shared" si="169"/>
        <v>13.865031711162739</v>
      </c>
      <c r="Q314" s="42">
        <f t="shared" si="170"/>
        <v>0.1403932279459966</v>
      </c>
      <c r="R314" s="4">
        <f t="shared" si="171"/>
        <v>66275.389042182753</v>
      </c>
      <c r="S314">
        <f t="shared" si="152"/>
        <v>6.6275389042182758E-5</v>
      </c>
      <c r="T314" s="41">
        <f t="shared" si="153"/>
        <v>1.1352898299970108E-4</v>
      </c>
      <c r="U314" s="42">
        <f t="shared" si="172"/>
        <v>0.11893449940564906</v>
      </c>
      <c r="V314" s="42">
        <f t="shared" si="173"/>
        <v>0.45536221913030034</v>
      </c>
      <c r="W314" s="42">
        <f t="shared" si="174"/>
        <v>0.45119428297915826</v>
      </c>
      <c r="X314" s="42">
        <f t="shared" si="175"/>
        <v>4.167936151142082E-3</v>
      </c>
      <c r="Y314" s="42">
        <f t="shared" si="149"/>
        <v>1.7455807517611347E-3</v>
      </c>
      <c r="Z314" s="10">
        <f t="shared" si="176"/>
        <v>15.375639820236309</v>
      </c>
      <c r="AA314">
        <f t="shared" si="154"/>
        <v>5071948.0130065829</v>
      </c>
      <c r="AB314" s="10">
        <f t="shared" si="155"/>
        <v>5.0719480130065833</v>
      </c>
      <c r="AC314" s="10">
        <f t="shared" si="156"/>
        <v>4.9709480130065833</v>
      </c>
      <c r="AD314" s="3">
        <f t="shared" si="157"/>
        <v>720.94967556295614</v>
      </c>
      <c r="AI314" s="94">
        <f t="shared" si="158"/>
        <v>0.45119428297915826</v>
      </c>
    </row>
    <row r="315" spans="2:35">
      <c r="B315" s="39">
        <f t="shared" si="159"/>
        <v>287</v>
      </c>
      <c r="C315" s="42">
        <f t="shared" si="160"/>
        <v>1.9064508393265458</v>
      </c>
      <c r="D315" s="10">
        <f t="shared" si="161"/>
        <v>3.6335491606731996</v>
      </c>
      <c r="E315" s="40">
        <f t="shared" si="162"/>
        <v>23.812901678653599</v>
      </c>
      <c r="F315" s="40">
        <f t="shared" si="163"/>
        <v>31.08</v>
      </c>
      <c r="G315" s="3">
        <f t="shared" si="164"/>
        <v>211.14839328538969</v>
      </c>
      <c r="H315" s="3">
        <f t="shared" si="165"/>
        <v>81.256230789298584</v>
      </c>
      <c r="I315">
        <f t="shared" si="150"/>
        <v>8.1256230789298584E-5</v>
      </c>
      <c r="J315" s="4">
        <f t="shared" si="166"/>
        <v>445.36339505161396</v>
      </c>
      <c r="K315" s="40">
        <f t="shared" si="167"/>
        <v>5.4809753138373258</v>
      </c>
      <c r="L315" s="40">
        <f t="shared" si="151"/>
        <v>0.51902468616267416</v>
      </c>
      <c r="M315" s="10">
        <f t="shared" si="168"/>
        <v>5.0719480130065833</v>
      </c>
      <c r="N315" s="10">
        <f t="shared" si="147"/>
        <v>8.26</v>
      </c>
      <c r="O315" s="10">
        <f t="shared" si="148"/>
        <v>0.31900000000000001</v>
      </c>
      <c r="P315" s="10">
        <f t="shared" si="169"/>
        <v>13.865349028422617</v>
      </c>
      <c r="Q315" s="42">
        <f t="shared" si="170"/>
        <v>0.14087231331468766</v>
      </c>
      <c r="R315" s="4">
        <f t="shared" si="171"/>
        <v>66153.813872684128</v>
      </c>
      <c r="S315">
        <f t="shared" si="152"/>
        <v>6.6153813872684133E-5</v>
      </c>
      <c r="T315" s="41">
        <f t="shared" si="153"/>
        <v>1.136505581691997E-4</v>
      </c>
      <c r="U315" s="42">
        <f t="shared" si="172"/>
        <v>0.1187163266852253</v>
      </c>
      <c r="V315" s="42">
        <f t="shared" si="173"/>
        <v>0.45539424637373332</v>
      </c>
      <c r="W315" s="42">
        <f t="shared" si="174"/>
        <v>0.45122731176033254</v>
      </c>
      <c r="X315" s="42">
        <f t="shared" si="175"/>
        <v>4.1669346134007856E-3</v>
      </c>
      <c r="Y315" s="42">
        <f t="shared" si="149"/>
        <v>1.7475770691667075E-3</v>
      </c>
      <c r="Z315" s="10">
        <f t="shared" si="176"/>
        <v>15.376757468845552</v>
      </c>
      <c r="AA315">
        <f t="shared" si="154"/>
        <v>5072309.3490679301</v>
      </c>
      <c r="AB315" s="10">
        <f t="shared" si="155"/>
        <v>5.0723093490679299</v>
      </c>
      <c r="AC315" s="10">
        <f t="shared" si="156"/>
        <v>4.9713093490679299</v>
      </c>
      <c r="AD315" s="3">
        <f t="shared" si="157"/>
        <v>721.00208108309357</v>
      </c>
      <c r="AI315" s="94">
        <f t="shared" si="158"/>
        <v>0.45122731176033254</v>
      </c>
    </row>
    <row r="316" spans="2:35">
      <c r="B316" s="39">
        <f t="shared" si="159"/>
        <v>288</v>
      </c>
      <c r="C316" s="42">
        <f t="shared" si="160"/>
        <v>1.9130935251778578</v>
      </c>
      <c r="D316" s="10">
        <f t="shared" si="161"/>
        <v>3.6269064748218867</v>
      </c>
      <c r="E316" s="40">
        <f t="shared" si="162"/>
        <v>23.826187050356225</v>
      </c>
      <c r="F316" s="40">
        <f t="shared" si="163"/>
        <v>31.08</v>
      </c>
      <c r="G316" s="3">
        <f t="shared" si="164"/>
        <v>211.0952517985792</v>
      </c>
      <c r="H316" s="3">
        <f t="shared" si="165"/>
        <v>81.256230789298584</v>
      </c>
      <c r="I316">
        <f t="shared" si="150"/>
        <v>8.1256230789298584E-5</v>
      </c>
      <c r="J316" s="4">
        <f t="shared" si="166"/>
        <v>445.86047590647456</v>
      </c>
      <c r="K316" s="40">
        <f t="shared" si="167"/>
        <v>5.4870927629243935</v>
      </c>
      <c r="L316" s="40">
        <f t="shared" si="151"/>
        <v>0.51290723707560648</v>
      </c>
      <c r="M316" s="10">
        <f t="shared" si="168"/>
        <v>5.0723093490679299</v>
      </c>
      <c r="N316" s="10">
        <f t="shared" si="147"/>
        <v>8.26</v>
      </c>
      <c r="O316" s="10">
        <f t="shared" si="148"/>
        <v>0.31900000000000001</v>
      </c>
      <c r="P316" s="10">
        <f t="shared" si="169"/>
        <v>13.865664127743816</v>
      </c>
      <c r="Q316" s="42">
        <f t="shared" si="170"/>
        <v>0.14135138779609102</v>
      </c>
      <c r="R316" s="4">
        <f t="shared" si="171"/>
        <v>66032.232979365523</v>
      </c>
      <c r="S316">
        <f t="shared" si="152"/>
        <v>6.6032232979365516E-5</v>
      </c>
      <c r="T316" s="41">
        <f t="shared" si="153"/>
        <v>1.1377213906251832E-4</v>
      </c>
      <c r="U316" s="42">
        <f t="shared" si="172"/>
        <v>0.11849814369312039</v>
      </c>
      <c r="V316" s="42">
        <f t="shared" si="173"/>
        <v>0.45542603618916172</v>
      </c>
      <c r="W316" s="42">
        <f t="shared" si="174"/>
        <v>0.45126011127848836</v>
      </c>
      <c r="X316" s="42">
        <f t="shared" si="175"/>
        <v>4.1659249106733576E-3</v>
      </c>
      <c r="Y316" s="42">
        <f t="shared" si="149"/>
        <v>1.7495728574828536E-3</v>
      </c>
      <c r="Z316" s="10">
        <f t="shared" si="176"/>
        <v>15.37786730476655</v>
      </c>
      <c r="AA316">
        <f t="shared" si="154"/>
        <v>5072668.1592853107</v>
      </c>
      <c r="AB316" s="10">
        <f t="shared" si="155"/>
        <v>5.0726681592853105</v>
      </c>
      <c r="AC316" s="10">
        <f t="shared" si="156"/>
        <v>4.9716681592853105</v>
      </c>
      <c r="AD316" s="3">
        <f t="shared" si="157"/>
        <v>721.05412027343152</v>
      </c>
      <c r="AI316" s="94">
        <f t="shared" si="158"/>
        <v>0.45126011127848836</v>
      </c>
    </row>
    <row r="317" spans="2:35">
      <c r="B317" s="39">
        <f t="shared" si="159"/>
        <v>289</v>
      </c>
      <c r="C317" s="42">
        <f t="shared" si="160"/>
        <v>1.9197362110291698</v>
      </c>
      <c r="D317" s="10">
        <f t="shared" si="161"/>
        <v>3.6202637889705738</v>
      </c>
      <c r="E317" s="40">
        <f t="shared" si="162"/>
        <v>23.839472422058851</v>
      </c>
      <c r="F317" s="40">
        <f t="shared" si="163"/>
        <v>31.08</v>
      </c>
      <c r="G317" s="3">
        <f t="shared" si="164"/>
        <v>211.04211031176871</v>
      </c>
      <c r="H317" s="3">
        <f t="shared" si="165"/>
        <v>81.256230789298584</v>
      </c>
      <c r="I317">
        <f t="shared" si="150"/>
        <v>8.1256230789298584E-5</v>
      </c>
      <c r="J317" s="4">
        <f t="shared" si="166"/>
        <v>446.35783400861669</v>
      </c>
      <c r="K317" s="40">
        <f t="shared" si="167"/>
        <v>5.4932136240240403</v>
      </c>
      <c r="L317" s="40">
        <f t="shared" si="151"/>
        <v>0.50678637597595966</v>
      </c>
      <c r="M317" s="10">
        <f t="shared" si="168"/>
        <v>5.0726681592853105</v>
      </c>
      <c r="N317" s="10">
        <f t="shared" si="147"/>
        <v>8.26</v>
      </c>
      <c r="O317" s="10">
        <f t="shared" si="148"/>
        <v>0.31900000000000001</v>
      </c>
      <c r="P317" s="10">
        <f t="shared" si="169"/>
        <v>13.865977009303336</v>
      </c>
      <c r="Q317" s="42">
        <f t="shared" si="170"/>
        <v>0.14183045146732423</v>
      </c>
      <c r="R317" s="4">
        <f t="shared" si="171"/>
        <v>65910.646406426924</v>
      </c>
      <c r="S317">
        <f t="shared" si="152"/>
        <v>6.5910646406426918E-5</v>
      </c>
      <c r="T317" s="41">
        <f t="shared" si="153"/>
        <v>1.1389372563545692E-4</v>
      </c>
      <c r="U317" s="42">
        <f t="shared" si="172"/>
        <v>0.11827995050865343</v>
      </c>
      <c r="V317" s="42">
        <f t="shared" si="173"/>
        <v>0.45545758856079882</v>
      </c>
      <c r="W317" s="42">
        <f t="shared" si="174"/>
        <v>0.45129268151849028</v>
      </c>
      <c r="X317" s="42">
        <f t="shared" si="175"/>
        <v>4.164907042308541E-3</v>
      </c>
      <c r="Y317" s="42">
        <f t="shared" si="149"/>
        <v>1.7515681131408871E-3</v>
      </c>
      <c r="Z317" s="10">
        <f t="shared" si="176"/>
        <v>15.378969327486784</v>
      </c>
      <c r="AA317">
        <f t="shared" si="154"/>
        <v>5073024.4434930235</v>
      </c>
      <c r="AB317" s="10">
        <f t="shared" si="155"/>
        <v>5.0730244434930238</v>
      </c>
      <c r="AC317" s="10">
        <f t="shared" si="156"/>
        <v>4.9720244434930239</v>
      </c>
      <c r="AD317" s="3">
        <f t="shared" si="157"/>
        <v>721.10579310993819</v>
      </c>
      <c r="AI317" s="94">
        <f t="shared" si="158"/>
        <v>0.45129268151849028</v>
      </c>
    </row>
    <row r="318" spans="2:35">
      <c r="B318" s="39">
        <f t="shared" si="159"/>
        <v>290</v>
      </c>
      <c r="C318" s="42">
        <f t="shared" si="160"/>
        <v>1.9263788968804818</v>
      </c>
      <c r="D318" s="10">
        <f t="shared" si="161"/>
        <v>3.6136211031192609</v>
      </c>
      <c r="E318" s="40">
        <f t="shared" si="162"/>
        <v>23.852757793761477</v>
      </c>
      <c r="F318" s="40">
        <f t="shared" si="163"/>
        <v>31.08</v>
      </c>
      <c r="G318" s="3">
        <f t="shared" si="164"/>
        <v>210.98896882495822</v>
      </c>
      <c r="H318" s="3">
        <f t="shared" si="165"/>
        <v>81.256230789298584</v>
      </c>
      <c r="I318">
        <f t="shared" si="150"/>
        <v>8.1256230789298584E-5</v>
      </c>
      <c r="J318" s="4">
        <f t="shared" si="166"/>
        <v>446.85546935804041</v>
      </c>
      <c r="K318" s="40">
        <f t="shared" si="167"/>
        <v>5.4993378971362663</v>
      </c>
      <c r="L318" s="40">
        <f t="shared" si="151"/>
        <v>0.50066210286373369</v>
      </c>
      <c r="M318" s="10">
        <f t="shared" si="168"/>
        <v>5.0730244434930238</v>
      </c>
      <c r="N318" s="10">
        <f t="shared" si="147"/>
        <v>8.26</v>
      </c>
      <c r="O318" s="10">
        <f t="shared" si="148"/>
        <v>0.31900000000000001</v>
      </c>
      <c r="P318" s="10">
        <f t="shared" si="169"/>
        <v>13.866287673276785</v>
      </c>
      <c r="Q318" s="42">
        <f t="shared" si="170"/>
        <v>0.14230950440548834</v>
      </c>
      <c r="R318" s="4">
        <f t="shared" si="171"/>
        <v>65789.054198068319</v>
      </c>
      <c r="S318">
        <f t="shared" si="152"/>
        <v>6.5789054198068318E-5</v>
      </c>
      <c r="T318" s="41">
        <f t="shared" si="153"/>
        <v>1.1401531784381552E-4</v>
      </c>
      <c r="U318" s="42">
        <f t="shared" si="172"/>
        <v>0.11806174721114349</v>
      </c>
      <c r="V318" s="42">
        <f t="shared" si="173"/>
        <v>0.4554889034731216</v>
      </c>
      <c r="W318" s="42">
        <f t="shared" si="174"/>
        <v>0.45132502246529727</v>
      </c>
      <c r="X318" s="42">
        <f t="shared" si="175"/>
        <v>4.1638810078243327E-3</v>
      </c>
      <c r="Y318" s="42">
        <f t="shared" si="149"/>
        <v>1.753562832571851E-3</v>
      </c>
      <c r="Z318" s="10">
        <f t="shared" si="176"/>
        <v>15.380063536497598</v>
      </c>
      <c r="AA318">
        <f t="shared" si="154"/>
        <v>5073378.2015266214</v>
      </c>
      <c r="AB318" s="10">
        <f t="shared" si="155"/>
        <v>5.0733782015266211</v>
      </c>
      <c r="AC318" s="10">
        <f t="shared" si="156"/>
        <v>4.9723782015266211</v>
      </c>
      <c r="AD318" s="3">
        <f t="shared" si="157"/>
        <v>721.1570995687631</v>
      </c>
      <c r="AI318" s="94">
        <f t="shared" si="158"/>
        <v>0.45132502246529727</v>
      </c>
    </row>
    <row r="319" spans="2:35">
      <c r="B319" s="39">
        <f t="shared" si="159"/>
        <v>291</v>
      </c>
      <c r="C319" s="42">
        <f t="shared" si="160"/>
        <v>1.9330215827317938</v>
      </c>
      <c r="D319" s="10">
        <f t="shared" si="161"/>
        <v>3.606978417267948</v>
      </c>
      <c r="E319" s="40">
        <f t="shared" si="162"/>
        <v>23.866043165464102</v>
      </c>
      <c r="F319" s="40">
        <f t="shared" si="163"/>
        <v>31.08</v>
      </c>
      <c r="G319" s="3">
        <f t="shared" si="164"/>
        <v>210.93582733814773</v>
      </c>
      <c r="H319" s="3">
        <f t="shared" si="165"/>
        <v>81.256230789298584</v>
      </c>
      <c r="I319">
        <f t="shared" si="150"/>
        <v>8.1256230789298584E-5</v>
      </c>
      <c r="J319" s="4">
        <f t="shared" si="166"/>
        <v>447.35338195474566</v>
      </c>
      <c r="K319" s="40">
        <f t="shared" si="167"/>
        <v>5.5054655822610705</v>
      </c>
      <c r="L319" s="40">
        <f t="shared" si="151"/>
        <v>0.49453441773892948</v>
      </c>
      <c r="M319" s="10">
        <f t="shared" si="168"/>
        <v>5.0733782015266211</v>
      </c>
      <c r="N319" s="10">
        <f t="shared" si="147"/>
        <v>8.26</v>
      </c>
      <c r="O319" s="10">
        <f t="shared" si="148"/>
        <v>0.31900000000000001</v>
      </c>
      <c r="P319" s="10">
        <f t="shared" si="169"/>
        <v>13.866596119838579</v>
      </c>
      <c r="Q319" s="42">
        <f t="shared" si="170"/>
        <v>0.14278854668766808</v>
      </c>
      <c r="R319" s="4">
        <f t="shared" si="171"/>
        <v>65667.456398489725</v>
      </c>
      <c r="S319">
        <f t="shared" si="152"/>
        <v>6.5667456398489727E-5</v>
      </c>
      <c r="T319" s="41">
        <f t="shared" si="153"/>
        <v>1.1413691564339411E-4</v>
      </c>
      <c r="U319" s="42">
        <f t="shared" si="172"/>
        <v>0.11784353387990973</v>
      </c>
      <c r="V319" s="42">
        <f t="shared" si="173"/>
        <v>0.45551998091033596</v>
      </c>
      <c r="W319" s="42">
        <f t="shared" si="174"/>
        <v>0.45135713410398193</v>
      </c>
      <c r="X319" s="42">
        <f t="shared" si="175"/>
        <v>4.1628468063540369E-3</v>
      </c>
      <c r="Y319" s="42">
        <f t="shared" si="149"/>
        <v>1.7555570122063315E-3</v>
      </c>
      <c r="Z319" s="10">
        <f t="shared" si="176"/>
        <v>15.381149931292521</v>
      </c>
      <c r="AA319">
        <f t="shared" si="154"/>
        <v>5073729.4332223628</v>
      </c>
      <c r="AB319" s="10">
        <f t="shared" si="155"/>
        <v>5.073729433222363</v>
      </c>
      <c r="AC319" s="10">
        <f t="shared" si="156"/>
        <v>4.972729433222363</v>
      </c>
      <c r="AD319" s="3">
        <f t="shared" si="157"/>
        <v>721.20803962615844</v>
      </c>
      <c r="AI319" s="94">
        <f t="shared" si="158"/>
        <v>0.45135713410398193</v>
      </c>
    </row>
    <row r="320" spans="2:35">
      <c r="B320" s="39">
        <f t="shared" si="159"/>
        <v>292</v>
      </c>
      <c r="C320" s="42">
        <f t="shared" si="160"/>
        <v>1.9396642685831058</v>
      </c>
      <c r="D320" s="10">
        <f t="shared" si="161"/>
        <v>3.6003357314166351</v>
      </c>
      <c r="E320" s="40">
        <f t="shared" si="162"/>
        <v>23.879328537166728</v>
      </c>
      <c r="F320" s="40">
        <f t="shared" si="163"/>
        <v>31.08</v>
      </c>
      <c r="G320" s="3">
        <f t="shared" si="164"/>
        <v>210.88268585133724</v>
      </c>
      <c r="H320" s="3">
        <f t="shared" si="165"/>
        <v>81.256230789298584</v>
      </c>
      <c r="I320">
        <f t="shared" si="150"/>
        <v>8.1256230789298584E-5</v>
      </c>
      <c r="J320" s="4">
        <f t="shared" si="166"/>
        <v>447.85157179873255</v>
      </c>
      <c r="K320" s="40">
        <f t="shared" si="167"/>
        <v>5.5115966793984548</v>
      </c>
      <c r="L320" s="40">
        <f t="shared" si="151"/>
        <v>0.48840332060154523</v>
      </c>
      <c r="M320" s="10">
        <f t="shared" si="168"/>
        <v>5.073729433222363</v>
      </c>
      <c r="N320" s="10">
        <f t="shared" si="147"/>
        <v>8.26</v>
      </c>
      <c r="O320" s="10">
        <f t="shared" si="148"/>
        <v>0.31900000000000001</v>
      </c>
      <c r="P320" s="10">
        <f t="shared" si="169"/>
        <v>13.866902349161458</v>
      </c>
      <c r="Q320" s="42">
        <f t="shared" si="170"/>
        <v>0.1432675783909319</v>
      </c>
      <c r="R320" s="4">
        <f t="shared" si="171"/>
        <v>65545.853051891128</v>
      </c>
      <c r="S320">
        <f t="shared" si="152"/>
        <v>6.5545853051891126E-5</v>
      </c>
      <c r="T320" s="41">
        <f t="shared" si="153"/>
        <v>1.1425851898999271E-4</v>
      </c>
      <c r="U320" s="42">
        <f t="shared" si="172"/>
        <v>0.11762531059427121</v>
      </c>
      <c r="V320" s="42">
        <f t="shared" si="173"/>
        <v>0.45555082085731968</v>
      </c>
      <c r="W320" s="42">
        <f t="shared" si="174"/>
        <v>0.45138901641968099</v>
      </c>
      <c r="X320" s="42">
        <f t="shared" si="175"/>
        <v>4.1618044376386942E-3</v>
      </c>
      <c r="Y320" s="42">
        <f t="shared" si="149"/>
        <v>1.7575506484747445E-3</v>
      </c>
      <c r="Z320" s="10">
        <f t="shared" si="176"/>
        <v>15.382228511369721</v>
      </c>
      <c r="AA320">
        <f t="shared" si="154"/>
        <v>5074078.1384180039</v>
      </c>
      <c r="AB320" s="10">
        <f t="shared" si="155"/>
        <v>5.0740781384180043</v>
      </c>
      <c r="AC320" s="10">
        <f t="shared" si="156"/>
        <v>4.9730781384180043</v>
      </c>
      <c r="AD320" s="3">
        <f t="shared" si="157"/>
        <v>721.25861325859375</v>
      </c>
      <c r="AI320" s="94">
        <f t="shared" si="158"/>
        <v>0.45138901641968099</v>
      </c>
    </row>
    <row r="321" spans="2:35">
      <c r="B321" s="39">
        <f t="shared" si="159"/>
        <v>293</v>
      </c>
      <c r="C321" s="42">
        <f t="shared" si="160"/>
        <v>1.9463069544344178</v>
      </c>
      <c r="D321" s="10">
        <f t="shared" si="161"/>
        <v>3.5936930455653222</v>
      </c>
      <c r="E321" s="40">
        <f t="shared" si="162"/>
        <v>23.892613908869354</v>
      </c>
      <c r="F321" s="40">
        <f t="shared" si="163"/>
        <v>31.08</v>
      </c>
      <c r="G321" s="3">
        <f t="shared" si="164"/>
        <v>210.82954436452675</v>
      </c>
      <c r="H321" s="3">
        <f t="shared" si="165"/>
        <v>81.256230789298584</v>
      </c>
      <c r="I321">
        <f t="shared" si="150"/>
        <v>8.1256230789298584E-5</v>
      </c>
      <c r="J321" s="4">
        <f t="shared" si="166"/>
        <v>448.35003889000092</v>
      </c>
      <c r="K321" s="40">
        <f t="shared" si="167"/>
        <v>5.5177311885484164</v>
      </c>
      <c r="L321" s="40">
        <f t="shared" si="151"/>
        <v>0.48226881145158362</v>
      </c>
      <c r="M321" s="10">
        <f t="shared" si="168"/>
        <v>5.0740781384180043</v>
      </c>
      <c r="N321" s="10">
        <f t="shared" si="147"/>
        <v>8.26</v>
      </c>
      <c r="O321" s="10">
        <f t="shared" si="148"/>
        <v>0.31900000000000001</v>
      </c>
      <c r="P321" s="10">
        <f t="shared" si="169"/>
        <v>13.867206361417187</v>
      </c>
      <c r="Q321" s="42">
        <f t="shared" si="170"/>
        <v>0.14374659959233221</v>
      </c>
      <c r="R321" s="4">
        <f t="shared" si="171"/>
        <v>65424.244202472531</v>
      </c>
      <c r="S321">
        <f t="shared" si="152"/>
        <v>6.5424244202472536E-5</v>
      </c>
      <c r="T321" s="41">
        <f t="shared" si="153"/>
        <v>1.143801278394113E-4</v>
      </c>
      <c r="U321" s="42">
        <f t="shared" si="172"/>
        <v>0.11740707743354707</v>
      </c>
      <c r="V321" s="42">
        <f t="shared" si="173"/>
        <v>0.45558142329856316</v>
      </c>
      <c r="W321" s="42">
        <f t="shared" si="174"/>
        <v>0.45142066939766712</v>
      </c>
      <c r="X321" s="42">
        <f t="shared" si="175"/>
        <v>4.1607539008960415E-3</v>
      </c>
      <c r="Y321" s="42">
        <f t="shared" si="149"/>
        <v>1.7595437378070827E-3</v>
      </c>
      <c r="Z321" s="10">
        <f t="shared" si="176"/>
        <v>15.383299276229755</v>
      </c>
      <c r="AA321">
        <f t="shared" si="154"/>
        <v>5074424.3169520758</v>
      </c>
      <c r="AB321" s="10">
        <f t="shared" si="155"/>
        <v>5.0744243169520757</v>
      </c>
      <c r="AC321" s="10">
        <f t="shared" si="156"/>
        <v>4.9734243169520758</v>
      </c>
      <c r="AD321" s="3">
        <f t="shared" si="157"/>
        <v>721.30882044265059</v>
      </c>
      <c r="AI321" s="94">
        <f t="shared" si="158"/>
        <v>0.45142066939766712</v>
      </c>
    </row>
    <row r="322" spans="2:35">
      <c r="B322" s="39">
        <f t="shared" si="159"/>
        <v>294</v>
      </c>
      <c r="C322" s="42">
        <f t="shared" si="160"/>
        <v>1.9529496402857298</v>
      </c>
      <c r="D322" s="10">
        <f t="shared" si="161"/>
        <v>3.5870503597140093</v>
      </c>
      <c r="E322" s="40">
        <f t="shared" si="162"/>
        <v>23.90589928057198</v>
      </c>
      <c r="F322" s="40">
        <f t="shared" si="163"/>
        <v>31.08</v>
      </c>
      <c r="G322" s="3">
        <f t="shared" si="164"/>
        <v>210.77640287771627</v>
      </c>
      <c r="H322" s="3">
        <f t="shared" si="165"/>
        <v>81.256230789298584</v>
      </c>
      <c r="I322">
        <f t="shared" si="150"/>
        <v>8.1256230789298584E-5</v>
      </c>
      <c r="J322" s="4">
        <f t="shared" si="166"/>
        <v>448.84878322855087</v>
      </c>
      <c r="K322" s="40">
        <f t="shared" si="167"/>
        <v>5.523869109710958</v>
      </c>
      <c r="L322" s="40">
        <f t="shared" si="151"/>
        <v>0.47613089028904199</v>
      </c>
      <c r="M322" s="10">
        <f t="shared" si="168"/>
        <v>5.0744243169520757</v>
      </c>
      <c r="N322" s="10">
        <f t="shared" si="147"/>
        <v>8.26</v>
      </c>
      <c r="O322" s="10">
        <f t="shared" si="148"/>
        <v>0.31900000000000001</v>
      </c>
      <c r="P322" s="10">
        <f t="shared" si="169"/>
        <v>13.867508156775905</v>
      </c>
      <c r="Q322" s="42">
        <f t="shared" si="170"/>
        <v>0.14422561036890538</v>
      </c>
      <c r="R322" s="4">
        <f t="shared" si="171"/>
        <v>65302.629894433929</v>
      </c>
      <c r="S322">
        <f t="shared" si="152"/>
        <v>6.5302629894433927E-5</v>
      </c>
      <c r="T322" s="41">
        <f t="shared" si="153"/>
        <v>1.1450174214744991E-4</v>
      </c>
      <c r="U322" s="42">
        <f t="shared" si="172"/>
        <v>0.1171888344770564</v>
      </c>
      <c r="V322" s="42">
        <f t="shared" si="173"/>
        <v>0.45561178821899689</v>
      </c>
      <c r="W322" s="42">
        <f t="shared" si="174"/>
        <v>0.45145209302328337</v>
      </c>
      <c r="X322" s="42">
        <f t="shared" si="175"/>
        <v>4.1596951957135198E-3</v>
      </c>
      <c r="Y322" s="42">
        <f t="shared" si="149"/>
        <v>1.761536276633089E-3</v>
      </c>
      <c r="Z322" s="10">
        <f t="shared" si="176"/>
        <v>15.384362225377027</v>
      </c>
      <c r="AA322">
        <f t="shared" si="154"/>
        <v>5074767.9686643509</v>
      </c>
      <c r="AB322" s="10">
        <f t="shared" si="155"/>
        <v>5.074767968664351</v>
      </c>
      <c r="AC322" s="10">
        <f t="shared" si="156"/>
        <v>4.973767968664351</v>
      </c>
      <c r="AD322" s="3">
        <f t="shared" si="157"/>
        <v>721.35866115509077</v>
      </c>
      <c r="AI322" s="94">
        <f t="shared" si="158"/>
        <v>0.45145209302328337</v>
      </c>
    </row>
    <row r="323" spans="2:35">
      <c r="B323" s="39">
        <f t="shared" si="159"/>
        <v>295</v>
      </c>
      <c r="C323" s="42">
        <f t="shared" si="160"/>
        <v>1.9595923261370418</v>
      </c>
      <c r="D323" s="10">
        <f t="shared" si="161"/>
        <v>3.5804076738626964</v>
      </c>
      <c r="E323" s="40">
        <f t="shared" si="162"/>
        <v>23.919184652274605</v>
      </c>
      <c r="F323" s="40">
        <f t="shared" si="163"/>
        <v>31.08</v>
      </c>
      <c r="G323" s="3">
        <f t="shared" si="164"/>
        <v>210.72326139090578</v>
      </c>
      <c r="H323" s="3">
        <f t="shared" si="165"/>
        <v>81.256230789298584</v>
      </c>
      <c r="I323">
        <f t="shared" si="150"/>
        <v>8.1256230789298584E-5</v>
      </c>
      <c r="J323" s="4">
        <f t="shared" si="166"/>
        <v>449.34780481438241</v>
      </c>
      <c r="K323" s="40">
        <f t="shared" si="167"/>
        <v>5.5300104428860779</v>
      </c>
      <c r="L323" s="40">
        <f t="shared" si="151"/>
        <v>0.4699895571139221</v>
      </c>
      <c r="M323" s="10">
        <f t="shared" si="168"/>
        <v>5.074767968664351</v>
      </c>
      <c r="N323" s="10">
        <f t="shared" si="147"/>
        <v>8.26</v>
      </c>
      <c r="O323" s="10">
        <f t="shared" si="148"/>
        <v>0.31900000000000001</v>
      </c>
      <c r="P323" s="10">
        <f t="shared" si="169"/>
        <v>13.867807735406567</v>
      </c>
      <c r="Q323" s="42">
        <f t="shared" si="170"/>
        <v>0.14470461079767194</v>
      </c>
      <c r="R323" s="4">
        <f t="shared" si="171"/>
        <v>65181.010171975322</v>
      </c>
      <c r="S323">
        <f t="shared" si="152"/>
        <v>6.5181010171975321E-5</v>
      </c>
      <c r="T323" s="41">
        <f t="shared" si="153"/>
        <v>1.1462336186990851E-4</v>
      </c>
      <c r="U323" s="42">
        <f t="shared" si="172"/>
        <v>0.1169705818041183</v>
      </c>
      <c r="V323" s="42">
        <f t="shared" si="173"/>
        <v>0.45564191560350892</v>
      </c>
      <c r="W323" s="42">
        <f t="shared" si="174"/>
        <v>0.45148328728198528</v>
      </c>
      <c r="X323" s="42">
        <f t="shared" si="175"/>
        <v>4.1586283215236386E-3</v>
      </c>
      <c r="Y323" s="42">
        <f t="shared" si="149"/>
        <v>1.7635282613821797E-3</v>
      </c>
      <c r="Z323" s="10">
        <f t="shared" si="176"/>
        <v>15.38541735831908</v>
      </c>
      <c r="AA323">
        <f t="shared" si="154"/>
        <v>5075109.0933956187</v>
      </c>
      <c r="AB323" s="10">
        <f t="shared" si="155"/>
        <v>5.0751090933956187</v>
      </c>
      <c r="AC323" s="10">
        <f t="shared" si="156"/>
        <v>4.9741090933956187</v>
      </c>
      <c r="AD323" s="3">
        <f t="shared" si="157"/>
        <v>721.40813537282361</v>
      </c>
      <c r="AI323" s="94">
        <f t="shared" si="158"/>
        <v>0.45148328728198528</v>
      </c>
    </row>
    <row r="324" spans="2:35">
      <c r="B324" s="39">
        <f t="shared" si="159"/>
        <v>296</v>
      </c>
      <c r="C324" s="42">
        <f t="shared" si="160"/>
        <v>1.9662350119883538</v>
      </c>
      <c r="D324" s="10">
        <f t="shared" si="161"/>
        <v>3.5737649880113835</v>
      </c>
      <c r="E324" s="40">
        <f t="shared" si="162"/>
        <v>23.932470023977231</v>
      </c>
      <c r="F324" s="40">
        <f t="shared" si="163"/>
        <v>31.08</v>
      </c>
      <c r="G324" s="3">
        <f t="shared" si="164"/>
        <v>210.67011990409529</v>
      </c>
      <c r="H324" s="3">
        <f t="shared" si="165"/>
        <v>81.256230789298584</v>
      </c>
      <c r="I324">
        <f t="shared" si="150"/>
        <v>8.1256230789298584E-5</v>
      </c>
      <c r="J324" s="4">
        <f t="shared" si="166"/>
        <v>449.84710364749554</v>
      </c>
      <c r="K324" s="40">
        <f t="shared" si="167"/>
        <v>5.5361551880737769</v>
      </c>
      <c r="L324" s="40">
        <f t="shared" si="151"/>
        <v>0.46384481192622307</v>
      </c>
      <c r="M324" s="10">
        <f t="shared" si="168"/>
        <v>5.0751090933956187</v>
      </c>
      <c r="N324" s="10">
        <f t="shared" si="147"/>
        <v>8.26</v>
      </c>
      <c r="O324" s="10">
        <f t="shared" si="148"/>
        <v>0.31900000000000001</v>
      </c>
      <c r="P324" s="10">
        <f t="shared" si="169"/>
        <v>13.868105097476713</v>
      </c>
      <c r="Q324" s="42">
        <f t="shared" si="170"/>
        <v>0.14518360095563668</v>
      </c>
      <c r="R324" s="4">
        <f t="shared" si="171"/>
        <v>65059.385079296699</v>
      </c>
      <c r="S324">
        <f t="shared" si="152"/>
        <v>6.5059385079296699E-5</v>
      </c>
      <c r="T324" s="41">
        <f t="shared" si="153"/>
        <v>1.1474498696258714E-4</v>
      </c>
      <c r="U324" s="42">
        <f t="shared" si="172"/>
        <v>0.11675231949405189</v>
      </c>
      <c r="V324" s="42">
        <f t="shared" si="173"/>
        <v>0.45567180543714247</v>
      </c>
      <c r="W324" s="42">
        <f t="shared" si="174"/>
        <v>0.45151425215932095</v>
      </c>
      <c r="X324" s="42">
        <f t="shared" si="175"/>
        <v>4.1575532778215241E-3</v>
      </c>
      <c r="Y324" s="42">
        <f t="shared" si="149"/>
        <v>1.7655196884834702E-3</v>
      </c>
      <c r="Z324" s="10">
        <f t="shared" si="176"/>
        <v>15.386464674566758</v>
      </c>
      <c r="AA324">
        <f t="shared" si="154"/>
        <v>5075447.690987736</v>
      </c>
      <c r="AB324" s="10">
        <f t="shared" si="155"/>
        <v>5.075447690987736</v>
      </c>
      <c r="AC324" s="10">
        <f t="shared" si="156"/>
        <v>4.974447690987736</v>
      </c>
      <c r="AD324" s="3">
        <f t="shared" si="157"/>
        <v>721.45724307291312</v>
      </c>
      <c r="AI324" s="94">
        <f t="shared" si="158"/>
        <v>0.45151425215932095</v>
      </c>
    </row>
    <row r="325" spans="2:35">
      <c r="B325" s="39">
        <f t="shared" si="159"/>
        <v>297</v>
      </c>
      <c r="C325" s="42">
        <f t="shared" si="160"/>
        <v>1.9728776978396658</v>
      </c>
      <c r="D325" s="10">
        <f t="shared" si="161"/>
        <v>3.5671223021600706</v>
      </c>
      <c r="E325" s="40">
        <f t="shared" si="162"/>
        <v>23.945755395679857</v>
      </c>
      <c r="F325" s="40">
        <f t="shared" si="163"/>
        <v>31.08</v>
      </c>
      <c r="G325" s="3">
        <f t="shared" si="164"/>
        <v>210.6169784172848</v>
      </c>
      <c r="H325" s="3">
        <f t="shared" si="165"/>
        <v>81.256230789298584</v>
      </c>
      <c r="I325">
        <f t="shared" si="150"/>
        <v>8.1256230789298584E-5</v>
      </c>
      <c r="J325" s="4">
        <f t="shared" si="166"/>
        <v>450.34667972789015</v>
      </c>
      <c r="K325" s="40">
        <f t="shared" si="167"/>
        <v>5.5423033452740542</v>
      </c>
      <c r="L325" s="40">
        <f t="shared" si="151"/>
        <v>0.45769665472594578</v>
      </c>
      <c r="M325" s="10">
        <f t="shared" si="168"/>
        <v>5.075447690987736</v>
      </c>
      <c r="N325" s="10">
        <f t="shared" si="147"/>
        <v>8.26</v>
      </c>
      <c r="O325" s="10">
        <f t="shared" si="148"/>
        <v>0.31900000000000001</v>
      </c>
      <c r="P325" s="10">
        <f t="shared" si="169"/>
        <v>13.868400243152539</v>
      </c>
      <c r="Q325" s="42">
        <f t="shared" si="170"/>
        <v>0.14566258091978876</v>
      </c>
      <c r="R325" s="4">
        <f t="shared" si="171"/>
        <v>64937.75466059809</v>
      </c>
      <c r="S325">
        <f t="shared" si="152"/>
        <v>6.4937754660598096E-5</v>
      </c>
      <c r="T325" s="41">
        <f t="shared" si="153"/>
        <v>1.1486661738128574E-4</v>
      </c>
      <c r="U325" s="42">
        <f t="shared" si="172"/>
        <v>0.11653404762617629</v>
      </c>
      <c r="V325" s="42">
        <f t="shared" si="173"/>
        <v>0.45570145770500919</v>
      </c>
      <c r="W325" s="42">
        <f t="shared" si="174"/>
        <v>0.45154498764093537</v>
      </c>
      <c r="X325" s="42">
        <f t="shared" si="175"/>
        <v>4.156470064073825E-3</v>
      </c>
      <c r="Y325" s="42">
        <f t="shared" si="149"/>
        <v>1.7675105543657596E-3</v>
      </c>
      <c r="Z325" s="10">
        <f t="shared" si="176"/>
        <v>15.387504173634047</v>
      </c>
      <c r="AA325">
        <f t="shared" si="154"/>
        <v>5075783.7612835728</v>
      </c>
      <c r="AB325" s="10">
        <f t="shared" si="155"/>
        <v>5.0757837612835726</v>
      </c>
      <c r="AC325" s="10">
        <f t="shared" si="156"/>
        <v>4.9747837612835726</v>
      </c>
      <c r="AD325" s="3">
        <f t="shared" si="157"/>
        <v>721.50598423257043</v>
      </c>
      <c r="AI325" s="94">
        <f t="shared" si="158"/>
        <v>0.45154498764093537</v>
      </c>
    </row>
    <row r="326" spans="2:35">
      <c r="B326" s="39">
        <f t="shared" si="159"/>
        <v>298</v>
      </c>
      <c r="C326" s="42">
        <f t="shared" si="160"/>
        <v>1.9795203836909778</v>
      </c>
      <c r="D326" s="10">
        <f t="shared" si="161"/>
        <v>3.5604796163087578</v>
      </c>
      <c r="E326" s="40">
        <f t="shared" si="162"/>
        <v>23.959040767382483</v>
      </c>
      <c r="F326" s="40">
        <f t="shared" si="163"/>
        <v>31.08</v>
      </c>
      <c r="G326" s="3">
        <f t="shared" si="164"/>
        <v>210.56383693047431</v>
      </c>
      <c r="H326" s="3">
        <f t="shared" si="165"/>
        <v>81.256230789298584</v>
      </c>
      <c r="I326">
        <f t="shared" si="150"/>
        <v>8.1256230789298584E-5</v>
      </c>
      <c r="J326" s="4">
        <f t="shared" si="166"/>
        <v>450.84653305556634</v>
      </c>
      <c r="K326" s="40">
        <f t="shared" si="167"/>
        <v>5.5484549144869106</v>
      </c>
      <c r="L326" s="40">
        <f t="shared" si="151"/>
        <v>0.45154508551308936</v>
      </c>
      <c r="M326" s="10">
        <f t="shared" si="168"/>
        <v>5.0757837612835726</v>
      </c>
      <c r="N326" s="10">
        <f t="shared" si="147"/>
        <v>8.26</v>
      </c>
      <c r="O326" s="10">
        <f t="shared" si="148"/>
        <v>0.31900000000000001</v>
      </c>
      <c r="P326" s="10">
        <f t="shared" si="169"/>
        <v>13.868693172598835</v>
      </c>
      <c r="Q326" s="42">
        <f t="shared" si="170"/>
        <v>0.14614155076710186</v>
      </c>
      <c r="R326" s="4">
        <f t="shared" si="171"/>
        <v>64816.118960079461</v>
      </c>
      <c r="S326">
        <f t="shared" si="152"/>
        <v>6.4816118960079455E-5</v>
      </c>
      <c r="T326" s="41">
        <f t="shared" si="153"/>
        <v>1.1498825308180438E-4</v>
      </c>
      <c r="U326" s="42">
        <f t="shared" si="172"/>
        <v>0.11631576627981059</v>
      </c>
      <c r="V326" s="42">
        <f t="shared" si="173"/>
        <v>0.4557308723924941</v>
      </c>
      <c r="W326" s="42">
        <f t="shared" si="174"/>
        <v>0.45157549371256522</v>
      </c>
      <c r="X326" s="42">
        <f t="shared" si="175"/>
        <v>4.1553786799288783E-3</v>
      </c>
      <c r="Y326" s="42">
        <f t="shared" si="149"/>
        <v>1.7695008554576132E-3</v>
      </c>
      <c r="Z326" s="10">
        <f t="shared" si="176"/>
        <v>15.38853585503872</v>
      </c>
      <c r="AA326">
        <f t="shared" si="154"/>
        <v>5076117.3041272247</v>
      </c>
      <c r="AB326" s="10">
        <f t="shared" si="155"/>
        <v>5.0761173041272247</v>
      </c>
      <c r="AC326" s="10">
        <f t="shared" si="156"/>
        <v>4.9751173041272247</v>
      </c>
      <c r="AD326" s="3">
        <f t="shared" si="157"/>
        <v>721.55435882918414</v>
      </c>
      <c r="AI326" s="94">
        <f t="shared" si="158"/>
        <v>0.45157549371256522</v>
      </c>
    </row>
    <row r="327" spans="2:35">
      <c r="B327" s="39">
        <f t="shared" si="159"/>
        <v>299</v>
      </c>
      <c r="C327" s="42">
        <f t="shared" si="160"/>
        <v>1.9861630695422898</v>
      </c>
      <c r="D327" s="10">
        <f t="shared" si="161"/>
        <v>3.5538369304574449</v>
      </c>
      <c r="E327" s="40">
        <f t="shared" si="162"/>
        <v>23.972326139085109</v>
      </c>
      <c r="F327" s="40">
        <f t="shared" si="163"/>
        <v>31.08</v>
      </c>
      <c r="G327" s="3">
        <f t="shared" si="164"/>
        <v>210.51069544366382</v>
      </c>
      <c r="H327" s="3">
        <f t="shared" si="165"/>
        <v>81.256230789298584</v>
      </c>
      <c r="I327">
        <f t="shared" si="150"/>
        <v>8.1256230789298584E-5</v>
      </c>
      <c r="J327" s="4">
        <f t="shared" si="166"/>
        <v>451.34666363052406</v>
      </c>
      <c r="K327" s="40">
        <f t="shared" si="167"/>
        <v>5.5546098957123453</v>
      </c>
      <c r="L327" s="40">
        <f t="shared" si="151"/>
        <v>0.44539010428765469</v>
      </c>
      <c r="M327" s="10">
        <f t="shared" si="168"/>
        <v>5.0761173041272247</v>
      </c>
      <c r="N327" s="10">
        <f t="shared" si="147"/>
        <v>8.26</v>
      </c>
      <c r="O327" s="10">
        <f t="shared" si="148"/>
        <v>0.31900000000000001</v>
      </c>
      <c r="P327" s="10">
        <f t="shared" si="169"/>
        <v>13.868983885979182</v>
      </c>
      <c r="Q327" s="42">
        <f t="shared" si="170"/>
        <v>0.14662051057453429</v>
      </c>
      <c r="R327" s="4">
        <f t="shared" si="171"/>
        <v>64694.478021940828</v>
      </c>
      <c r="S327">
        <f t="shared" si="152"/>
        <v>6.4694478021940825E-5</v>
      </c>
      <c r="T327" s="41">
        <f t="shared" si="153"/>
        <v>1.1510989401994301E-4</v>
      </c>
      <c r="U327" s="42">
        <f t="shared" si="172"/>
        <v>0.11609747553427391</v>
      </c>
      <c r="V327" s="42">
        <f t="shared" si="173"/>
        <v>0.45576004948490539</v>
      </c>
      <c r="W327" s="42">
        <f t="shared" si="174"/>
        <v>0.45160577036005856</v>
      </c>
      <c r="X327" s="42">
        <f t="shared" si="175"/>
        <v>4.154279124846838E-3</v>
      </c>
      <c r="Y327" s="42">
        <f t="shared" si="149"/>
        <v>1.7714905881872703E-3</v>
      </c>
      <c r="Z327" s="10">
        <f t="shared" si="176"/>
        <v>15.389559718301506</v>
      </c>
      <c r="AA327">
        <f t="shared" si="154"/>
        <v>5076448.319363744</v>
      </c>
      <c r="AB327" s="10">
        <f t="shared" si="155"/>
        <v>5.0764483193637444</v>
      </c>
      <c r="AC327" s="10">
        <f t="shared" si="156"/>
        <v>4.9754483193637444</v>
      </c>
      <c r="AD327" s="3">
        <f t="shared" si="157"/>
        <v>721.60236684028189</v>
      </c>
      <c r="AI327" s="94">
        <f t="shared" si="158"/>
        <v>0.45160577036005856</v>
      </c>
    </row>
    <row r="328" spans="2:35">
      <c r="B328" s="39">
        <f t="shared" si="159"/>
        <v>300</v>
      </c>
      <c r="C328" s="42">
        <f t="shared" si="160"/>
        <v>1.9928057553936018</v>
      </c>
      <c r="D328" s="10">
        <f t="shared" si="161"/>
        <v>3.547194244606132</v>
      </c>
      <c r="E328" s="40">
        <f t="shared" si="162"/>
        <v>23.985611510787734</v>
      </c>
      <c r="F328" s="40">
        <f t="shared" si="163"/>
        <v>31.08</v>
      </c>
      <c r="G328" s="3">
        <f t="shared" si="164"/>
        <v>210.45755395685333</v>
      </c>
      <c r="H328" s="3">
        <f t="shared" si="165"/>
        <v>81.256230789298584</v>
      </c>
      <c r="I328">
        <f t="shared" si="150"/>
        <v>8.1256230789298584E-5</v>
      </c>
      <c r="J328" s="4">
        <f t="shared" si="166"/>
        <v>451.84707145276343</v>
      </c>
      <c r="K328" s="40">
        <f t="shared" si="167"/>
        <v>5.56076828895036</v>
      </c>
      <c r="L328" s="40">
        <f t="shared" si="151"/>
        <v>0.43923171104963998</v>
      </c>
      <c r="M328" s="10">
        <f t="shared" si="168"/>
        <v>5.0764483193637444</v>
      </c>
      <c r="N328" s="10">
        <f t="shared" si="147"/>
        <v>8.26</v>
      </c>
      <c r="O328" s="10">
        <f t="shared" si="148"/>
        <v>0.31900000000000001</v>
      </c>
      <c r="P328" s="10">
        <f t="shared" si="169"/>
        <v>13.8692723834557</v>
      </c>
      <c r="Q328" s="42">
        <f t="shared" si="170"/>
        <v>0.14709946041902908</v>
      </c>
      <c r="R328" s="4">
        <f t="shared" si="171"/>
        <v>64572.831890382164</v>
      </c>
      <c r="S328">
        <f t="shared" si="152"/>
        <v>6.457283189038216E-5</v>
      </c>
      <c r="T328" s="41">
        <f t="shared" si="153"/>
        <v>1.1523154015150167E-4</v>
      </c>
      <c r="U328" s="42">
        <f t="shared" si="172"/>
        <v>0.11587917546888529</v>
      </c>
      <c r="V328" s="42">
        <f t="shared" si="173"/>
        <v>0.45578898896790915</v>
      </c>
      <c r="W328" s="42">
        <f t="shared" si="174"/>
        <v>0.45163581756935056</v>
      </c>
      <c r="X328" s="42">
        <f t="shared" si="175"/>
        <v>4.1531713985585861E-3</v>
      </c>
      <c r="Y328" s="42">
        <f t="shared" si="149"/>
        <v>1.77347974898277E-3</v>
      </c>
      <c r="Z328" s="10">
        <f t="shared" si="176"/>
        <v>15.390575762947124</v>
      </c>
      <c r="AA328">
        <f t="shared" si="154"/>
        <v>5076776.8068394735</v>
      </c>
      <c r="AB328" s="10">
        <f t="shared" si="155"/>
        <v>5.0767768068394732</v>
      </c>
      <c r="AC328" s="10">
        <f t="shared" si="156"/>
        <v>4.9757768068394732</v>
      </c>
      <c r="AD328" s="3">
        <f t="shared" si="157"/>
        <v>721.65000824357844</v>
      </c>
      <c r="AI328" s="94">
        <f t="shared" si="158"/>
        <v>0.45163581756935056</v>
      </c>
    </row>
    <row r="329" spans="2:35">
      <c r="B329" s="39">
        <f t="shared" si="159"/>
        <v>301</v>
      </c>
      <c r="C329" s="42">
        <f t="shared" si="160"/>
        <v>1.9994484412449138</v>
      </c>
      <c r="D329" s="10">
        <f t="shared" si="161"/>
        <v>3.5405515587548191</v>
      </c>
      <c r="E329" s="40">
        <f t="shared" si="162"/>
        <v>23.99889688249036</v>
      </c>
      <c r="F329" s="40">
        <f t="shared" si="163"/>
        <v>31.08</v>
      </c>
      <c r="G329" s="3">
        <f t="shared" si="164"/>
        <v>210.40441247004284</v>
      </c>
      <c r="H329" s="3">
        <f t="shared" si="165"/>
        <v>81.256230789298584</v>
      </c>
      <c r="I329">
        <f t="shared" si="150"/>
        <v>8.1256230789298584E-5</v>
      </c>
      <c r="J329" s="4">
        <f t="shared" si="166"/>
        <v>452.34775652228433</v>
      </c>
      <c r="K329" s="40">
        <f t="shared" si="167"/>
        <v>5.566930094200953</v>
      </c>
      <c r="L329" s="40">
        <f t="shared" si="151"/>
        <v>0.43306990579904703</v>
      </c>
      <c r="M329" s="10">
        <f t="shared" si="168"/>
        <v>5.0767768068394732</v>
      </c>
      <c r="N329" s="10">
        <f t="shared" si="147"/>
        <v>8.26</v>
      </c>
      <c r="O329" s="10">
        <f t="shared" si="148"/>
        <v>0.31900000000000001</v>
      </c>
      <c r="P329" s="10">
        <f t="shared" si="169"/>
        <v>13.869558665189361</v>
      </c>
      <c r="Q329" s="42">
        <f t="shared" si="170"/>
        <v>0.14757840037751416</v>
      </c>
      <c r="R329" s="4">
        <f t="shared" si="171"/>
        <v>64451.180609603492</v>
      </c>
      <c r="S329">
        <f t="shared" si="152"/>
        <v>6.4451180609603496E-5</v>
      </c>
      <c r="T329" s="41">
        <f t="shared" si="153"/>
        <v>1.1535319143228034E-4</v>
      </c>
      <c r="U329" s="42">
        <f t="shared" si="172"/>
        <v>0.11566086616296394</v>
      </c>
      <c r="V329" s="42">
        <f t="shared" si="173"/>
        <v>0.45581769082680967</v>
      </c>
      <c r="W329" s="42">
        <f t="shared" si="174"/>
        <v>0.45166563532649318</v>
      </c>
      <c r="X329" s="42">
        <f t="shared" si="175"/>
        <v>4.1520555003164983E-3</v>
      </c>
      <c r="Y329" s="42">
        <f t="shared" si="149"/>
        <v>1.7754683342717193E-3</v>
      </c>
      <c r="Z329" s="10">
        <f t="shared" si="176"/>
        <v>15.391583988502235</v>
      </c>
      <c r="AA329">
        <f t="shared" si="154"/>
        <v>5077102.7664013803</v>
      </c>
      <c r="AB329" s="10">
        <f t="shared" si="155"/>
        <v>5.0771027664013806</v>
      </c>
      <c r="AC329" s="10">
        <f t="shared" si="156"/>
        <v>4.9761027664013806</v>
      </c>
      <c r="AD329" s="3">
        <f t="shared" si="157"/>
        <v>721.69728301687894</v>
      </c>
      <c r="AI329" s="94">
        <f t="shared" si="158"/>
        <v>0.45166563532649318</v>
      </c>
    </row>
    <row r="330" spans="2:35">
      <c r="B330" s="39">
        <f t="shared" si="159"/>
        <v>302</v>
      </c>
      <c r="C330" s="42">
        <f t="shared" si="160"/>
        <v>2.0060911270962261</v>
      </c>
      <c r="D330" s="10">
        <f t="shared" si="161"/>
        <v>3.5339088729035062</v>
      </c>
      <c r="E330" s="40">
        <f t="shared" si="162"/>
        <v>24.012182254192986</v>
      </c>
      <c r="F330" s="40">
        <f t="shared" si="163"/>
        <v>31.08</v>
      </c>
      <c r="G330" s="3">
        <f t="shared" si="164"/>
        <v>210.35127098323235</v>
      </c>
      <c r="H330" s="3">
        <f t="shared" si="165"/>
        <v>81.256230789298584</v>
      </c>
      <c r="I330">
        <f t="shared" si="150"/>
        <v>8.1256230789298584E-5</v>
      </c>
      <c r="J330" s="4">
        <f t="shared" si="166"/>
        <v>452.8487188390867</v>
      </c>
      <c r="K330" s="40">
        <f t="shared" si="167"/>
        <v>5.5730953114641233</v>
      </c>
      <c r="L330" s="40">
        <f t="shared" si="151"/>
        <v>0.42690468853587671</v>
      </c>
      <c r="M330" s="10">
        <f t="shared" si="168"/>
        <v>5.0771027664013806</v>
      </c>
      <c r="N330" s="10">
        <f t="shared" si="147"/>
        <v>8.26</v>
      </c>
      <c r="O330" s="10">
        <f t="shared" si="148"/>
        <v>0.31900000000000001</v>
      </c>
      <c r="P330" s="10">
        <f t="shared" si="169"/>
        <v>13.8698427313394</v>
      </c>
      <c r="Q330" s="42">
        <f t="shared" si="170"/>
        <v>0.14805733052690243</v>
      </c>
      <c r="R330" s="4">
        <f t="shared" si="171"/>
        <v>64329.524223804823</v>
      </c>
      <c r="S330">
        <f t="shared" si="152"/>
        <v>6.4329524223804828E-5</v>
      </c>
      <c r="T330" s="41">
        <f t="shared" si="153"/>
        <v>1.1547484781807901E-4</v>
      </c>
      <c r="U330" s="42">
        <f t="shared" si="172"/>
        <v>0.11544254769582894</v>
      </c>
      <c r="V330" s="42">
        <f t="shared" si="173"/>
        <v>0.45584615504755366</v>
      </c>
      <c r="W330" s="42">
        <f t="shared" si="174"/>
        <v>0.45169522361759523</v>
      </c>
      <c r="X330" s="42">
        <f t="shared" si="175"/>
        <v>4.1509314299584266E-3</v>
      </c>
      <c r="Y330" s="42">
        <f t="shared" si="149"/>
        <v>1.7774563404815698E-3</v>
      </c>
      <c r="Z330" s="10">
        <f t="shared" si="176"/>
        <v>15.392584394497787</v>
      </c>
      <c r="AA330">
        <f t="shared" si="154"/>
        <v>5077426.1978978207</v>
      </c>
      <c r="AB330" s="10">
        <f t="shared" si="155"/>
        <v>5.0774261978978208</v>
      </c>
      <c r="AC330" s="10">
        <f t="shared" si="156"/>
        <v>4.9764261978978208</v>
      </c>
      <c r="AD330" s="3">
        <f t="shared" si="157"/>
        <v>721.7441911381901</v>
      </c>
      <c r="AI330" s="94">
        <f t="shared" si="158"/>
        <v>0.45169522361759523</v>
      </c>
    </row>
    <row r="331" spans="2:35">
      <c r="B331" s="39">
        <f t="shared" si="159"/>
        <v>303</v>
      </c>
      <c r="C331" s="42">
        <f t="shared" si="160"/>
        <v>2.0127338129475381</v>
      </c>
      <c r="D331" s="10">
        <f t="shared" si="161"/>
        <v>3.5272661870521933</v>
      </c>
      <c r="E331" s="40">
        <f t="shared" si="162"/>
        <v>24.025467625895612</v>
      </c>
      <c r="F331" s="40">
        <f t="shared" si="163"/>
        <v>31.08</v>
      </c>
      <c r="G331" s="3">
        <f t="shared" si="164"/>
        <v>210.29812949642186</v>
      </c>
      <c r="H331" s="3">
        <f t="shared" si="165"/>
        <v>81.256230789298584</v>
      </c>
      <c r="I331">
        <f t="shared" si="150"/>
        <v>8.1256230789298584E-5</v>
      </c>
      <c r="J331" s="4">
        <f t="shared" si="166"/>
        <v>453.34995840317077</v>
      </c>
      <c r="K331" s="40">
        <f t="shared" si="167"/>
        <v>5.5792639407398745</v>
      </c>
      <c r="L331" s="40">
        <f t="shared" si="151"/>
        <v>0.42073605926012547</v>
      </c>
      <c r="M331" s="10">
        <f t="shared" si="168"/>
        <v>5.0774261978978208</v>
      </c>
      <c r="N331" s="10">
        <f t="shared" si="147"/>
        <v>8.26</v>
      </c>
      <c r="O331" s="10">
        <f t="shared" si="148"/>
        <v>0.31900000000000001</v>
      </c>
      <c r="P331" s="10">
        <f t="shared" si="169"/>
        <v>13.870124582063978</v>
      </c>
      <c r="Q331" s="42">
        <f t="shared" si="170"/>
        <v>0.1485362509440919</v>
      </c>
      <c r="R331" s="4">
        <f t="shared" si="171"/>
        <v>64207.862777186107</v>
      </c>
      <c r="S331">
        <f t="shared" si="152"/>
        <v>6.4207862777186111E-5</v>
      </c>
      <c r="T331" s="41">
        <f t="shared" si="153"/>
        <v>1.1559650926469772E-4</v>
      </c>
      <c r="U331" s="42">
        <f t="shared" si="172"/>
        <v>0.11522422014679931</v>
      </c>
      <c r="V331" s="42">
        <f t="shared" si="173"/>
        <v>0.45587438161621852</v>
      </c>
      <c r="W331" s="42">
        <f t="shared" si="174"/>
        <v>0.45172458242889141</v>
      </c>
      <c r="X331" s="42">
        <f t="shared" si="175"/>
        <v>4.1497991873271078E-3</v>
      </c>
      <c r="Y331" s="42">
        <f t="shared" si="149"/>
        <v>1.7794437640396171E-3</v>
      </c>
      <c r="Z331" s="10">
        <f t="shared" si="176"/>
        <v>15.393576980468954</v>
      </c>
      <c r="AA331">
        <f t="shared" si="154"/>
        <v>5077747.1011785157</v>
      </c>
      <c r="AB331" s="10">
        <f t="shared" si="155"/>
        <v>5.0777471011785158</v>
      </c>
      <c r="AC331" s="10">
        <f t="shared" si="156"/>
        <v>4.9767471011785158</v>
      </c>
      <c r="AD331" s="3">
        <f t="shared" si="157"/>
        <v>721.79073258571657</v>
      </c>
      <c r="AI331" s="94">
        <f t="shared" si="158"/>
        <v>0.45172458242889141</v>
      </c>
    </row>
    <row r="332" spans="2:35">
      <c r="B332" s="39">
        <f t="shared" si="159"/>
        <v>304</v>
      </c>
      <c r="C332" s="42">
        <f t="shared" si="160"/>
        <v>2.0193764987988501</v>
      </c>
      <c r="D332" s="10">
        <f t="shared" si="161"/>
        <v>3.5206235012008804</v>
      </c>
      <c r="E332" s="40">
        <f t="shared" si="162"/>
        <v>24.038752997598237</v>
      </c>
      <c r="F332" s="40">
        <f t="shared" si="163"/>
        <v>31.08</v>
      </c>
      <c r="G332" s="3">
        <f t="shared" si="164"/>
        <v>210.24498800961138</v>
      </c>
      <c r="H332" s="3">
        <f t="shared" si="165"/>
        <v>81.256230789298584</v>
      </c>
      <c r="I332">
        <f t="shared" si="150"/>
        <v>8.1256230789298584E-5</v>
      </c>
      <c r="J332" s="4">
        <f t="shared" si="166"/>
        <v>453.85147521453632</v>
      </c>
      <c r="K332" s="40">
        <f t="shared" si="167"/>
        <v>5.585435982028204</v>
      </c>
      <c r="L332" s="40">
        <f t="shared" si="151"/>
        <v>0.41456401797179598</v>
      </c>
      <c r="M332" s="10">
        <f t="shared" si="168"/>
        <v>5.0777471011785158</v>
      </c>
      <c r="N332" s="10">
        <f t="shared" si="147"/>
        <v>8.26</v>
      </c>
      <c r="O332" s="10">
        <f t="shared" si="148"/>
        <v>0.31900000000000001</v>
      </c>
      <c r="P332" s="10">
        <f t="shared" si="169"/>
        <v>13.870404217520166</v>
      </c>
      <c r="Q332" s="42">
        <f t="shared" si="170"/>
        <v>0.14901516170596582</v>
      </c>
      <c r="R332" s="4">
        <f t="shared" si="171"/>
        <v>64086.196313947388</v>
      </c>
      <c r="S332">
        <f t="shared" si="152"/>
        <v>6.4086196313947394E-5</v>
      </c>
      <c r="T332" s="41">
        <f t="shared" si="153"/>
        <v>1.1571817572793644E-4</v>
      </c>
      <c r="U332" s="42">
        <f t="shared" si="172"/>
        <v>0.11500588359519427</v>
      </c>
      <c r="V332" s="42">
        <f t="shared" si="173"/>
        <v>0.45590237051828297</v>
      </c>
      <c r="W332" s="42">
        <f t="shared" si="174"/>
        <v>0.45175371174674067</v>
      </c>
      <c r="X332" s="42">
        <f t="shared" si="175"/>
        <v>4.1486587715423018E-3</v>
      </c>
      <c r="Y332" s="42">
        <f t="shared" si="149"/>
        <v>1.7814306013726514E-3</v>
      </c>
      <c r="Z332" s="10">
        <f t="shared" si="176"/>
        <v>15.394561745952085</v>
      </c>
      <c r="AA332">
        <f t="shared" si="154"/>
        <v>5078065.4760935688</v>
      </c>
      <c r="AB332" s="10">
        <f t="shared" si="155"/>
        <v>5.0780654760935686</v>
      </c>
      <c r="AC332" s="10">
        <f t="shared" si="156"/>
        <v>4.9770654760935686</v>
      </c>
      <c r="AD332" s="3">
        <f t="shared" si="157"/>
        <v>721.83690733771846</v>
      </c>
      <c r="AI332" s="94">
        <f t="shared" si="158"/>
        <v>0.45175371174674067</v>
      </c>
    </row>
    <row r="333" spans="2:35">
      <c r="B333" s="39">
        <f t="shared" si="159"/>
        <v>305</v>
      </c>
      <c r="C333" s="42">
        <f t="shared" si="160"/>
        <v>2.0260191846501621</v>
      </c>
      <c r="D333" s="10">
        <f t="shared" si="161"/>
        <v>3.5139808153495675</v>
      </c>
      <c r="E333" s="40">
        <f t="shared" si="162"/>
        <v>24.052038369300863</v>
      </c>
      <c r="F333" s="40">
        <f t="shared" si="163"/>
        <v>31.08</v>
      </c>
      <c r="G333" s="3">
        <f t="shared" si="164"/>
        <v>210.19184652280089</v>
      </c>
      <c r="H333" s="3">
        <f t="shared" si="165"/>
        <v>81.256230789298584</v>
      </c>
      <c r="I333">
        <f t="shared" si="150"/>
        <v>8.1256230789298584E-5</v>
      </c>
      <c r="J333" s="4">
        <f t="shared" si="166"/>
        <v>454.35326927318346</v>
      </c>
      <c r="K333" s="40">
        <f t="shared" si="167"/>
        <v>5.5916114353291126</v>
      </c>
      <c r="L333" s="40">
        <f t="shared" si="151"/>
        <v>0.40838856467088736</v>
      </c>
      <c r="M333" s="10">
        <f t="shared" si="168"/>
        <v>5.0780654760935686</v>
      </c>
      <c r="N333" s="10">
        <f t="shared" si="147"/>
        <v>8.26</v>
      </c>
      <c r="O333" s="10">
        <f t="shared" si="148"/>
        <v>0.31900000000000001</v>
      </c>
      <c r="P333" s="10">
        <f t="shared" si="169"/>
        <v>13.870681637863088</v>
      </c>
      <c r="Q333" s="42">
        <f t="shared" si="170"/>
        <v>0.14949406288939285</v>
      </c>
      <c r="R333" s="4">
        <f t="shared" si="171"/>
        <v>63964.524878288641</v>
      </c>
      <c r="S333">
        <f t="shared" si="152"/>
        <v>6.3964524878288646E-5</v>
      </c>
      <c r="T333" s="41">
        <f t="shared" si="153"/>
        <v>1.1583984716359519E-4</v>
      </c>
      <c r="U333" s="42">
        <f t="shared" si="172"/>
        <v>0.11478753812033288</v>
      </c>
      <c r="V333" s="42">
        <f t="shared" si="173"/>
        <v>0.45593012174016773</v>
      </c>
      <c r="W333" s="42">
        <f t="shared" si="174"/>
        <v>0.45178261155753646</v>
      </c>
      <c r="X333" s="42">
        <f t="shared" si="175"/>
        <v>4.1475101826312644E-3</v>
      </c>
      <c r="Y333" s="42">
        <f t="shared" si="149"/>
        <v>1.7834168489073892E-3</v>
      </c>
      <c r="Z333" s="10">
        <f t="shared" si="176"/>
        <v>15.395538690488371</v>
      </c>
      <c r="AA333">
        <f t="shared" si="154"/>
        <v>5078381.3224946456</v>
      </c>
      <c r="AB333" s="10">
        <f t="shared" si="155"/>
        <v>5.0783813224946455</v>
      </c>
      <c r="AC333" s="10">
        <f t="shared" si="156"/>
        <v>4.9773813224946455</v>
      </c>
      <c r="AD333" s="3">
        <f t="shared" si="157"/>
        <v>721.88271537268247</v>
      </c>
      <c r="AI333" s="94">
        <f t="shared" si="158"/>
        <v>0.45178261155753646</v>
      </c>
    </row>
    <row r="334" spans="2:35">
      <c r="B334" s="39">
        <f t="shared" si="159"/>
        <v>306</v>
      </c>
      <c r="C334" s="42">
        <f t="shared" si="160"/>
        <v>2.0326618705014741</v>
      </c>
      <c r="D334" s="10">
        <f t="shared" si="161"/>
        <v>3.5073381294982546</v>
      </c>
      <c r="E334" s="40">
        <f t="shared" si="162"/>
        <v>24.065323741003489</v>
      </c>
      <c r="F334" s="40">
        <f t="shared" si="163"/>
        <v>31.08</v>
      </c>
      <c r="G334" s="3">
        <f t="shared" si="164"/>
        <v>210.1387050359904</v>
      </c>
      <c r="H334" s="3">
        <f t="shared" si="165"/>
        <v>81.256230789298584</v>
      </c>
      <c r="I334">
        <f t="shared" si="150"/>
        <v>8.1256230789298584E-5</v>
      </c>
      <c r="J334" s="4">
        <f t="shared" si="166"/>
        <v>454.85534057911212</v>
      </c>
      <c r="K334" s="40">
        <f t="shared" si="167"/>
        <v>5.5977903006425986</v>
      </c>
      <c r="L334" s="40">
        <f t="shared" si="151"/>
        <v>0.40220969935740136</v>
      </c>
      <c r="M334" s="10">
        <f t="shared" si="168"/>
        <v>5.0783813224946455</v>
      </c>
      <c r="N334" s="10">
        <f t="shared" si="147"/>
        <v>8.26</v>
      </c>
      <c r="O334" s="10">
        <f t="shared" si="148"/>
        <v>0.31900000000000001</v>
      </c>
      <c r="P334" s="10">
        <f t="shared" si="169"/>
        <v>13.870956843246951</v>
      </c>
      <c r="Q334" s="42">
        <f t="shared" si="170"/>
        <v>0.14997295457122703</v>
      </c>
      <c r="R334" s="4">
        <f t="shared" si="171"/>
        <v>63842.848514409874</v>
      </c>
      <c r="S334">
        <f t="shared" si="152"/>
        <v>6.3842848514409874E-5</v>
      </c>
      <c r="T334" s="41">
        <f t="shared" si="153"/>
        <v>1.1596152352747396E-4</v>
      </c>
      <c r="U334" s="42">
        <f t="shared" si="172"/>
        <v>0.11456918380153423</v>
      </c>
      <c r="V334" s="42">
        <f t="shared" si="173"/>
        <v>0.45595763526803207</v>
      </c>
      <c r="W334" s="42">
        <f t="shared" si="174"/>
        <v>0.45181128184781394</v>
      </c>
      <c r="X334" s="42">
        <f t="shared" si="175"/>
        <v>4.1463534202181296E-3</v>
      </c>
      <c r="Y334" s="42">
        <f t="shared" si="149"/>
        <v>1.7854025030702764E-3</v>
      </c>
      <c r="Z334" s="10">
        <f t="shared" si="176"/>
        <v>15.396507813622105</v>
      </c>
      <c r="AA334">
        <f t="shared" si="154"/>
        <v>5078694.6402344154</v>
      </c>
      <c r="AB334" s="10">
        <f t="shared" si="155"/>
        <v>5.0786946402344153</v>
      </c>
      <c r="AC334" s="10">
        <f t="shared" si="156"/>
        <v>4.9776946402344153</v>
      </c>
      <c r="AD334" s="3">
        <f t="shared" si="157"/>
        <v>721.92815666924082</v>
      </c>
      <c r="AI334" s="94">
        <f t="shared" si="158"/>
        <v>0.45181128184781394</v>
      </c>
    </row>
    <row r="335" spans="2:35">
      <c r="B335" s="39">
        <f t="shared" si="159"/>
        <v>307</v>
      </c>
      <c r="C335" s="42">
        <f t="shared" si="160"/>
        <v>2.0393045563527861</v>
      </c>
      <c r="D335" s="10">
        <f t="shared" si="161"/>
        <v>3.5006954436469417</v>
      </c>
      <c r="E335" s="40">
        <f t="shared" si="162"/>
        <v>24.078609112706115</v>
      </c>
      <c r="F335" s="40">
        <f t="shared" si="163"/>
        <v>31.08</v>
      </c>
      <c r="G335" s="3">
        <f t="shared" si="164"/>
        <v>210.08556354917991</v>
      </c>
      <c r="H335" s="3">
        <f t="shared" si="165"/>
        <v>81.256230789298584</v>
      </c>
      <c r="I335">
        <f t="shared" si="150"/>
        <v>8.1256230789298584E-5</v>
      </c>
      <c r="J335" s="4">
        <f t="shared" si="166"/>
        <v>455.35768913232243</v>
      </c>
      <c r="K335" s="40">
        <f t="shared" si="167"/>
        <v>5.6039725779686655</v>
      </c>
      <c r="L335" s="40">
        <f t="shared" si="151"/>
        <v>0.39602742203133445</v>
      </c>
      <c r="M335" s="10">
        <f t="shared" si="168"/>
        <v>5.0786946402344153</v>
      </c>
      <c r="N335" s="10">
        <f t="shared" si="147"/>
        <v>8.26</v>
      </c>
      <c r="O335" s="10">
        <f t="shared" si="148"/>
        <v>0.31900000000000001</v>
      </c>
      <c r="P335" s="10">
        <f t="shared" si="169"/>
        <v>13.871229833824557</v>
      </c>
      <c r="Q335" s="42">
        <f t="shared" si="170"/>
        <v>0.15045183682830809</v>
      </c>
      <c r="R335" s="4">
        <f t="shared" si="171"/>
        <v>63721.167266511067</v>
      </c>
      <c r="S335">
        <f t="shared" si="152"/>
        <v>6.3721167266511062E-5</v>
      </c>
      <c r="T335" s="41">
        <f t="shared" si="153"/>
        <v>1.1608320477537277E-4</v>
      </c>
      <c r="U335" s="42">
        <f t="shared" si="172"/>
        <v>0.11435082071811742</v>
      </c>
      <c r="V335" s="42">
        <f t="shared" si="173"/>
        <v>0.45598491108817601</v>
      </c>
      <c r="W335" s="42">
        <f t="shared" si="174"/>
        <v>0.45183972260419941</v>
      </c>
      <c r="X335" s="42">
        <f t="shared" si="175"/>
        <v>4.1451884839766029E-3</v>
      </c>
      <c r="Y335" s="42">
        <f t="shared" si="149"/>
        <v>1.7873875602875096E-3</v>
      </c>
      <c r="Z335" s="10">
        <f t="shared" si="176"/>
        <v>15.39746911490082</v>
      </c>
      <c r="AA335">
        <f t="shared" si="154"/>
        <v>5079005.4291665964</v>
      </c>
      <c r="AB335" s="10">
        <f t="shared" si="155"/>
        <v>5.079005429166596</v>
      </c>
      <c r="AC335" s="10">
        <f t="shared" si="156"/>
        <v>4.9780054291665961</v>
      </c>
      <c r="AD335" s="3">
        <f t="shared" si="157"/>
        <v>721.97323120617784</v>
      </c>
      <c r="AI335" s="94">
        <f t="shared" si="158"/>
        <v>0.45183972260419941</v>
      </c>
    </row>
    <row r="336" spans="2:35">
      <c r="B336" s="39">
        <f t="shared" si="159"/>
        <v>308</v>
      </c>
      <c r="C336" s="42">
        <f t="shared" si="160"/>
        <v>2.0459472422040981</v>
      </c>
      <c r="D336" s="10">
        <f t="shared" si="161"/>
        <v>3.4940527577956288</v>
      </c>
      <c r="E336" s="40">
        <f t="shared" si="162"/>
        <v>24.091894484408741</v>
      </c>
      <c r="F336" s="40">
        <f t="shared" si="163"/>
        <v>31.08</v>
      </c>
      <c r="G336" s="3">
        <f t="shared" si="164"/>
        <v>210.03242206236942</v>
      </c>
      <c r="H336" s="3">
        <f t="shared" si="165"/>
        <v>81.256230789298584</v>
      </c>
      <c r="I336">
        <f t="shared" si="150"/>
        <v>8.1256230789298584E-5</v>
      </c>
      <c r="J336" s="4">
        <f t="shared" si="166"/>
        <v>455.86031493281422</v>
      </c>
      <c r="K336" s="40">
        <f t="shared" si="167"/>
        <v>5.6101582673073098</v>
      </c>
      <c r="L336" s="40">
        <f t="shared" si="151"/>
        <v>0.38984173269269018</v>
      </c>
      <c r="M336" s="10">
        <f t="shared" si="168"/>
        <v>5.079005429166596</v>
      </c>
      <c r="N336" s="10">
        <f t="shared" si="147"/>
        <v>8.26</v>
      </c>
      <c r="O336" s="10">
        <f t="shared" si="148"/>
        <v>0.31900000000000001</v>
      </c>
      <c r="P336" s="10">
        <f t="shared" si="169"/>
        <v>13.871500609747347</v>
      </c>
      <c r="Q336" s="42">
        <f t="shared" si="170"/>
        <v>0.15093070973746142</v>
      </c>
      <c r="R336" s="4">
        <f t="shared" si="171"/>
        <v>63599.481178792252</v>
      </c>
      <c r="S336">
        <f t="shared" si="152"/>
        <v>6.3599481178792258E-5</v>
      </c>
      <c r="T336" s="41">
        <f t="shared" si="153"/>
        <v>1.1620489086309158E-4</v>
      </c>
      <c r="U336" s="42">
        <f t="shared" si="172"/>
        <v>0.11413244894940162</v>
      </c>
      <c r="V336" s="42">
        <f t="shared" si="173"/>
        <v>0.45601194918686716</v>
      </c>
      <c r="W336" s="42">
        <f t="shared" si="174"/>
        <v>0.45186793381341467</v>
      </c>
      <c r="X336" s="42">
        <f t="shared" si="175"/>
        <v>4.144015373452492E-3</v>
      </c>
      <c r="Y336" s="42">
        <f t="shared" si="149"/>
        <v>1.7893720169849709E-3</v>
      </c>
      <c r="Z336" s="10">
        <f t="shared" si="176"/>
        <v>15.398422593874683</v>
      </c>
      <c r="AA336">
        <f t="shared" si="154"/>
        <v>5079313.6891457569</v>
      </c>
      <c r="AB336" s="10">
        <f t="shared" si="155"/>
        <v>5.0793136891457573</v>
      </c>
      <c r="AC336" s="10">
        <f t="shared" si="156"/>
        <v>4.9783136891457573</v>
      </c>
      <c r="AD336" s="3">
        <f t="shared" si="157"/>
        <v>722.01793896240133</v>
      </c>
      <c r="AI336" s="94">
        <f t="shared" si="158"/>
        <v>0.45186793381341467</v>
      </c>
    </row>
    <row r="337" spans="2:35">
      <c r="B337" s="39">
        <f t="shared" si="159"/>
        <v>309</v>
      </c>
      <c r="C337" s="42">
        <f t="shared" si="160"/>
        <v>2.0525899280554101</v>
      </c>
      <c r="D337" s="10">
        <f t="shared" si="161"/>
        <v>3.487410071944316</v>
      </c>
      <c r="E337" s="40">
        <f t="shared" si="162"/>
        <v>24.105179856111366</v>
      </c>
      <c r="F337" s="40">
        <f t="shared" si="163"/>
        <v>31.08</v>
      </c>
      <c r="G337" s="3">
        <f t="shared" si="164"/>
        <v>209.97928057555893</v>
      </c>
      <c r="H337" s="3">
        <f t="shared" si="165"/>
        <v>81.256230789298584</v>
      </c>
      <c r="I337">
        <f t="shared" si="150"/>
        <v>8.1256230789298584E-5</v>
      </c>
      <c r="J337" s="4">
        <f t="shared" si="166"/>
        <v>456.36321798058754</v>
      </c>
      <c r="K337" s="40">
        <f t="shared" si="167"/>
        <v>5.6163473686585323</v>
      </c>
      <c r="L337" s="40">
        <f t="shared" si="151"/>
        <v>0.38365263134146765</v>
      </c>
      <c r="M337" s="10">
        <f t="shared" si="168"/>
        <v>5.0793136891457573</v>
      </c>
      <c r="N337" s="10">
        <f t="shared" si="147"/>
        <v>8.26</v>
      </c>
      <c r="O337" s="10">
        <f t="shared" si="148"/>
        <v>0.31900000000000001</v>
      </c>
      <c r="P337" s="10">
        <f t="shared" si="169"/>
        <v>13.871769171165221</v>
      </c>
      <c r="Q337" s="42">
        <f t="shared" si="170"/>
        <v>0.15140957337549829</v>
      </c>
      <c r="R337" s="4">
        <f t="shared" si="171"/>
        <v>63477.790295453407</v>
      </c>
      <c r="S337">
        <f t="shared" si="152"/>
        <v>6.3477790295453403E-5</v>
      </c>
      <c r="T337" s="41">
        <f t="shared" si="153"/>
        <v>1.1632658174643043E-4</v>
      </c>
      <c r="U337" s="42">
        <f t="shared" si="172"/>
        <v>0.1139140685747059</v>
      </c>
      <c r="V337" s="42">
        <f t="shared" si="173"/>
        <v>0.45603874955088813</v>
      </c>
      <c r="W337" s="42">
        <f t="shared" si="174"/>
        <v>0.45189591546225827</v>
      </c>
      <c r="X337" s="42">
        <f t="shared" si="175"/>
        <v>4.1428340886298654E-3</v>
      </c>
      <c r="Y337" s="42">
        <f t="shared" si="149"/>
        <v>1.7913558695884354E-3</v>
      </c>
      <c r="Z337" s="10">
        <f t="shared" si="176"/>
        <v>15.399368250098217</v>
      </c>
      <c r="AA337">
        <f t="shared" si="154"/>
        <v>5079619.4200278744</v>
      </c>
      <c r="AB337" s="10">
        <f t="shared" si="155"/>
        <v>5.0796194200278748</v>
      </c>
      <c r="AC337" s="10">
        <f t="shared" si="156"/>
        <v>4.9786194200278748</v>
      </c>
      <c r="AD337" s="3">
        <f t="shared" si="157"/>
        <v>722.06227991702315</v>
      </c>
      <c r="AI337" s="94">
        <f t="shared" si="158"/>
        <v>0.45189591546225827</v>
      </c>
    </row>
    <row r="338" spans="2:35">
      <c r="B338" s="39">
        <f t="shared" si="159"/>
        <v>310</v>
      </c>
      <c r="C338" s="42">
        <f t="shared" si="160"/>
        <v>2.0592326139067221</v>
      </c>
      <c r="D338" s="10">
        <f t="shared" si="161"/>
        <v>3.4807673860930031</v>
      </c>
      <c r="E338" s="40">
        <f t="shared" si="162"/>
        <v>24.118465227813992</v>
      </c>
      <c r="F338" s="40">
        <f t="shared" si="163"/>
        <v>31.08</v>
      </c>
      <c r="G338" s="3">
        <f t="shared" si="164"/>
        <v>209.92613908874844</v>
      </c>
      <c r="H338" s="3">
        <f t="shared" si="165"/>
        <v>81.256230789298584</v>
      </c>
      <c r="I338">
        <f t="shared" si="150"/>
        <v>8.1256230789298584E-5</v>
      </c>
      <c r="J338" s="4">
        <f t="shared" si="166"/>
        <v>456.86639827564255</v>
      </c>
      <c r="K338" s="40">
        <f t="shared" si="167"/>
        <v>5.6225398820223358</v>
      </c>
      <c r="L338" s="40">
        <f t="shared" si="151"/>
        <v>0.37746011797766421</v>
      </c>
      <c r="M338" s="10">
        <f t="shared" si="168"/>
        <v>5.0796194200278748</v>
      </c>
      <c r="N338" s="10">
        <f t="shared" si="147"/>
        <v>8.26</v>
      </c>
      <c r="O338" s="10">
        <f t="shared" si="148"/>
        <v>0.31900000000000001</v>
      </c>
      <c r="P338" s="10">
        <f t="shared" si="169"/>
        <v>13.872035518227033</v>
      </c>
      <c r="Q338" s="42">
        <f t="shared" si="170"/>
        <v>0.15188842781921594</v>
      </c>
      <c r="R338" s="4">
        <f t="shared" si="171"/>
        <v>63356.094660694514</v>
      </c>
      <c r="S338">
        <f t="shared" si="152"/>
        <v>6.335609466069452E-5</v>
      </c>
      <c r="T338" s="41">
        <f t="shared" si="153"/>
        <v>1.1644827738118931E-4</v>
      </c>
      <c r="U338" s="42">
        <f t="shared" si="172"/>
        <v>0.11369567967334934</v>
      </c>
      <c r="V338" s="42">
        <f t="shared" si="173"/>
        <v>0.45606531216682261</v>
      </c>
      <c r="W338" s="42">
        <f t="shared" si="174"/>
        <v>0.45192366753765706</v>
      </c>
      <c r="X338" s="42">
        <f t="shared" si="175"/>
        <v>4.1416446291655529E-3</v>
      </c>
      <c r="Y338" s="42">
        <f t="shared" si="149"/>
        <v>1.7933391145234106E-3</v>
      </c>
      <c r="Z338" s="10">
        <f t="shared" si="176"/>
        <v>15.400306083128894</v>
      </c>
      <c r="AA338">
        <f t="shared" si="154"/>
        <v>5079922.6216698801</v>
      </c>
      <c r="AB338" s="10">
        <f t="shared" si="155"/>
        <v>5.0799226216698798</v>
      </c>
      <c r="AC338" s="10">
        <f t="shared" si="156"/>
        <v>4.9789226216698799</v>
      </c>
      <c r="AD338" s="3">
        <f t="shared" si="157"/>
        <v>722.10625404929374</v>
      </c>
      <c r="AI338" s="94">
        <f t="shared" si="158"/>
        <v>0.45192366753765706</v>
      </c>
    </row>
    <row r="339" spans="2:35">
      <c r="B339" s="39">
        <f t="shared" si="159"/>
        <v>311</v>
      </c>
      <c r="C339" s="42">
        <f t="shared" si="160"/>
        <v>2.0658752997580341</v>
      </c>
      <c r="D339" s="10">
        <f t="shared" si="161"/>
        <v>3.4741247002416902</v>
      </c>
      <c r="E339" s="40">
        <f t="shared" si="162"/>
        <v>24.131750599516618</v>
      </c>
      <c r="F339" s="40">
        <f t="shared" si="163"/>
        <v>31.08</v>
      </c>
      <c r="G339" s="3">
        <f t="shared" si="164"/>
        <v>209.87299760193795</v>
      </c>
      <c r="H339" s="3">
        <f t="shared" si="165"/>
        <v>81.256230789298584</v>
      </c>
      <c r="I339">
        <f t="shared" si="150"/>
        <v>8.1256230789298584E-5</v>
      </c>
      <c r="J339" s="4">
        <f t="shared" si="166"/>
        <v>457.36985581797904</v>
      </c>
      <c r="K339" s="40">
        <f t="shared" si="167"/>
        <v>5.6287358073987166</v>
      </c>
      <c r="L339" s="40">
        <f t="shared" si="151"/>
        <v>0.3712641926012834</v>
      </c>
      <c r="M339" s="10">
        <f t="shared" si="168"/>
        <v>5.0799226216698798</v>
      </c>
      <c r="N339" s="10">
        <f t="shared" si="147"/>
        <v>8.26</v>
      </c>
      <c r="O339" s="10">
        <f t="shared" si="148"/>
        <v>0.31900000000000001</v>
      </c>
      <c r="P339" s="10">
        <f t="shared" si="169"/>
        <v>13.872299651080187</v>
      </c>
      <c r="Q339" s="42">
        <f t="shared" si="170"/>
        <v>0.15236727314539766</v>
      </c>
      <c r="R339" s="4">
        <f t="shared" si="171"/>
        <v>63234.394318715596</v>
      </c>
      <c r="S339">
        <f t="shared" si="152"/>
        <v>6.323439431871559E-5</v>
      </c>
      <c r="T339" s="41">
        <f t="shared" si="153"/>
        <v>1.1656997772316824E-4</v>
      </c>
      <c r="U339" s="42">
        <f t="shared" si="172"/>
        <v>0.11347728232465107</v>
      </c>
      <c r="V339" s="42">
        <f t="shared" si="173"/>
        <v>0.45609163702140854</v>
      </c>
      <c r="W339" s="42">
        <f t="shared" si="174"/>
        <v>0.45195119002662404</v>
      </c>
      <c r="X339" s="42">
        <f t="shared" si="175"/>
        <v>4.1404469947844968E-3</v>
      </c>
      <c r="Y339" s="42">
        <f t="shared" si="149"/>
        <v>1.7953217482151664E-3</v>
      </c>
      <c r="Z339" s="10">
        <f t="shared" si="176"/>
        <v>15.401236092527336</v>
      </c>
      <c r="AA339">
        <f t="shared" si="154"/>
        <v>5080223.2939297212</v>
      </c>
      <c r="AB339" s="10">
        <f t="shared" si="155"/>
        <v>5.0802232939297216</v>
      </c>
      <c r="AC339" s="10">
        <f t="shared" si="156"/>
        <v>4.9792232939297216</v>
      </c>
      <c r="AD339" s="3">
        <f t="shared" si="157"/>
        <v>722.14986133861078</v>
      </c>
      <c r="AI339" s="94">
        <f t="shared" si="158"/>
        <v>0.45195119002662404</v>
      </c>
    </row>
    <row r="340" spans="2:35">
      <c r="B340" s="39">
        <f t="shared" si="159"/>
        <v>312</v>
      </c>
      <c r="C340" s="42">
        <f t="shared" si="160"/>
        <v>2.0725179856093461</v>
      </c>
      <c r="D340" s="10">
        <f t="shared" si="161"/>
        <v>3.4674820143903773</v>
      </c>
      <c r="E340" s="40">
        <f t="shared" si="162"/>
        <v>24.145035971219244</v>
      </c>
      <c r="F340" s="40">
        <f t="shared" si="163"/>
        <v>31.08</v>
      </c>
      <c r="G340" s="3">
        <f t="shared" si="164"/>
        <v>209.81985611512746</v>
      </c>
      <c r="H340" s="3">
        <f t="shared" si="165"/>
        <v>81.256230789298584</v>
      </c>
      <c r="I340">
        <f t="shared" si="150"/>
        <v>8.1256230789298584E-5</v>
      </c>
      <c r="J340" s="4">
        <f t="shared" si="166"/>
        <v>457.87359060759712</v>
      </c>
      <c r="K340" s="40">
        <f t="shared" si="167"/>
        <v>5.6349351447876774</v>
      </c>
      <c r="L340" s="40">
        <f t="shared" si="151"/>
        <v>0.36506485521232257</v>
      </c>
      <c r="M340" s="10">
        <f t="shared" si="168"/>
        <v>5.0802232939297216</v>
      </c>
      <c r="N340" s="10">
        <f t="shared" si="147"/>
        <v>8.26</v>
      </c>
      <c r="O340" s="10">
        <f t="shared" si="148"/>
        <v>0.31900000000000001</v>
      </c>
      <c r="P340" s="10">
        <f t="shared" si="169"/>
        <v>13.872561569870706</v>
      </c>
      <c r="Q340" s="42">
        <f t="shared" si="170"/>
        <v>0.15284610943081298</v>
      </c>
      <c r="R340" s="4">
        <f t="shared" si="171"/>
        <v>63112.689313716648</v>
      </c>
      <c r="S340">
        <f t="shared" si="152"/>
        <v>6.3112689313716649E-5</v>
      </c>
      <c r="T340" s="41">
        <f t="shared" si="153"/>
        <v>1.1669168272816718E-4</v>
      </c>
      <c r="U340" s="42">
        <f t="shared" si="172"/>
        <v>0.1132588766079302</v>
      </c>
      <c r="V340" s="42">
        <f t="shared" si="173"/>
        <v>0.45611772410154039</v>
      </c>
      <c r="W340" s="42">
        <f t="shared" si="174"/>
        <v>0.45197848291626491</v>
      </c>
      <c r="X340" s="42">
        <f t="shared" si="175"/>
        <v>4.1392411852754774E-3</v>
      </c>
      <c r="Y340" s="42">
        <f t="shared" si="149"/>
        <v>1.7973037670887617E-3</v>
      </c>
      <c r="Z340" s="10">
        <f t="shared" si="176"/>
        <v>15.402158277857504</v>
      </c>
      <c r="AA340">
        <f t="shared" si="154"/>
        <v>5080521.4366664281</v>
      </c>
      <c r="AB340" s="10">
        <f t="shared" si="155"/>
        <v>5.0805214366664284</v>
      </c>
      <c r="AC340" s="10">
        <f t="shared" si="156"/>
        <v>4.9795214366664284</v>
      </c>
      <c r="AD340" s="3">
        <f t="shared" si="157"/>
        <v>722.19310176452905</v>
      </c>
      <c r="AI340" s="94">
        <f t="shared" si="158"/>
        <v>0.45197848291626491</v>
      </c>
    </row>
    <row r="341" spans="2:35">
      <c r="B341" s="39">
        <f t="shared" si="159"/>
        <v>313</v>
      </c>
      <c r="C341" s="42">
        <f t="shared" si="160"/>
        <v>2.0791606714606581</v>
      </c>
      <c r="D341" s="10">
        <f t="shared" si="161"/>
        <v>3.4608393285390644</v>
      </c>
      <c r="E341" s="40">
        <f t="shared" si="162"/>
        <v>24.15832134292187</v>
      </c>
      <c r="F341" s="40">
        <f t="shared" si="163"/>
        <v>31.08</v>
      </c>
      <c r="G341" s="3">
        <f t="shared" si="164"/>
        <v>209.76671462831698</v>
      </c>
      <c r="H341" s="3">
        <f t="shared" si="165"/>
        <v>81.256230789298584</v>
      </c>
      <c r="I341">
        <f t="shared" si="150"/>
        <v>8.1256230789298584E-5</v>
      </c>
      <c r="J341" s="4">
        <f t="shared" si="166"/>
        <v>458.37760264449668</v>
      </c>
      <c r="K341" s="40">
        <f t="shared" si="167"/>
        <v>5.6411378941892147</v>
      </c>
      <c r="L341" s="40">
        <f t="shared" si="151"/>
        <v>0.35886210581078526</v>
      </c>
      <c r="M341" s="10">
        <f t="shared" si="168"/>
        <v>5.0805214366664284</v>
      </c>
      <c r="N341" s="10">
        <f t="shared" si="147"/>
        <v>8.26</v>
      </c>
      <c r="O341" s="10">
        <f t="shared" si="148"/>
        <v>0.31900000000000001</v>
      </c>
      <c r="P341" s="10">
        <f t="shared" si="169"/>
        <v>13.872821274743274</v>
      </c>
      <c r="Q341" s="42">
        <f t="shared" si="170"/>
        <v>0.15332493675221773</v>
      </c>
      <c r="R341" s="4">
        <f t="shared" si="171"/>
        <v>62990.979689897678</v>
      </c>
      <c r="S341">
        <f t="shared" si="152"/>
        <v>6.299097968989768E-5</v>
      </c>
      <c r="T341" s="41">
        <f t="shared" si="153"/>
        <v>1.1681339235198615E-4</v>
      </c>
      <c r="U341" s="42">
        <f t="shared" si="172"/>
        <v>0.11304046260250587</v>
      </c>
      <c r="V341" s="42">
        <f t="shared" si="173"/>
        <v>0.45614357339418216</v>
      </c>
      <c r="W341" s="42">
        <f t="shared" si="174"/>
        <v>0.45200554619378319</v>
      </c>
      <c r="X341" s="42">
        <f t="shared" si="175"/>
        <v>4.1380272003989638E-3</v>
      </c>
      <c r="Y341" s="42">
        <f t="shared" si="149"/>
        <v>1.7992851675690288E-3</v>
      </c>
      <c r="Z341" s="10">
        <f t="shared" si="176"/>
        <v>15.403072638686501</v>
      </c>
      <c r="AA341">
        <f t="shared" si="154"/>
        <v>5080817.0497400444</v>
      </c>
      <c r="AB341" s="10">
        <f t="shared" si="155"/>
        <v>5.0808170497400447</v>
      </c>
      <c r="AC341" s="10">
        <f t="shared" si="156"/>
        <v>4.9798170497400447</v>
      </c>
      <c r="AD341" s="3">
        <f t="shared" si="157"/>
        <v>722.23597530675045</v>
      </c>
      <c r="AI341" s="94">
        <f t="shared" si="158"/>
        <v>0.45200554619378319</v>
      </c>
    </row>
    <row r="342" spans="2:35">
      <c r="B342" s="39">
        <f t="shared" si="159"/>
        <v>314</v>
      </c>
      <c r="C342" s="42">
        <f t="shared" si="160"/>
        <v>2.0858033573119701</v>
      </c>
      <c r="D342" s="10">
        <f t="shared" si="161"/>
        <v>3.4541966426877515</v>
      </c>
      <c r="E342" s="40">
        <f t="shared" si="162"/>
        <v>24.171606714624495</v>
      </c>
      <c r="F342" s="40">
        <f t="shared" si="163"/>
        <v>31.08</v>
      </c>
      <c r="G342" s="3">
        <f t="shared" si="164"/>
        <v>209.71357314150649</v>
      </c>
      <c r="H342" s="3">
        <f t="shared" si="165"/>
        <v>81.256230789298584</v>
      </c>
      <c r="I342">
        <f t="shared" si="150"/>
        <v>8.1256230789298584E-5</v>
      </c>
      <c r="J342" s="4">
        <f t="shared" si="166"/>
        <v>458.88189192867782</v>
      </c>
      <c r="K342" s="40">
        <f t="shared" si="167"/>
        <v>5.6473440556033321</v>
      </c>
      <c r="L342" s="40">
        <f t="shared" si="151"/>
        <v>0.35265594439666792</v>
      </c>
      <c r="M342" s="10">
        <f t="shared" si="168"/>
        <v>5.0808170497400447</v>
      </c>
      <c r="N342" s="10">
        <f t="shared" si="147"/>
        <v>8.26</v>
      </c>
      <c r="O342" s="10">
        <f t="shared" si="148"/>
        <v>0.31900000000000001</v>
      </c>
      <c r="P342" s="10">
        <f t="shared" si="169"/>
        <v>13.87307876584118</v>
      </c>
      <c r="Q342" s="42">
        <f t="shared" si="170"/>
        <v>0.1538037551863542</v>
      </c>
      <c r="R342" s="4">
        <f t="shared" si="171"/>
        <v>62869.26549145866</v>
      </c>
      <c r="S342">
        <f t="shared" si="152"/>
        <v>6.2869265491458662E-5</v>
      </c>
      <c r="T342" s="41">
        <f t="shared" si="153"/>
        <v>1.1693510655042517E-4</v>
      </c>
      <c r="U342" s="42">
        <f t="shared" si="172"/>
        <v>0.11282204038769712</v>
      </c>
      <c r="V342" s="42">
        <f t="shared" si="173"/>
        <v>0.45616918488668123</v>
      </c>
      <c r="W342" s="42">
        <f t="shared" si="174"/>
        <v>0.45203237984647471</v>
      </c>
      <c r="X342" s="42">
        <f t="shared" si="175"/>
        <v>4.136805040206526E-3</v>
      </c>
      <c r="Y342" s="42">
        <f t="shared" si="149"/>
        <v>1.8012659460807084E-3</v>
      </c>
      <c r="Z342" s="10">
        <f t="shared" si="176"/>
        <v>15.403979174585693</v>
      </c>
      <c r="AA342">
        <f t="shared" si="154"/>
        <v>5081110.1330119921</v>
      </c>
      <c r="AB342" s="10">
        <f t="shared" si="155"/>
        <v>5.0811101330119923</v>
      </c>
      <c r="AC342" s="10">
        <f t="shared" si="156"/>
        <v>4.9801101330119923</v>
      </c>
      <c r="AD342" s="3">
        <f t="shared" si="157"/>
        <v>722.27848194517651</v>
      </c>
      <c r="AI342" s="94">
        <f t="shared" si="158"/>
        <v>0.45203237984647471</v>
      </c>
    </row>
    <row r="343" spans="2:35">
      <c r="B343" s="39">
        <f t="shared" si="159"/>
        <v>315</v>
      </c>
      <c r="C343" s="42">
        <f t="shared" si="160"/>
        <v>2.0924460431632821</v>
      </c>
      <c r="D343" s="10">
        <f t="shared" si="161"/>
        <v>3.4475539568364386</v>
      </c>
      <c r="E343" s="40">
        <f t="shared" si="162"/>
        <v>24.184892086327121</v>
      </c>
      <c r="F343" s="40">
        <f t="shared" si="163"/>
        <v>31.08</v>
      </c>
      <c r="G343" s="3">
        <f t="shared" si="164"/>
        <v>209.660431654696</v>
      </c>
      <c r="H343" s="3">
        <f t="shared" si="165"/>
        <v>81.256230789298584</v>
      </c>
      <c r="I343">
        <f t="shared" si="150"/>
        <v>8.1256230789298584E-5</v>
      </c>
      <c r="J343" s="4">
        <f t="shared" si="166"/>
        <v>459.3864584601406</v>
      </c>
      <c r="K343" s="40">
        <f t="shared" si="167"/>
        <v>5.6535536290300294</v>
      </c>
      <c r="L343" s="40">
        <f t="shared" si="151"/>
        <v>0.34644637096997055</v>
      </c>
      <c r="M343" s="10">
        <f t="shared" si="168"/>
        <v>5.0811101330119923</v>
      </c>
      <c r="N343" s="10">
        <f t="shared" si="147"/>
        <v>8.26</v>
      </c>
      <c r="O343" s="10">
        <f t="shared" si="148"/>
        <v>0.31900000000000001</v>
      </c>
      <c r="P343" s="10">
        <f t="shared" si="169"/>
        <v>13.873334043306649</v>
      </c>
      <c r="Q343" s="42">
        <f t="shared" si="170"/>
        <v>0.15428256480995126</v>
      </c>
      <c r="R343" s="4">
        <f t="shared" si="171"/>
        <v>62747.546762599595</v>
      </c>
      <c r="S343">
        <f t="shared" si="152"/>
        <v>6.2747546762599593E-5</v>
      </c>
      <c r="T343" s="41">
        <f t="shared" si="153"/>
        <v>1.1705682527928424E-4</v>
      </c>
      <c r="U343" s="42">
        <f t="shared" si="172"/>
        <v>0.1126036100428231</v>
      </c>
      <c r="V343" s="42">
        <f t="shared" si="173"/>
        <v>0.45619455856602209</v>
      </c>
      <c r="W343" s="42">
        <f t="shared" si="174"/>
        <v>0.45205898386176047</v>
      </c>
      <c r="X343" s="42">
        <f t="shared" si="175"/>
        <v>4.1355747042616242E-3</v>
      </c>
      <c r="Y343" s="42">
        <f t="shared" si="149"/>
        <v>1.8032460990482133E-3</v>
      </c>
      <c r="Z343" s="10">
        <f t="shared" si="176"/>
        <v>15.404877885128643</v>
      </c>
      <c r="AA343">
        <f t="shared" si="154"/>
        <v>5081400.6863444047</v>
      </c>
      <c r="AB343" s="10">
        <f t="shared" si="155"/>
        <v>5.0814006863444048</v>
      </c>
      <c r="AC343" s="10">
        <f t="shared" si="156"/>
        <v>4.9804006863444048</v>
      </c>
      <c r="AD343" s="3">
        <f t="shared" si="157"/>
        <v>722.3206216598121</v>
      </c>
      <c r="AI343" s="94">
        <f t="shared" si="158"/>
        <v>0.45205898386176047</v>
      </c>
    </row>
    <row r="344" spans="2:35">
      <c r="B344" s="39">
        <f t="shared" si="159"/>
        <v>316</v>
      </c>
      <c r="C344" s="42">
        <f t="shared" si="160"/>
        <v>2.0990887290145941</v>
      </c>
      <c r="D344" s="10">
        <f t="shared" si="161"/>
        <v>3.4409112709851257</v>
      </c>
      <c r="E344" s="40">
        <f t="shared" si="162"/>
        <v>24.198177458029747</v>
      </c>
      <c r="F344" s="40">
        <f t="shared" si="163"/>
        <v>31.08</v>
      </c>
      <c r="G344" s="3">
        <f t="shared" si="164"/>
        <v>209.60729016788551</v>
      </c>
      <c r="H344" s="3">
        <f t="shared" si="165"/>
        <v>81.256230789298584</v>
      </c>
      <c r="I344">
        <f t="shared" si="150"/>
        <v>8.1256230789298584E-5</v>
      </c>
      <c r="J344" s="4">
        <f t="shared" si="166"/>
        <v>459.89130223888492</v>
      </c>
      <c r="K344" s="40">
        <f t="shared" si="167"/>
        <v>5.6597666144693042</v>
      </c>
      <c r="L344" s="40">
        <f t="shared" si="151"/>
        <v>0.34023338553069582</v>
      </c>
      <c r="M344" s="10">
        <f t="shared" si="168"/>
        <v>5.0814006863444048</v>
      </c>
      <c r="N344" s="10">
        <f t="shared" si="147"/>
        <v>8.26</v>
      </c>
      <c r="O344" s="10">
        <f t="shared" si="148"/>
        <v>0.31900000000000001</v>
      </c>
      <c r="P344" s="10">
        <f t="shared" si="169"/>
        <v>13.873587107280246</v>
      </c>
      <c r="Q344" s="42">
        <f t="shared" si="170"/>
        <v>0.15476136569972448</v>
      </c>
      <c r="R344" s="4">
        <f t="shared" si="171"/>
        <v>62625.823547520486</v>
      </c>
      <c r="S344">
        <f t="shared" si="152"/>
        <v>6.262582354752048E-5</v>
      </c>
      <c r="T344" s="41">
        <f t="shared" si="153"/>
        <v>1.1717854849436335E-4</v>
      </c>
      <c r="U344" s="42">
        <f t="shared" si="172"/>
        <v>0.11238517164720288</v>
      </c>
      <c r="V344" s="42">
        <f t="shared" si="173"/>
        <v>0.45621969441969085</v>
      </c>
      <c r="W344" s="42">
        <f t="shared" si="174"/>
        <v>0.45208535822712603</v>
      </c>
      <c r="X344" s="42">
        <f t="shared" si="175"/>
        <v>4.1343361925648137E-3</v>
      </c>
      <c r="Y344" s="42">
        <f t="shared" si="149"/>
        <v>1.8052256228958351E-3</v>
      </c>
      <c r="Z344" s="10">
        <f t="shared" si="176"/>
        <v>15.405768769892827</v>
      </c>
      <c r="AA344">
        <f t="shared" si="154"/>
        <v>5081688.7096006796</v>
      </c>
      <c r="AB344" s="10">
        <f t="shared" si="155"/>
        <v>5.0816887096006793</v>
      </c>
      <c r="AC344" s="10">
        <f t="shared" si="156"/>
        <v>4.9806887096006793</v>
      </c>
      <c r="AD344" s="3">
        <f t="shared" si="157"/>
        <v>722.36239443084548</v>
      </c>
      <c r="AI344" s="94">
        <f t="shared" si="158"/>
        <v>0.45208535822712603</v>
      </c>
    </row>
    <row r="345" spans="2:35">
      <c r="B345" s="39">
        <f t="shared" si="159"/>
        <v>317</v>
      </c>
      <c r="C345" s="42">
        <f t="shared" si="160"/>
        <v>2.1057314148659061</v>
      </c>
      <c r="D345" s="10">
        <f t="shared" si="161"/>
        <v>3.4342685851338128</v>
      </c>
      <c r="E345" s="40">
        <f t="shared" si="162"/>
        <v>24.211462829732373</v>
      </c>
      <c r="F345" s="40">
        <f t="shared" si="163"/>
        <v>31.08</v>
      </c>
      <c r="G345" s="3">
        <f t="shared" si="164"/>
        <v>209.55414868107502</v>
      </c>
      <c r="H345" s="3">
        <f t="shared" si="165"/>
        <v>81.256230789298584</v>
      </c>
      <c r="I345">
        <f t="shared" si="150"/>
        <v>8.1256230789298584E-5</v>
      </c>
      <c r="J345" s="4">
        <f t="shared" si="166"/>
        <v>460.39642326491077</v>
      </c>
      <c r="K345" s="40">
        <f t="shared" si="167"/>
        <v>5.6659830119211581</v>
      </c>
      <c r="L345" s="40">
        <f t="shared" si="151"/>
        <v>0.33401698807884195</v>
      </c>
      <c r="M345" s="10">
        <f t="shared" si="168"/>
        <v>5.0816887096006793</v>
      </c>
      <c r="N345" s="10">
        <f t="shared" si="147"/>
        <v>8.26</v>
      </c>
      <c r="O345" s="10">
        <f t="shared" si="148"/>
        <v>0.31900000000000001</v>
      </c>
      <c r="P345" s="10">
        <f t="shared" si="169"/>
        <v>13.873837957901365</v>
      </c>
      <c r="Q345" s="42">
        <f t="shared" si="170"/>
        <v>0.15524015793237622</v>
      </c>
      <c r="R345" s="4">
        <f t="shared" si="171"/>
        <v>62504.095890421348</v>
      </c>
      <c r="S345">
        <f t="shared" si="152"/>
        <v>6.2504095890421346E-5</v>
      </c>
      <c r="T345" s="41">
        <f t="shared" si="153"/>
        <v>1.1730027615146249E-4</v>
      </c>
      <c r="U345" s="42">
        <f t="shared" si="172"/>
        <v>0.11216672528015562</v>
      </c>
      <c r="V345" s="42">
        <f t="shared" si="173"/>
        <v>0.45624459243506127</v>
      </c>
      <c r="W345" s="42">
        <f t="shared" si="174"/>
        <v>0.45211150293017116</v>
      </c>
      <c r="X345" s="42">
        <f t="shared" si="175"/>
        <v>4.1330895048901084E-3</v>
      </c>
      <c r="Y345" s="42">
        <f t="shared" si="149"/>
        <v>1.8072045140476308E-3</v>
      </c>
      <c r="Z345" s="10">
        <f t="shared" si="176"/>
        <v>15.406651828458623</v>
      </c>
      <c r="AA345">
        <f t="shared" si="154"/>
        <v>5081974.2026451537</v>
      </c>
      <c r="AB345" s="10">
        <f t="shared" si="155"/>
        <v>5.0819742026451538</v>
      </c>
      <c r="AC345" s="10">
        <f t="shared" si="156"/>
        <v>4.9809742026451538</v>
      </c>
      <c r="AD345" s="3">
        <f t="shared" si="157"/>
        <v>722.40380023860098</v>
      </c>
      <c r="AI345" s="94">
        <f t="shared" si="158"/>
        <v>0.45211150293017116</v>
      </c>
    </row>
    <row r="346" spans="2:35">
      <c r="B346" s="39">
        <f t="shared" si="159"/>
        <v>318</v>
      </c>
      <c r="C346" s="42">
        <f t="shared" si="160"/>
        <v>2.1123741007172181</v>
      </c>
      <c r="D346" s="10">
        <f t="shared" si="161"/>
        <v>3.4276258992824999</v>
      </c>
      <c r="E346" s="40">
        <f t="shared" si="162"/>
        <v>24.224748201434998</v>
      </c>
      <c r="F346" s="40">
        <f t="shared" si="163"/>
        <v>31.08</v>
      </c>
      <c r="G346" s="3">
        <f t="shared" si="164"/>
        <v>209.50100719426453</v>
      </c>
      <c r="H346" s="3">
        <f t="shared" si="165"/>
        <v>81.256230789298584</v>
      </c>
      <c r="I346">
        <f t="shared" si="150"/>
        <v>8.1256230789298584E-5</v>
      </c>
      <c r="J346" s="4">
        <f t="shared" si="166"/>
        <v>460.9018215382182</v>
      </c>
      <c r="K346" s="40">
        <f t="shared" si="167"/>
        <v>5.672202821385592</v>
      </c>
      <c r="L346" s="40">
        <f t="shared" si="151"/>
        <v>0.32779717861440805</v>
      </c>
      <c r="M346" s="10">
        <f t="shared" si="168"/>
        <v>5.0819742026451538</v>
      </c>
      <c r="N346" s="10">
        <f t="shared" si="147"/>
        <v>8.26</v>
      </c>
      <c r="O346" s="10">
        <f t="shared" si="148"/>
        <v>0.31900000000000001</v>
      </c>
      <c r="P346" s="10">
        <f t="shared" si="169"/>
        <v>13.874086595307945</v>
      </c>
      <c r="Q346" s="42">
        <f t="shared" si="170"/>
        <v>0.15571894158459579</v>
      </c>
      <c r="R346" s="4">
        <f t="shared" si="171"/>
        <v>62382.363835502154</v>
      </c>
      <c r="S346">
        <f t="shared" si="152"/>
        <v>6.2382363835502159E-5</v>
      </c>
      <c r="T346" s="41">
        <f t="shared" si="153"/>
        <v>1.1742200820638168E-4</v>
      </c>
      <c r="U346" s="42">
        <f t="shared" si="172"/>
        <v>0.11194827102100038</v>
      </c>
      <c r="V346" s="42">
        <f t="shared" si="173"/>
        <v>0.45626925259981604</v>
      </c>
      <c r="W346" s="42">
        <f t="shared" si="174"/>
        <v>0.4521374179585817</v>
      </c>
      <c r="X346" s="42">
        <f t="shared" si="175"/>
        <v>4.1318346412343443E-3</v>
      </c>
      <c r="Y346" s="42">
        <f t="shared" si="149"/>
        <v>1.8091827689275283E-3</v>
      </c>
      <c r="Z346" s="10">
        <f t="shared" si="176"/>
        <v>15.40752706041015</v>
      </c>
      <c r="AA346">
        <f t="shared" si="154"/>
        <v>5082257.1653433712</v>
      </c>
      <c r="AB346" s="10">
        <f t="shared" si="155"/>
        <v>5.0822571653433712</v>
      </c>
      <c r="AC346" s="10">
        <f t="shared" si="156"/>
        <v>4.9812571653433713</v>
      </c>
      <c r="AD346" s="3">
        <f t="shared" si="157"/>
        <v>722.44483906357812</v>
      </c>
      <c r="AI346" s="94">
        <f t="shared" si="158"/>
        <v>0.4521374179585817</v>
      </c>
    </row>
    <row r="347" spans="2:35">
      <c r="B347" s="39">
        <f t="shared" si="159"/>
        <v>319</v>
      </c>
      <c r="C347" s="42">
        <f t="shared" si="160"/>
        <v>2.1190167865685301</v>
      </c>
      <c r="D347" s="10">
        <f t="shared" si="161"/>
        <v>3.4209832134311871</v>
      </c>
      <c r="E347" s="40">
        <f t="shared" si="162"/>
        <v>24.238033573137624</v>
      </c>
      <c r="F347" s="40">
        <f t="shared" si="163"/>
        <v>31.08</v>
      </c>
      <c r="G347" s="3">
        <f t="shared" si="164"/>
        <v>209.44786570745404</v>
      </c>
      <c r="H347" s="3">
        <f t="shared" si="165"/>
        <v>81.256230789298584</v>
      </c>
      <c r="I347">
        <f t="shared" si="150"/>
        <v>8.1256230789298584E-5</v>
      </c>
      <c r="J347" s="4">
        <f t="shared" si="166"/>
        <v>461.40749705880717</v>
      </c>
      <c r="K347" s="40">
        <f t="shared" si="167"/>
        <v>5.6784260428626032</v>
      </c>
      <c r="L347" s="40">
        <f t="shared" si="151"/>
        <v>0.32157395713739678</v>
      </c>
      <c r="M347" s="10">
        <f t="shared" si="168"/>
        <v>5.0822571653433712</v>
      </c>
      <c r="N347" s="10">
        <f t="shared" si="147"/>
        <v>8.26</v>
      </c>
      <c r="O347" s="10">
        <f t="shared" si="148"/>
        <v>0.31900000000000001</v>
      </c>
      <c r="P347" s="10">
        <f t="shared" si="169"/>
        <v>13.87433301963671</v>
      </c>
      <c r="Q347" s="42">
        <f t="shared" si="170"/>
        <v>0.15619771673305954</v>
      </c>
      <c r="R347" s="4">
        <f t="shared" si="171"/>
        <v>62260.627426962928</v>
      </c>
      <c r="S347">
        <f t="shared" si="152"/>
        <v>6.2260627426962927E-5</v>
      </c>
      <c r="T347" s="41">
        <f t="shared" si="153"/>
        <v>1.1754374461492091E-4</v>
      </c>
      <c r="U347" s="42">
        <f t="shared" si="172"/>
        <v>0.11172980894905632</v>
      </c>
      <c r="V347" s="42">
        <f t="shared" si="173"/>
        <v>0.45629367490155426</v>
      </c>
      <c r="W347" s="42">
        <f t="shared" si="174"/>
        <v>0.45216310330015264</v>
      </c>
      <c r="X347" s="42">
        <f t="shared" si="175"/>
        <v>4.1305716014016225E-3</v>
      </c>
      <c r="Y347" s="42">
        <f t="shared" si="149"/>
        <v>1.8111603839592295E-3</v>
      </c>
      <c r="Z347" s="10">
        <f t="shared" si="176"/>
        <v>15.408394465334418</v>
      </c>
      <c r="AA347">
        <f t="shared" si="154"/>
        <v>5082537.5975618139</v>
      </c>
      <c r="AB347" s="10">
        <f t="shared" si="155"/>
        <v>5.0825375975618137</v>
      </c>
      <c r="AC347" s="10">
        <f t="shared" si="156"/>
        <v>4.9815375975618137</v>
      </c>
      <c r="AD347" s="3">
        <f t="shared" si="157"/>
        <v>722.4855108864125</v>
      </c>
      <c r="AI347" s="94">
        <f t="shared" si="158"/>
        <v>0.45216310330015264</v>
      </c>
    </row>
    <row r="348" spans="2:35">
      <c r="B348" s="39">
        <f t="shared" si="159"/>
        <v>320</v>
      </c>
      <c r="C348" s="42">
        <f t="shared" si="160"/>
        <v>2.1256594724198421</v>
      </c>
      <c r="D348" s="10">
        <f t="shared" si="161"/>
        <v>3.4143405275798742</v>
      </c>
      <c r="E348" s="40">
        <f t="shared" si="162"/>
        <v>24.25131894484025</v>
      </c>
      <c r="F348" s="40">
        <f t="shared" si="163"/>
        <v>31.08</v>
      </c>
      <c r="G348" s="3">
        <f t="shared" si="164"/>
        <v>209.39472422064355</v>
      </c>
      <c r="H348" s="3">
        <f t="shared" si="165"/>
        <v>81.256230789298584</v>
      </c>
      <c r="I348">
        <f t="shared" si="150"/>
        <v>8.1256230789298584E-5</v>
      </c>
      <c r="J348" s="4">
        <f t="shared" si="166"/>
        <v>461.91344982667778</v>
      </c>
      <c r="K348" s="40">
        <f t="shared" si="167"/>
        <v>5.6846526763521945</v>
      </c>
      <c r="L348" s="40">
        <f t="shared" si="151"/>
        <v>0.31534732364780549</v>
      </c>
      <c r="M348" s="10">
        <f t="shared" si="168"/>
        <v>5.0825375975618137</v>
      </c>
      <c r="N348" s="10">
        <f t="shared" ref="N348:N411" si="177">IF(fueltype=1,VLOOKUP($M348,kndxbn_,4),IF(fueltype=2,VLOOKUP($M348,knsobn_,4),IF(fueltype=3,VLOOKUP($M348,knsbcobn_,4),IF(fueltype=4,VLOOKUP($M348,knsubn_,4),IF(fueltype=5,am_1,IF(fueltype=6,am_0,IF(fueltype=7,am_3,am_4)))))))</f>
        <v>8.26</v>
      </c>
      <c r="O348" s="10">
        <f t="shared" ref="O348:O411" si="178">IF(fueltype=1,VLOOKUP($M348,kndxbn_,5),IF(fueltype=2,VLOOKUP($M348,knsobn_,5),IF(fueltype=3,VLOOKUP($M348,knsbcobn_,5),IF(fueltype=4,VLOOKUP($M348,knsubn_,5),IF(fueltype=5,nm_1,IF(fueltype=6,an_0,IF(fueltype=7,nm_3,nm_4)))))))</f>
        <v>0.31900000000000001</v>
      </c>
      <c r="P348" s="10">
        <f t="shared" si="169"/>
        <v>13.874577231022922</v>
      </c>
      <c r="Q348" s="42">
        <f t="shared" si="170"/>
        <v>0.156676483454431</v>
      </c>
      <c r="R348" s="4">
        <f t="shared" si="171"/>
        <v>62138.886709003629</v>
      </c>
      <c r="S348">
        <f t="shared" si="152"/>
        <v>6.2138886709003634E-5</v>
      </c>
      <c r="T348" s="41">
        <f t="shared" si="153"/>
        <v>1.176654853328802E-4</v>
      </c>
      <c r="U348" s="42">
        <f t="shared" si="172"/>
        <v>0.11151133914364246</v>
      </c>
      <c r="V348" s="42">
        <f t="shared" si="173"/>
        <v>0.45631785932831859</v>
      </c>
      <c r="W348" s="42">
        <f t="shared" si="174"/>
        <v>0.45218855894276394</v>
      </c>
      <c r="X348" s="42">
        <f t="shared" si="175"/>
        <v>4.1293003855546462E-3</v>
      </c>
      <c r="Y348" s="42">
        <f t="shared" si="149"/>
        <v>1.8131373555663793E-3</v>
      </c>
      <c r="Z348" s="10">
        <f t="shared" si="176"/>
        <v>15.409254042822701</v>
      </c>
      <c r="AA348">
        <f t="shared" si="154"/>
        <v>5082815.4991683392</v>
      </c>
      <c r="AB348" s="10">
        <f t="shared" si="155"/>
        <v>5.0828154991683387</v>
      </c>
      <c r="AC348" s="10">
        <f t="shared" si="156"/>
        <v>4.9818154991683388</v>
      </c>
      <c r="AD348" s="3">
        <f t="shared" si="157"/>
        <v>722.52581568793892</v>
      </c>
      <c r="AI348" s="94">
        <f t="shared" si="158"/>
        <v>0.45218855894276394</v>
      </c>
    </row>
    <row r="349" spans="2:35">
      <c r="B349" s="39">
        <f t="shared" si="159"/>
        <v>321</v>
      </c>
      <c r="C349" s="42">
        <f t="shared" si="160"/>
        <v>2.1323021582711541</v>
      </c>
      <c r="D349" s="10">
        <f t="shared" si="161"/>
        <v>3.4076978417285613</v>
      </c>
      <c r="E349" s="40">
        <f t="shared" si="162"/>
        <v>24.264604316542876</v>
      </c>
      <c r="F349" s="40">
        <f t="shared" si="163"/>
        <v>31.08</v>
      </c>
      <c r="G349" s="3">
        <f t="shared" si="164"/>
        <v>209.34158273383306</v>
      </c>
      <c r="H349" s="3">
        <f t="shared" si="165"/>
        <v>81.256230789298584</v>
      </c>
      <c r="I349">
        <f t="shared" si="150"/>
        <v>8.1256230789298584E-5</v>
      </c>
      <c r="J349" s="4">
        <f t="shared" si="166"/>
        <v>462.41967984182986</v>
      </c>
      <c r="K349" s="40">
        <f t="shared" si="167"/>
        <v>5.6908827218543632</v>
      </c>
      <c r="L349" s="40">
        <f t="shared" si="151"/>
        <v>0.30911727814563683</v>
      </c>
      <c r="M349" s="10">
        <f t="shared" si="168"/>
        <v>5.0828154991683387</v>
      </c>
      <c r="N349" s="10">
        <f t="shared" si="177"/>
        <v>8.26</v>
      </c>
      <c r="O349" s="10">
        <f t="shared" si="178"/>
        <v>0.31900000000000001</v>
      </c>
      <c r="P349" s="10">
        <f t="shared" si="169"/>
        <v>13.874819229600774</v>
      </c>
      <c r="Q349" s="42">
        <f t="shared" si="170"/>
        <v>0.157155241825361</v>
      </c>
      <c r="R349" s="4">
        <f t="shared" si="171"/>
        <v>62017.141725824302</v>
      </c>
      <c r="S349">
        <f t="shared" si="152"/>
        <v>6.2017141725824299E-5</v>
      </c>
      <c r="T349" s="41">
        <f t="shared" si="153"/>
        <v>1.1778723031605953E-4</v>
      </c>
      <c r="U349" s="42">
        <f t="shared" si="172"/>
        <v>0.11129286168407798</v>
      </c>
      <c r="V349" s="42">
        <f t="shared" si="173"/>
        <v>0.4563418058677039</v>
      </c>
      <c r="W349" s="42">
        <f t="shared" si="174"/>
        <v>0.45221378487442099</v>
      </c>
      <c r="X349" s="42">
        <f t="shared" si="175"/>
        <v>4.1280209932829104E-3</v>
      </c>
      <c r="Y349" s="42">
        <f t="shared" si="149"/>
        <v>1.8151136801722882E-3</v>
      </c>
      <c r="Z349" s="10">
        <f t="shared" si="176"/>
        <v>15.410105792468142</v>
      </c>
      <c r="AA349">
        <f t="shared" si="154"/>
        <v>5083090.8700314118</v>
      </c>
      <c r="AB349" s="10">
        <f t="shared" si="155"/>
        <v>5.0830908700314117</v>
      </c>
      <c r="AC349" s="10">
        <f t="shared" si="156"/>
        <v>4.9820908700314117</v>
      </c>
      <c r="AD349" s="3">
        <f t="shared" si="157"/>
        <v>722.56575344908072</v>
      </c>
      <c r="AI349" s="94">
        <f t="shared" si="158"/>
        <v>0.45221378487442099</v>
      </c>
    </row>
    <row r="350" spans="2:35">
      <c r="B350" s="39">
        <f t="shared" si="159"/>
        <v>322</v>
      </c>
      <c r="C350" s="42">
        <f t="shared" si="160"/>
        <v>2.1389448441224661</v>
      </c>
      <c r="D350" s="10">
        <f t="shared" si="161"/>
        <v>3.4010551558772484</v>
      </c>
      <c r="E350" s="40">
        <f t="shared" si="162"/>
        <v>24.277889688245502</v>
      </c>
      <c r="F350" s="40">
        <f t="shared" si="163"/>
        <v>31.08</v>
      </c>
      <c r="G350" s="3">
        <f t="shared" si="164"/>
        <v>209.28844124702258</v>
      </c>
      <c r="H350" s="3">
        <f t="shared" si="165"/>
        <v>81.256230789298584</v>
      </c>
      <c r="I350">
        <f t="shared" si="150"/>
        <v>8.1256230789298584E-5</v>
      </c>
      <c r="J350" s="4">
        <f t="shared" si="166"/>
        <v>462.92618710426353</v>
      </c>
      <c r="K350" s="40">
        <f t="shared" si="167"/>
        <v>5.6971161793691119</v>
      </c>
      <c r="L350" s="40">
        <f t="shared" si="151"/>
        <v>0.30288382063088815</v>
      </c>
      <c r="M350" s="10">
        <f t="shared" si="168"/>
        <v>5.0830908700314117</v>
      </c>
      <c r="N350" s="10">
        <f t="shared" si="177"/>
        <v>8.26</v>
      </c>
      <c r="O350" s="10">
        <f t="shared" si="178"/>
        <v>0.31900000000000001</v>
      </c>
      <c r="P350" s="10">
        <f t="shared" si="169"/>
        <v>13.875059015502718</v>
      </c>
      <c r="Q350" s="42">
        <f t="shared" si="170"/>
        <v>0.15763399192248781</v>
      </c>
      <c r="R350" s="4">
        <f t="shared" si="171"/>
        <v>61895.392521624919</v>
      </c>
      <c r="S350">
        <f t="shared" si="152"/>
        <v>6.189539252162492E-5</v>
      </c>
      <c r="T350" s="41">
        <f t="shared" si="153"/>
        <v>1.1790897952025891E-4</v>
      </c>
      <c r="U350" s="42">
        <f t="shared" si="172"/>
        <v>0.11107437664968199</v>
      </c>
      <c r="V350" s="42">
        <f t="shared" si="173"/>
        <v>0.45636551450791718</v>
      </c>
      <c r="W350" s="42">
        <f t="shared" si="174"/>
        <v>0.45223878108318366</v>
      </c>
      <c r="X350" s="42">
        <f t="shared" si="175"/>
        <v>4.1267334247335197E-3</v>
      </c>
      <c r="Y350" s="42">
        <f t="shared" ref="Y350:Y413" si="179">IF((X350*(Q350-Q349)+Y349)&lt;0,0,X350*(Q350-Q349)+Y349)</f>
        <v>1.8170893542001959E-3</v>
      </c>
      <c r="Z350" s="10">
        <f t="shared" si="176"/>
        <v>15.410949713867948</v>
      </c>
      <c r="AA350">
        <f t="shared" si="154"/>
        <v>5083363.7100208076</v>
      </c>
      <c r="AB350" s="10">
        <f t="shared" si="155"/>
        <v>5.0833637100208078</v>
      </c>
      <c r="AC350" s="10">
        <f t="shared" si="156"/>
        <v>4.9823637100208078</v>
      </c>
      <c r="AD350" s="3">
        <f t="shared" si="157"/>
        <v>722.60532415095111</v>
      </c>
      <c r="AI350" s="94">
        <f t="shared" si="158"/>
        <v>0.45223878108318366</v>
      </c>
    </row>
    <row r="351" spans="2:35">
      <c r="B351" s="39">
        <f t="shared" si="159"/>
        <v>323</v>
      </c>
      <c r="C351" s="42">
        <f t="shared" si="160"/>
        <v>2.1455875299737781</v>
      </c>
      <c r="D351" s="10">
        <f t="shared" si="161"/>
        <v>3.3944124700259355</v>
      </c>
      <c r="E351" s="40">
        <f t="shared" si="162"/>
        <v>24.291175059948127</v>
      </c>
      <c r="F351" s="40">
        <f t="shared" si="163"/>
        <v>31.08</v>
      </c>
      <c r="G351" s="3">
        <f t="shared" si="164"/>
        <v>209.23529976021209</v>
      </c>
      <c r="H351" s="3">
        <f t="shared" si="165"/>
        <v>81.256230789298584</v>
      </c>
      <c r="I351">
        <f t="shared" si="150"/>
        <v>8.1256230789298584E-5</v>
      </c>
      <c r="J351" s="4">
        <f t="shared" si="166"/>
        <v>463.43297161397874</v>
      </c>
      <c r="K351" s="40">
        <f t="shared" si="167"/>
        <v>5.7033530488964388</v>
      </c>
      <c r="L351" s="40">
        <f t="shared" si="151"/>
        <v>0.29664695110356121</v>
      </c>
      <c r="M351" s="10">
        <f t="shared" si="168"/>
        <v>5.0833637100208078</v>
      </c>
      <c r="N351" s="10">
        <f t="shared" si="177"/>
        <v>8.26</v>
      </c>
      <c r="O351" s="10">
        <f t="shared" si="178"/>
        <v>0.31900000000000001</v>
      </c>
      <c r="P351" s="10">
        <f t="shared" si="169"/>
        <v>13.875296588860076</v>
      </c>
      <c r="Q351" s="42">
        <f t="shared" si="170"/>
        <v>0.15811273382243718</v>
      </c>
      <c r="R351" s="4">
        <f t="shared" si="171"/>
        <v>61773.639140605483</v>
      </c>
      <c r="S351">
        <f t="shared" si="152"/>
        <v>6.1773639140605478E-5</v>
      </c>
      <c r="T351" s="41">
        <f t="shared" si="153"/>
        <v>1.1803073290127836E-4</v>
      </c>
      <c r="U351" s="42">
        <f t="shared" si="172"/>
        <v>0.11085588411977355</v>
      </c>
      <c r="V351" s="42">
        <f t="shared" si="173"/>
        <v>0.45638898523723187</v>
      </c>
      <c r="W351" s="42">
        <f t="shared" si="174"/>
        <v>0.45226354755723108</v>
      </c>
      <c r="X351" s="42">
        <f t="shared" si="175"/>
        <v>4.1254376800007875E-3</v>
      </c>
      <c r="Y351" s="42">
        <f t="shared" si="179"/>
        <v>1.8190643740732422E-3</v>
      </c>
      <c r="Z351" s="10">
        <f t="shared" si="176"/>
        <v>15.411785806623087</v>
      </c>
      <c r="AA351">
        <f t="shared" si="154"/>
        <v>5083634.0190075189</v>
      </c>
      <c r="AB351" s="10">
        <f t="shared" si="155"/>
        <v>5.0836340190075191</v>
      </c>
      <c r="AC351" s="10">
        <f t="shared" si="156"/>
        <v>4.9826340190075191</v>
      </c>
      <c r="AD351" s="3">
        <f t="shared" si="157"/>
        <v>722.64452777483962</v>
      </c>
      <c r="AI351" s="94">
        <f t="shared" si="158"/>
        <v>0.45226354755723108</v>
      </c>
    </row>
    <row r="352" spans="2:35">
      <c r="B352" s="39">
        <f t="shared" si="159"/>
        <v>324</v>
      </c>
      <c r="C352" s="42">
        <f t="shared" si="160"/>
        <v>2.1522302158250901</v>
      </c>
      <c r="D352" s="10">
        <f t="shared" si="161"/>
        <v>3.3877697841746226</v>
      </c>
      <c r="E352" s="40">
        <f t="shared" si="162"/>
        <v>24.304460431650753</v>
      </c>
      <c r="F352" s="40">
        <f t="shared" si="163"/>
        <v>31.08</v>
      </c>
      <c r="G352" s="3">
        <f t="shared" si="164"/>
        <v>209.1821582734016</v>
      </c>
      <c r="H352" s="3">
        <f t="shared" si="165"/>
        <v>81.256230789298584</v>
      </c>
      <c r="I352">
        <f t="shared" si="150"/>
        <v>8.1256230789298584E-5</v>
      </c>
      <c r="J352" s="4">
        <f t="shared" si="166"/>
        <v>463.94003337097558</v>
      </c>
      <c r="K352" s="40">
        <f t="shared" si="167"/>
        <v>5.7095933304363449</v>
      </c>
      <c r="L352" s="40">
        <f t="shared" si="151"/>
        <v>0.29040666956365513</v>
      </c>
      <c r="M352" s="10">
        <f t="shared" si="168"/>
        <v>5.0836340190075191</v>
      </c>
      <c r="N352" s="10">
        <f t="shared" si="177"/>
        <v>8.26</v>
      </c>
      <c r="O352" s="10">
        <f t="shared" si="178"/>
        <v>0.31900000000000001</v>
      </c>
      <c r="P352" s="10">
        <f t="shared" si="169"/>
        <v>13.875531949802962</v>
      </c>
      <c r="Q352" s="42">
        <f t="shared" si="170"/>
        <v>0.15859146760182258</v>
      </c>
      <c r="R352" s="4">
        <f t="shared" si="171"/>
        <v>61651.88162696598</v>
      </c>
      <c r="S352">
        <f t="shared" si="152"/>
        <v>6.1651881626965981E-5</v>
      </c>
      <c r="T352" s="41">
        <f t="shared" si="153"/>
        <v>1.1815249041491785E-4</v>
      </c>
      <c r="U352" s="42">
        <f t="shared" si="172"/>
        <v>0.11063738417367179</v>
      </c>
      <c r="V352" s="42">
        <f t="shared" si="173"/>
        <v>0.45641221804376331</v>
      </c>
      <c r="W352" s="42">
        <f t="shared" si="174"/>
        <v>0.45228808428485318</v>
      </c>
      <c r="X352" s="42">
        <f t="shared" si="175"/>
        <v>4.1241337589101312E-3</v>
      </c>
      <c r="Y352" s="42">
        <f t="shared" si="179"/>
        <v>1.8210387362143361E-3</v>
      </c>
      <c r="Z352" s="10">
        <f t="shared" si="176"/>
        <v>15.412614070337133</v>
      </c>
      <c r="AA352">
        <f t="shared" si="154"/>
        <v>5083901.7968633818</v>
      </c>
      <c r="AB352" s="10">
        <f t="shared" si="155"/>
        <v>5.0839017968633815</v>
      </c>
      <c r="AC352" s="10">
        <f t="shared" si="156"/>
        <v>4.9829017968633815</v>
      </c>
      <c r="AD352" s="3">
        <f t="shared" si="157"/>
        <v>722.68336430215834</v>
      </c>
      <c r="AI352" s="94">
        <f t="shared" si="158"/>
        <v>0.45228808428485318</v>
      </c>
    </row>
    <row r="353" spans="2:35">
      <c r="B353" s="39">
        <f t="shared" si="159"/>
        <v>325</v>
      </c>
      <c r="C353" s="42">
        <f t="shared" si="160"/>
        <v>2.1588729016764021</v>
      </c>
      <c r="D353" s="10">
        <f t="shared" si="161"/>
        <v>3.3811270983233097</v>
      </c>
      <c r="E353" s="40">
        <f t="shared" si="162"/>
        <v>24.317745803353379</v>
      </c>
      <c r="F353" s="40">
        <f t="shared" si="163"/>
        <v>31.08</v>
      </c>
      <c r="G353" s="3">
        <f t="shared" si="164"/>
        <v>209.12901678659111</v>
      </c>
      <c r="H353" s="3">
        <f t="shared" si="165"/>
        <v>81.256230789298584</v>
      </c>
      <c r="I353">
        <f t="shared" si="150"/>
        <v>8.1256230789298584E-5</v>
      </c>
      <c r="J353" s="4">
        <f t="shared" si="166"/>
        <v>464.44737237525391</v>
      </c>
      <c r="K353" s="40">
        <f t="shared" si="167"/>
        <v>5.7158370239888292</v>
      </c>
      <c r="L353" s="40">
        <f t="shared" si="151"/>
        <v>0.2841629760111708</v>
      </c>
      <c r="M353" s="10">
        <f t="shared" si="168"/>
        <v>5.0839017968633815</v>
      </c>
      <c r="N353" s="10">
        <f t="shared" si="177"/>
        <v>8.26</v>
      </c>
      <c r="O353" s="10">
        <f t="shared" si="178"/>
        <v>0.31900000000000001</v>
      </c>
      <c r="P353" s="10">
        <f t="shared" si="169"/>
        <v>13.875765098459954</v>
      </c>
      <c r="Q353" s="42">
        <f t="shared" si="170"/>
        <v>0.1590701933372452</v>
      </c>
      <c r="R353" s="4">
        <f t="shared" si="171"/>
        <v>61530.120024906442</v>
      </c>
      <c r="S353">
        <f t="shared" si="152"/>
        <v>6.1530120024906438E-5</v>
      </c>
      <c r="T353" s="41">
        <f t="shared" si="153"/>
        <v>1.182742520169774E-4</v>
      </c>
      <c r="U353" s="42">
        <f t="shared" si="172"/>
        <v>0.11041887689069585</v>
      </c>
      <c r="V353" s="42">
        <f t="shared" si="173"/>
        <v>0.45643521291588834</v>
      </c>
      <c r="W353" s="42">
        <f t="shared" si="174"/>
        <v>0.45231239125441586</v>
      </c>
      <c r="X353" s="42">
        <f t="shared" si="175"/>
        <v>4.1228216614724866E-3</v>
      </c>
      <c r="Y353" s="42">
        <f t="shared" si="179"/>
        <v>1.8230124370462409E-3</v>
      </c>
      <c r="Z353" s="10">
        <f t="shared" si="176"/>
        <v>15.413434504616955</v>
      </c>
      <c r="AA353">
        <f t="shared" si="154"/>
        <v>5084167.0434612967</v>
      </c>
      <c r="AB353" s="10">
        <f t="shared" si="155"/>
        <v>5.0841670434612967</v>
      </c>
      <c r="AC353" s="10">
        <f t="shared" si="156"/>
        <v>4.9831670434612967</v>
      </c>
      <c r="AD353" s="3">
        <f t="shared" si="157"/>
        <v>722.72183371447375</v>
      </c>
      <c r="AI353" s="94">
        <f t="shared" si="158"/>
        <v>0.45231239125441586</v>
      </c>
    </row>
    <row r="354" spans="2:35">
      <c r="B354" s="39">
        <f t="shared" si="159"/>
        <v>326</v>
      </c>
      <c r="C354" s="42">
        <f t="shared" si="160"/>
        <v>2.1655155875277141</v>
      </c>
      <c r="D354" s="10">
        <f t="shared" si="161"/>
        <v>3.3744844124719968</v>
      </c>
      <c r="E354" s="40">
        <f t="shared" si="162"/>
        <v>24.331031175056005</v>
      </c>
      <c r="F354" s="40">
        <f t="shared" si="163"/>
        <v>31.08</v>
      </c>
      <c r="G354" s="3">
        <f t="shared" si="164"/>
        <v>209.07587529978062</v>
      </c>
      <c r="H354" s="3">
        <f t="shared" si="165"/>
        <v>81.256230789298584</v>
      </c>
      <c r="I354">
        <f t="shared" si="150"/>
        <v>8.1256230789298584E-5</v>
      </c>
      <c r="J354" s="4">
        <f t="shared" si="166"/>
        <v>464.95498862681376</v>
      </c>
      <c r="K354" s="40">
        <f t="shared" si="167"/>
        <v>5.7220841295538918</v>
      </c>
      <c r="L354" s="40">
        <f t="shared" si="151"/>
        <v>0.27791587044610822</v>
      </c>
      <c r="M354" s="10">
        <f t="shared" si="168"/>
        <v>5.0841670434612967</v>
      </c>
      <c r="N354" s="10">
        <f t="shared" si="177"/>
        <v>8.26</v>
      </c>
      <c r="O354" s="10">
        <f t="shared" si="178"/>
        <v>0.31900000000000001</v>
      </c>
      <c r="P354" s="10">
        <f t="shared" si="169"/>
        <v>13.875996034958289</v>
      </c>
      <c r="Q354" s="42">
        <f t="shared" si="170"/>
        <v>0.15954891110529421</v>
      </c>
      <c r="R354" s="4">
        <f t="shared" si="171"/>
        <v>61408.354378626849</v>
      </c>
      <c r="S354">
        <f t="shared" si="152"/>
        <v>6.1408354378626845E-5</v>
      </c>
      <c r="T354" s="41">
        <f t="shared" si="153"/>
        <v>1.1839601766325699E-4</v>
      </c>
      <c r="U354" s="42">
        <f t="shared" si="172"/>
        <v>0.11020036235016481</v>
      </c>
      <c r="V354" s="42">
        <f t="shared" si="173"/>
        <v>0.45645796984220527</v>
      </c>
      <c r="W354" s="42">
        <f t="shared" si="174"/>
        <v>0.45233646845438202</v>
      </c>
      <c r="X354" s="42">
        <f t="shared" si="175"/>
        <v>4.1215013878232454E-3</v>
      </c>
      <c r="Y354" s="42">
        <f t="shared" si="179"/>
        <v>1.8249854729916306E-3</v>
      </c>
      <c r="Z354" s="10">
        <f t="shared" si="176"/>
        <v>15.414247109073132</v>
      </c>
      <c r="AA354">
        <f t="shared" si="154"/>
        <v>5084429.7586753638</v>
      </c>
      <c r="AB354" s="10">
        <f t="shared" si="155"/>
        <v>5.0844297586753635</v>
      </c>
      <c r="AC354" s="10">
        <f t="shared" si="156"/>
        <v>4.9834297586753635</v>
      </c>
      <c r="AD354" s="3">
        <f t="shared" si="157"/>
        <v>722.75993599352626</v>
      </c>
      <c r="AI354" s="94">
        <f t="shared" si="158"/>
        <v>0.45233646845438202</v>
      </c>
    </row>
    <row r="355" spans="2:35">
      <c r="B355" s="39">
        <f t="shared" si="159"/>
        <v>327</v>
      </c>
      <c r="C355" s="42">
        <f t="shared" si="160"/>
        <v>2.1721582733790261</v>
      </c>
      <c r="D355" s="10">
        <f t="shared" si="161"/>
        <v>3.3678417266206839</v>
      </c>
      <c r="E355" s="40">
        <f t="shared" si="162"/>
        <v>24.34431654675863</v>
      </c>
      <c r="F355" s="40">
        <f t="shared" si="163"/>
        <v>31.08</v>
      </c>
      <c r="G355" s="3">
        <f t="shared" si="164"/>
        <v>209.02273381297013</v>
      </c>
      <c r="H355" s="3">
        <f t="shared" si="165"/>
        <v>81.256230789298584</v>
      </c>
      <c r="I355">
        <f t="shared" si="150"/>
        <v>8.1256230789298584E-5</v>
      </c>
      <c r="J355" s="4">
        <f t="shared" si="166"/>
        <v>465.46288212565531</v>
      </c>
      <c r="K355" s="40">
        <f t="shared" si="167"/>
        <v>5.7283346471315353</v>
      </c>
      <c r="L355" s="40">
        <f t="shared" si="151"/>
        <v>0.27166535286846472</v>
      </c>
      <c r="M355" s="10">
        <f t="shared" si="168"/>
        <v>5.0844297586753635</v>
      </c>
      <c r="N355" s="10">
        <f t="shared" si="177"/>
        <v>8.26</v>
      </c>
      <c r="O355" s="10">
        <f t="shared" si="178"/>
        <v>0.31900000000000001</v>
      </c>
      <c r="P355" s="10">
        <f t="shared" si="169"/>
        <v>13.876224759423986</v>
      </c>
      <c r="Q355" s="42">
        <f t="shared" si="170"/>
        <v>0.16002762098254672</v>
      </c>
      <c r="R355" s="4">
        <f t="shared" si="171"/>
        <v>61286.584732327166</v>
      </c>
      <c r="S355">
        <f t="shared" si="152"/>
        <v>6.1286584732327169E-5</v>
      </c>
      <c r="T355" s="41">
        <f t="shared" si="153"/>
        <v>1.1851778730955666E-4</v>
      </c>
      <c r="U355" s="42">
        <f t="shared" si="172"/>
        <v>0.10998184063139771</v>
      </c>
      <c r="V355" s="42">
        <f t="shared" si="173"/>
        <v>0.45648048881145764</v>
      </c>
      <c r="W355" s="42">
        <f t="shared" si="174"/>
        <v>0.45236031587332343</v>
      </c>
      <c r="X355" s="42">
        <f t="shared" si="175"/>
        <v>4.1201729381342145E-3</v>
      </c>
      <c r="Y355" s="42">
        <f t="shared" si="179"/>
        <v>1.826957840473104E-3</v>
      </c>
      <c r="Z355" s="10">
        <f t="shared" si="176"/>
        <v>15.415051883320029</v>
      </c>
      <c r="AA355">
        <f t="shared" si="154"/>
        <v>5084689.942380907</v>
      </c>
      <c r="AB355" s="10">
        <f t="shared" si="155"/>
        <v>5.0846899423809067</v>
      </c>
      <c r="AC355" s="10">
        <f t="shared" si="156"/>
        <v>4.9836899423809067</v>
      </c>
      <c r="AD355" s="3">
        <f t="shared" si="157"/>
        <v>722.79767112123375</v>
      </c>
      <c r="AI355" s="94">
        <f t="shared" si="158"/>
        <v>0.45236031587332343</v>
      </c>
    </row>
    <row r="356" spans="2:35">
      <c r="B356" s="39">
        <f t="shared" si="159"/>
        <v>328</v>
      </c>
      <c r="C356" s="42">
        <f t="shared" si="160"/>
        <v>2.1788009592303381</v>
      </c>
      <c r="D356" s="10">
        <f t="shared" si="161"/>
        <v>3.361199040769371</v>
      </c>
      <c r="E356" s="40">
        <f t="shared" si="162"/>
        <v>24.357601918461256</v>
      </c>
      <c r="F356" s="40">
        <f t="shared" si="163"/>
        <v>31.08</v>
      </c>
      <c r="G356" s="3">
        <f t="shared" si="164"/>
        <v>208.96959232615964</v>
      </c>
      <c r="H356" s="3">
        <f t="shared" si="165"/>
        <v>81.256230789298584</v>
      </c>
      <c r="I356">
        <f t="shared" si="150"/>
        <v>8.1256230789298584E-5</v>
      </c>
      <c r="J356" s="4">
        <f t="shared" si="166"/>
        <v>465.97105287177828</v>
      </c>
      <c r="K356" s="40">
        <f t="shared" si="167"/>
        <v>5.7345885767217561</v>
      </c>
      <c r="L356" s="40">
        <f t="shared" si="151"/>
        <v>0.26541142327824385</v>
      </c>
      <c r="M356" s="10">
        <f t="shared" si="168"/>
        <v>5.0846899423809067</v>
      </c>
      <c r="N356" s="10">
        <f t="shared" si="177"/>
        <v>8.26</v>
      </c>
      <c r="O356" s="10">
        <f t="shared" si="178"/>
        <v>0.31900000000000001</v>
      </c>
      <c r="P356" s="10">
        <f t="shared" si="169"/>
        <v>13.876451271981848</v>
      </c>
      <c r="Q356" s="42">
        <f t="shared" si="170"/>
        <v>0.160506323045568</v>
      </c>
      <c r="R356" s="4">
        <f t="shared" si="171"/>
        <v>61164.811130207447</v>
      </c>
      <c r="S356">
        <f t="shared" si="152"/>
        <v>6.1164811130207447E-5</v>
      </c>
      <c r="T356" s="41">
        <f t="shared" si="153"/>
        <v>1.1863956091167639E-4</v>
      </c>
      <c r="U356" s="42">
        <f t="shared" si="172"/>
        <v>0.10976331181371377</v>
      </c>
      <c r="V356" s="42">
        <f t="shared" si="173"/>
        <v>0.45650276981202292</v>
      </c>
      <c r="W356" s="42">
        <f t="shared" si="174"/>
        <v>0.45238393349992284</v>
      </c>
      <c r="X356" s="42">
        <f t="shared" si="175"/>
        <v>4.1188363121000826E-3</v>
      </c>
      <c r="Y356" s="42">
        <f t="shared" si="179"/>
        <v>1.8289295359129533E-3</v>
      </c>
      <c r="Z356" s="10">
        <f t="shared" si="176"/>
        <v>15.415848826973802</v>
      </c>
      <c r="AA356">
        <f t="shared" si="154"/>
        <v>5084947.5944538303</v>
      </c>
      <c r="AB356" s="10">
        <f t="shared" si="155"/>
        <v>5.0849475944538307</v>
      </c>
      <c r="AC356" s="10">
        <f t="shared" si="156"/>
        <v>4.9839475944538307</v>
      </c>
      <c r="AD356" s="3">
        <f t="shared" si="157"/>
        <v>722.83503907959835</v>
      </c>
      <c r="AI356" s="94">
        <f t="shared" si="158"/>
        <v>0.45238393349992284</v>
      </c>
    </row>
    <row r="357" spans="2:35">
      <c r="B357" s="39">
        <f t="shared" si="159"/>
        <v>329</v>
      </c>
      <c r="C357" s="42">
        <f t="shared" si="160"/>
        <v>2.1854436450816501</v>
      </c>
      <c r="D357" s="10">
        <f t="shared" si="161"/>
        <v>3.3545563549180581</v>
      </c>
      <c r="E357" s="40">
        <f t="shared" si="162"/>
        <v>24.370887290163882</v>
      </c>
      <c r="F357" s="40">
        <f t="shared" si="163"/>
        <v>31.08</v>
      </c>
      <c r="G357" s="3">
        <f t="shared" si="164"/>
        <v>208.91645083934915</v>
      </c>
      <c r="H357" s="3">
        <f t="shared" si="165"/>
        <v>81.256230789298584</v>
      </c>
      <c r="I357">
        <f t="shared" si="150"/>
        <v>8.1256230789298584E-5</v>
      </c>
      <c r="J357" s="4">
        <f t="shared" si="166"/>
        <v>466.4795008651829</v>
      </c>
      <c r="K357" s="40">
        <f t="shared" si="167"/>
        <v>5.7408459183245562</v>
      </c>
      <c r="L357" s="40">
        <f t="shared" si="151"/>
        <v>0.25915408167544385</v>
      </c>
      <c r="M357" s="10">
        <f t="shared" si="168"/>
        <v>5.0849475944538307</v>
      </c>
      <c r="N357" s="10">
        <f t="shared" si="177"/>
        <v>8.26</v>
      </c>
      <c r="O357" s="10">
        <f t="shared" si="178"/>
        <v>0.31900000000000001</v>
      </c>
      <c r="P357" s="10">
        <f t="shared" si="169"/>
        <v>13.876675572754936</v>
      </c>
      <c r="Q357" s="42">
        <f t="shared" si="170"/>
        <v>0.16098501737091162</v>
      </c>
      <c r="R357" s="4">
        <f t="shared" si="171"/>
        <v>61043.033616467656</v>
      </c>
      <c r="S357">
        <f t="shared" si="152"/>
        <v>6.104303361646766E-5</v>
      </c>
      <c r="T357" s="41">
        <f t="shared" si="153"/>
        <v>1.1876133842541617E-4</v>
      </c>
      <c r="U357" s="42">
        <f t="shared" si="172"/>
        <v>0.10954477597643202</v>
      </c>
      <c r="V357" s="42">
        <f t="shared" si="173"/>
        <v>0.45652481283307678</v>
      </c>
      <c r="W357" s="42">
        <f t="shared" si="174"/>
        <v>0.45240732132291561</v>
      </c>
      <c r="X357" s="42">
        <f t="shared" si="175"/>
        <v>4.1174915101611642E-3</v>
      </c>
      <c r="Y357" s="42">
        <f t="shared" si="179"/>
        <v>1.8309005557335179E-3</v>
      </c>
      <c r="Z357" s="10">
        <f t="shared" si="176"/>
        <v>15.416637939655335</v>
      </c>
      <c r="AA357">
        <f t="shared" si="154"/>
        <v>5085202.7147715641</v>
      </c>
      <c r="AB357" s="10">
        <f t="shared" si="155"/>
        <v>5.0852027147715644</v>
      </c>
      <c r="AC357" s="10">
        <f t="shared" si="156"/>
        <v>4.9842027147715644</v>
      </c>
      <c r="AD357" s="3">
        <f t="shared" si="157"/>
        <v>722.87203985084329</v>
      </c>
      <c r="AI357" s="94">
        <f t="shared" si="158"/>
        <v>0.45240732132291561</v>
      </c>
    </row>
    <row r="358" spans="2:35">
      <c r="B358" s="39">
        <f t="shared" si="159"/>
        <v>330</v>
      </c>
      <c r="C358" s="42">
        <f t="shared" si="160"/>
        <v>2.1920863309329621</v>
      </c>
      <c r="D358" s="10">
        <f t="shared" si="161"/>
        <v>3.3479136690667453</v>
      </c>
      <c r="E358" s="40">
        <f t="shared" si="162"/>
        <v>24.384172661866508</v>
      </c>
      <c r="F358" s="40">
        <f t="shared" si="163"/>
        <v>31.08</v>
      </c>
      <c r="G358" s="3">
        <f t="shared" si="164"/>
        <v>208.86330935253866</v>
      </c>
      <c r="H358" s="3">
        <f t="shared" si="165"/>
        <v>81.256230789298584</v>
      </c>
      <c r="I358">
        <f t="shared" si="150"/>
        <v>8.1256230789298584E-5</v>
      </c>
      <c r="J358" s="4">
        <f t="shared" si="166"/>
        <v>466.98822610586905</v>
      </c>
      <c r="K358" s="40">
        <f t="shared" si="167"/>
        <v>5.7471066719399344</v>
      </c>
      <c r="L358" s="40">
        <f t="shared" si="151"/>
        <v>0.25289332806006559</v>
      </c>
      <c r="M358" s="10">
        <f t="shared" si="168"/>
        <v>5.0852027147715644</v>
      </c>
      <c r="N358" s="10">
        <f t="shared" si="177"/>
        <v>8.26</v>
      </c>
      <c r="O358" s="10">
        <f t="shared" si="178"/>
        <v>0.31900000000000001</v>
      </c>
      <c r="P358" s="10">
        <f t="shared" si="169"/>
        <v>13.876897661865353</v>
      </c>
      <c r="Q358" s="42">
        <f t="shared" si="170"/>
        <v>0.16146370403511948</v>
      </c>
      <c r="R358" s="4">
        <f t="shared" si="171"/>
        <v>60921.252235307802</v>
      </c>
      <c r="S358">
        <f t="shared" si="152"/>
        <v>6.0921252235307804E-5</v>
      </c>
      <c r="T358" s="41">
        <f t="shared" si="153"/>
        <v>1.1888311980657603E-4</v>
      </c>
      <c r="U358" s="42">
        <f t="shared" si="172"/>
        <v>0.10932623319887161</v>
      </c>
      <c r="V358" s="42">
        <f t="shared" si="173"/>
        <v>0.4565466178633894</v>
      </c>
      <c r="W358" s="42">
        <f t="shared" si="174"/>
        <v>0.45243047933117586</v>
      </c>
      <c r="X358" s="42">
        <f t="shared" si="175"/>
        <v>4.1161385322135424E-3</v>
      </c>
      <c r="Y358" s="42">
        <f t="shared" si="179"/>
        <v>1.8328708963569207E-3</v>
      </c>
      <c r="Z358" s="10">
        <f t="shared" si="176"/>
        <v>15.417419220987968</v>
      </c>
      <c r="AA358">
        <f t="shared" si="154"/>
        <v>5085455.3032123353</v>
      </c>
      <c r="AB358" s="10">
        <f t="shared" si="155"/>
        <v>5.0854553032123357</v>
      </c>
      <c r="AC358" s="10">
        <f t="shared" si="156"/>
        <v>4.9844553032123358</v>
      </c>
      <c r="AD358" s="3">
        <f t="shared" si="157"/>
        <v>722.90867341730757</v>
      </c>
      <c r="AI358" s="94">
        <f t="shared" si="158"/>
        <v>0.45243047933117586</v>
      </c>
    </row>
    <row r="359" spans="2:35">
      <c r="B359" s="39">
        <f t="shared" si="159"/>
        <v>331</v>
      </c>
      <c r="C359" s="42">
        <f t="shared" si="160"/>
        <v>2.1987290167842741</v>
      </c>
      <c r="D359" s="10">
        <f t="shared" si="161"/>
        <v>3.3412709832154324</v>
      </c>
      <c r="E359" s="40">
        <f t="shared" si="162"/>
        <v>24.397458033569134</v>
      </c>
      <c r="F359" s="40">
        <f t="shared" si="163"/>
        <v>31.08</v>
      </c>
      <c r="G359" s="3">
        <f t="shared" si="164"/>
        <v>208.81016786572818</v>
      </c>
      <c r="H359" s="3">
        <f t="shared" si="165"/>
        <v>81.256230789298584</v>
      </c>
      <c r="I359">
        <f t="shared" ref="I359:I422" si="180">H359/1000^2</f>
        <v>8.1256230789298584E-5</v>
      </c>
      <c r="J359" s="4">
        <f t="shared" si="166"/>
        <v>467.49722859383684</v>
      </c>
      <c r="K359" s="40">
        <f t="shared" si="167"/>
        <v>5.7533708375678936</v>
      </c>
      <c r="L359" s="40">
        <f t="shared" ref="L359:L422" si="181">IF((gstar-K359)&lt;0,0,gstar-K359)</f>
        <v>0.24662916243210642</v>
      </c>
      <c r="M359" s="10">
        <f t="shared" si="168"/>
        <v>5.0854553032123357</v>
      </c>
      <c r="N359" s="10">
        <f t="shared" si="177"/>
        <v>8.26</v>
      </c>
      <c r="O359" s="10">
        <f t="shared" si="178"/>
        <v>0.31900000000000001</v>
      </c>
      <c r="P359" s="10">
        <f t="shared" si="169"/>
        <v>13.877117539433646</v>
      </c>
      <c r="Q359" s="42">
        <f t="shared" si="170"/>
        <v>0.161942383114722</v>
      </c>
      <c r="R359" s="4">
        <f t="shared" si="171"/>
        <v>60799.467030927859</v>
      </c>
      <c r="S359">
        <f t="shared" ref="S359:S422" si="182">R359/1000^3</f>
        <v>6.0799467030927859E-5</v>
      </c>
      <c r="T359" s="41">
        <f t="shared" ref="T359:T422" si="183">(vc/1000^3-S359)</f>
        <v>1.1900490501095597E-4</v>
      </c>
      <c r="U359" s="42">
        <f t="shared" si="172"/>
        <v>0.10910768356035158</v>
      </c>
      <c r="V359" s="42">
        <f t="shared" si="173"/>
        <v>0.45656818489226586</v>
      </c>
      <c r="W359" s="42">
        <f t="shared" si="174"/>
        <v>0.45245340751364987</v>
      </c>
      <c r="X359" s="42">
        <f t="shared" si="175"/>
        <v>4.1147773786159858E-3</v>
      </c>
      <c r="Y359" s="42">
        <f t="shared" si="179"/>
        <v>1.834840554205286E-3</v>
      </c>
      <c r="Z359" s="10">
        <f t="shared" si="176"/>
        <v>15.418192670599289</v>
      </c>
      <c r="AA359">
        <f t="shared" ref="AA359:AA422" si="184">Z359*rat*to+patm*1000000</f>
        <v>5085705.3596557425</v>
      </c>
      <c r="AB359" s="10">
        <f t="shared" ref="AB359:AB422" si="185">AA359/1000000</f>
        <v>5.0857053596557424</v>
      </c>
      <c r="AC359" s="10">
        <f t="shared" ref="AC359:AC422" si="186">AB359-patm</f>
        <v>4.9847053596557425</v>
      </c>
      <c r="AD359" s="3">
        <f t="shared" ref="AD359:AD422" si="187">AC359*1000000/6895</f>
        <v>722.94493976152899</v>
      </c>
      <c r="AI359" s="94">
        <f t="shared" ref="AI359:AI422" si="188">($M359-patm)*1000000*$I359/SQRT(rat*to)*SQRT(k)*(2/(k+1))^((k+1)/2/(k-1))</f>
        <v>0.45245340751364987</v>
      </c>
    </row>
    <row r="360" spans="2:35">
      <c r="B360" s="39">
        <f t="shared" ref="B360:B423" si="189">1+B359</f>
        <v>332</v>
      </c>
      <c r="C360" s="42">
        <f t="shared" ref="C360:C423" si="190">xincp+C359</f>
        <v>2.2053717026355861</v>
      </c>
      <c r="D360" s="10">
        <f t="shared" ref="D360:D423" si="191">(F360-E360)/2</f>
        <v>3.3346282973641195</v>
      </c>
      <c r="E360" s="40">
        <f t="shared" ref="E360:E423" si="192">E359+ci*2*xincp</f>
        <v>24.410743405271759</v>
      </c>
      <c r="F360" s="40">
        <f t="shared" ref="F360:F423" si="193">F359-osi*2*xincp</f>
        <v>31.08</v>
      </c>
      <c r="G360" s="3">
        <f t="shared" ref="G360:G423" si="194">G359-ei*n*2*xincp</f>
        <v>208.75702637891769</v>
      </c>
      <c r="H360" s="3">
        <f t="shared" ref="H360:H423" si="195">PI()/4*(dto+erate*(two-D360)/two)^2</f>
        <v>81.256230789298584</v>
      </c>
      <c r="I360">
        <f t="shared" si="180"/>
        <v>8.1256230789298584E-5</v>
      </c>
      <c r="J360" s="4">
        <f t="shared" ref="J360:J423" si="196">PI()/4*dc^2-PI()/4*(F360^2-E360^2)</f>
        <v>468.0065083290861</v>
      </c>
      <c r="K360" s="40">
        <f t="shared" ref="K360:K423" si="197">J360/H360</f>
        <v>5.7596384152084292</v>
      </c>
      <c r="L360" s="40">
        <f t="shared" si="181"/>
        <v>0.24036158479157077</v>
      </c>
      <c r="M360" s="10">
        <f t="shared" ref="M360:M423" si="198">AB359</f>
        <v>5.0857053596557424</v>
      </c>
      <c r="N360" s="10">
        <f t="shared" si="177"/>
        <v>8.26</v>
      </c>
      <c r="O360" s="10">
        <f t="shared" si="178"/>
        <v>0.31900000000000001</v>
      </c>
      <c r="P360" s="10">
        <f t="shared" ref="P360:P423" si="199">(1+kv*L360)*N360*M360^O360</f>
        <v>13.877335205579282</v>
      </c>
      <c r="Q360" s="42">
        <f t="shared" ref="Q360:Q423" si="200">xincp/P360+Q359</f>
        <v>0.16242105468623821</v>
      </c>
      <c r="R360" s="4">
        <f t="shared" ref="R360:R423" si="201">PI()/4*(F360^2-E360^2)*G360</f>
        <v>60677.678047527872</v>
      </c>
      <c r="S360">
        <f t="shared" si="182"/>
        <v>6.0677678047527869E-5</v>
      </c>
      <c r="T360" s="41">
        <f t="shared" si="183"/>
        <v>1.1912669399435596E-4</v>
      </c>
      <c r="U360" s="42">
        <f t="shared" ref="U360:U423" si="202">rhopgrain*R360/1000^2</f>
        <v>0.10888912714019114</v>
      </c>
      <c r="V360" s="42">
        <f t="shared" ref="V360:V423" si="203">(U359-U360)/(Q360-Q359)</f>
        <v>0.4565895139085816</v>
      </c>
      <c r="W360" s="42">
        <f t="shared" ref="W360:W423" si="204">IF(V360&lt;AI360,IF(AB359&gt;pbd,AI360,0),AI360)</f>
        <v>0.45247610585940845</v>
      </c>
      <c r="X360" s="42">
        <f t="shared" ref="X360:X423" si="205">V360-W360</f>
        <v>4.1134080491731506E-3</v>
      </c>
      <c r="Y360" s="42">
        <f t="shared" si="179"/>
        <v>1.836809525700471E-3</v>
      </c>
      <c r="Z360" s="10">
        <f t="shared" ref="Z360:Z423" si="206">Y360/T360</f>
        <v>15.418958288118835</v>
      </c>
      <c r="AA360">
        <f t="shared" si="184"/>
        <v>5085952.8839820148</v>
      </c>
      <c r="AB360" s="10">
        <f t="shared" si="185"/>
        <v>5.0859528839820145</v>
      </c>
      <c r="AC360" s="10">
        <f t="shared" si="186"/>
        <v>4.9849528839820145</v>
      </c>
      <c r="AD360" s="3">
        <f t="shared" si="187"/>
        <v>722.98083886613699</v>
      </c>
      <c r="AI360" s="94">
        <f t="shared" si="188"/>
        <v>0.45247610585940845</v>
      </c>
    </row>
    <row r="361" spans="2:35">
      <c r="B361" s="39">
        <f t="shared" si="189"/>
        <v>333</v>
      </c>
      <c r="C361" s="42">
        <f t="shared" si="190"/>
        <v>2.2120143884868981</v>
      </c>
      <c r="D361" s="10">
        <f t="shared" si="191"/>
        <v>3.3279856115128066</v>
      </c>
      <c r="E361" s="40">
        <f t="shared" si="192"/>
        <v>24.424028776974385</v>
      </c>
      <c r="F361" s="40">
        <f t="shared" si="193"/>
        <v>31.08</v>
      </c>
      <c r="G361" s="3">
        <f t="shared" si="194"/>
        <v>208.7038848921072</v>
      </c>
      <c r="H361" s="3">
        <f t="shared" si="195"/>
        <v>81.256230789298584</v>
      </c>
      <c r="I361">
        <f t="shared" si="180"/>
        <v>8.1256230789298584E-5</v>
      </c>
      <c r="J361" s="4">
        <f t="shared" si="196"/>
        <v>468.5160653116169</v>
      </c>
      <c r="K361" s="40">
        <f t="shared" si="197"/>
        <v>5.765909404861544</v>
      </c>
      <c r="L361" s="40">
        <f t="shared" si="181"/>
        <v>0.23409059513845598</v>
      </c>
      <c r="M361" s="10">
        <f t="shared" si="198"/>
        <v>5.0859528839820145</v>
      </c>
      <c r="N361" s="10">
        <f t="shared" si="177"/>
        <v>8.26</v>
      </c>
      <c r="O361" s="10">
        <f t="shared" si="178"/>
        <v>0.31900000000000001</v>
      </c>
      <c r="P361" s="10">
        <f t="shared" si="199"/>
        <v>13.877550660420017</v>
      </c>
      <c r="Q361" s="42">
        <f t="shared" si="200"/>
        <v>0.16289971882617593</v>
      </c>
      <c r="R361" s="4">
        <f t="shared" si="201"/>
        <v>60555.885329307821</v>
      </c>
      <c r="S361">
        <f t="shared" si="182"/>
        <v>6.0555885329307822E-5</v>
      </c>
      <c r="T361" s="41">
        <f t="shared" si="183"/>
        <v>1.1924848671257601E-4</v>
      </c>
      <c r="U361" s="42">
        <f t="shared" si="202"/>
        <v>0.10867056401770935</v>
      </c>
      <c r="V361" s="42">
        <f t="shared" si="203"/>
        <v>0.45661060490186761</v>
      </c>
      <c r="W361" s="42">
        <f t="shared" si="204"/>
        <v>0.45249857435757956</v>
      </c>
      <c r="X361" s="42">
        <f t="shared" si="205"/>
        <v>4.1120305442880478E-3</v>
      </c>
      <c r="Y361" s="42">
        <f t="shared" si="179"/>
        <v>1.8387778072643502E-3</v>
      </c>
      <c r="Z361" s="10">
        <f t="shared" si="206"/>
        <v>15.419716073180421</v>
      </c>
      <c r="AA361">
        <f t="shared" si="184"/>
        <v>5086197.8760727644</v>
      </c>
      <c r="AB361" s="10">
        <f t="shared" si="185"/>
        <v>5.086197876072764</v>
      </c>
      <c r="AC361" s="10">
        <f t="shared" si="186"/>
        <v>4.985197876072764</v>
      </c>
      <c r="AD361" s="3">
        <f t="shared" si="187"/>
        <v>723.01637071396146</v>
      </c>
      <c r="AI361" s="94">
        <f t="shared" si="188"/>
        <v>0.45249857435757956</v>
      </c>
    </row>
    <row r="362" spans="2:35">
      <c r="B362" s="39">
        <f t="shared" si="189"/>
        <v>334</v>
      </c>
      <c r="C362" s="42">
        <f t="shared" si="190"/>
        <v>2.2186570743382101</v>
      </c>
      <c r="D362" s="10">
        <f t="shared" si="191"/>
        <v>3.3213429256614937</v>
      </c>
      <c r="E362" s="40">
        <f t="shared" si="192"/>
        <v>24.437314148677011</v>
      </c>
      <c r="F362" s="40">
        <f t="shared" si="193"/>
        <v>31.08</v>
      </c>
      <c r="G362" s="3">
        <f t="shared" si="194"/>
        <v>208.65074340529671</v>
      </c>
      <c r="H362" s="3">
        <f t="shared" si="195"/>
        <v>81.256230789298584</v>
      </c>
      <c r="I362">
        <f t="shared" si="180"/>
        <v>8.1256230789298584E-5</v>
      </c>
      <c r="J362" s="4">
        <f t="shared" si="196"/>
        <v>469.02589954142934</v>
      </c>
      <c r="K362" s="40">
        <f t="shared" si="197"/>
        <v>5.7721838065272388</v>
      </c>
      <c r="L362" s="40">
        <f t="shared" si="181"/>
        <v>0.22781619347276116</v>
      </c>
      <c r="M362" s="10">
        <f t="shared" si="198"/>
        <v>5.086197876072764</v>
      </c>
      <c r="N362" s="10">
        <f t="shared" si="177"/>
        <v>8.26</v>
      </c>
      <c r="O362" s="10">
        <f t="shared" si="178"/>
        <v>0.31900000000000001</v>
      </c>
      <c r="P362" s="10">
        <f t="shared" si="199"/>
        <v>13.877763904072539</v>
      </c>
      <c r="Q362" s="42">
        <f t="shared" si="200"/>
        <v>0.1633783756110318</v>
      </c>
      <c r="R362" s="4">
        <f t="shared" si="201"/>
        <v>60434.088920467679</v>
      </c>
      <c r="S362">
        <f t="shared" si="182"/>
        <v>6.043408892046768E-5</v>
      </c>
      <c r="T362" s="41">
        <f t="shared" si="183"/>
        <v>1.1937028312141615E-4</v>
      </c>
      <c r="U362" s="42">
        <f t="shared" si="202"/>
        <v>0.10845199427222527</v>
      </c>
      <c r="V362" s="42">
        <f t="shared" si="203"/>
        <v>0.45663145786159476</v>
      </c>
      <c r="W362" s="42">
        <f t="shared" si="204"/>
        <v>0.45252081299741698</v>
      </c>
      <c r="X362" s="42">
        <f t="shared" si="205"/>
        <v>4.1106448641777815E-3</v>
      </c>
      <c r="Y362" s="42">
        <f t="shared" si="179"/>
        <v>1.8407453953187217E-3</v>
      </c>
      <c r="Z362" s="10">
        <f t="shared" si="206"/>
        <v>15.42046602542132</v>
      </c>
      <c r="AA362">
        <f t="shared" si="184"/>
        <v>5086440.3358107219</v>
      </c>
      <c r="AB362" s="10">
        <f t="shared" si="185"/>
        <v>5.086440335810722</v>
      </c>
      <c r="AC362" s="10">
        <f t="shared" si="186"/>
        <v>4.985440335810722</v>
      </c>
      <c r="AD362" s="3">
        <f t="shared" si="187"/>
        <v>723.05153528799451</v>
      </c>
      <c r="AI362" s="94">
        <f t="shared" si="188"/>
        <v>0.45252081299741698</v>
      </c>
    </row>
    <row r="363" spans="2:35">
      <c r="B363" s="39">
        <f t="shared" si="189"/>
        <v>335</v>
      </c>
      <c r="C363" s="42">
        <f t="shared" si="190"/>
        <v>2.2252997601895221</v>
      </c>
      <c r="D363" s="10">
        <f t="shared" si="191"/>
        <v>3.3147002398101808</v>
      </c>
      <c r="E363" s="40">
        <f t="shared" si="192"/>
        <v>24.450599520379637</v>
      </c>
      <c r="F363" s="40">
        <f t="shared" si="193"/>
        <v>31.08</v>
      </c>
      <c r="G363" s="3">
        <f t="shared" si="194"/>
        <v>208.59760191848622</v>
      </c>
      <c r="H363" s="3">
        <f t="shared" si="195"/>
        <v>81.256230789298584</v>
      </c>
      <c r="I363">
        <f t="shared" si="180"/>
        <v>8.1256230789298584E-5</v>
      </c>
      <c r="J363" s="4">
        <f t="shared" si="196"/>
        <v>469.53601101852325</v>
      </c>
      <c r="K363" s="40">
        <f t="shared" si="197"/>
        <v>5.778461620205511</v>
      </c>
      <c r="L363" s="40">
        <f t="shared" si="181"/>
        <v>0.22153837979448898</v>
      </c>
      <c r="M363" s="10">
        <f t="shared" si="198"/>
        <v>5.086440335810722</v>
      </c>
      <c r="N363" s="10">
        <f t="shared" si="177"/>
        <v>8.26</v>
      </c>
      <c r="O363" s="10">
        <f t="shared" si="178"/>
        <v>0.31900000000000001</v>
      </c>
      <c r="P363" s="10">
        <f t="shared" si="199"/>
        <v>13.877974936652254</v>
      </c>
      <c r="Q363" s="42">
        <f t="shared" si="200"/>
        <v>0.16385702511729142</v>
      </c>
      <c r="R363" s="4">
        <f t="shared" si="201"/>
        <v>60312.288865207476</v>
      </c>
      <c r="S363">
        <f t="shared" si="182"/>
        <v>6.0312288865207478E-5</v>
      </c>
      <c r="T363" s="41">
        <f t="shared" si="183"/>
        <v>1.1949208317667636E-4</v>
      </c>
      <c r="U363" s="42">
        <f t="shared" si="202"/>
        <v>0.10823341798305806</v>
      </c>
      <c r="V363" s="42">
        <f t="shared" si="203"/>
        <v>0.45665207277712794</v>
      </c>
      <c r="W363" s="42">
        <f t="shared" si="204"/>
        <v>0.45254282176827565</v>
      </c>
      <c r="X363" s="42">
        <f t="shared" si="205"/>
        <v>4.1092510088522882E-3</v>
      </c>
      <c r="Y363" s="42">
        <f t="shared" si="179"/>
        <v>1.8427122862852057E-3</v>
      </c>
      <c r="Z363" s="10">
        <f t="shared" si="206"/>
        <v>15.42120814448136</v>
      </c>
      <c r="AA363">
        <f t="shared" si="184"/>
        <v>5086680.2630794439</v>
      </c>
      <c r="AB363" s="10">
        <f t="shared" si="185"/>
        <v>5.0866802630794439</v>
      </c>
      <c r="AC363" s="10">
        <f t="shared" si="186"/>
        <v>4.9856802630794439</v>
      </c>
      <c r="AD363" s="3">
        <f t="shared" si="187"/>
        <v>723.08633257134795</v>
      </c>
      <c r="AI363" s="94">
        <f t="shared" si="188"/>
        <v>0.45254282176827565</v>
      </c>
    </row>
    <row r="364" spans="2:35">
      <c r="B364" s="39">
        <f t="shared" si="189"/>
        <v>336</v>
      </c>
      <c r="C364" s="42">
        <f t="shared" si="190"/>
        <v>2.2319424460408341</v>
      </c>
      <c r="D364" s="10">
        <f t="shared" si="191"/>
        <v>3.3080575539588679</v>
      </c>
      <c r="E364" s="40">
        <f t="shared" si="192"/>
        <v>24.463884892082262</v>
      </c>
      <c r="F364" s="40">
        <f t="shared" si="193"/>
        <v>31.08</v>
      </c>
      <c r="G364" s="3">
        <f t="shared" si="194"/>
        <v>208.54446043167573</v>
      </c>
      <c r="H364" s="3">
        <f t="shared" si="195"/>
        <v>81.256230789298584</v>
      </c>
      <c r="I364">
        <f t="shared" si="180"/>
        <v>8.1256230789298584E-5</v>
      </c>
      <c r="J364" s="4">
        <f t="shared" si="196"/>
        <v>470.04639974289881</v>
      </c>
      <c r="K364" s="40">
        <f t="shared" si="197"/>
        <v>5.7847428458963632</v>
      </c>
      <c r="L364" s="40">
        <f t="shared" si="181"/>
        <v>0.21525715410363677</v>
      </c>
      <c r="M364" s="10">
        <f t="shared" si="198"/>
        <v>5.0866802630794439</v>
      </c>
      <c r="N364" s="10">
        <f t="shared" si="177"/>
        <v>8.26</v>
      </c>
      <c r="O364" s="10">
        <f t="shared" si="178"/>
        <v>0.31900000000000001</v>
      </c>
      <c r="P364" s="10">
        <f t="shared" si="199"/>
        <v>13.878183758273019</v>
      </c>
      <c r="Q364" s="42">
        <f t="shared" si="200"/>
        <v>0.16433566742142955</v>
      </c>
      <c r="R364" s="4">
        <f t="shared" si="201"/>
        <v>60190.485207727186</v>
      </c>
      <c r="S364">
        <f t="shared" si="182"/>
        <v>6.0190485207727185E-5</v>
      </c>
      <c r="T364" s="41">
        <f t="shared" si="183"/>
        <v>1.1961388683415664E-4</v>
      </c>
      <c r="U364" s="42">
        <f t="shared" si="202"/>
        <v>0.10801483522952682</v>
      </c>
      <c r="V364" s="42">
        <f t="shared" si="203"/>
        <v>0.45667244963822679</v>
      </c>
      <c r="W364" s="42">
        <f t="shared" si="204"/>
        <v>0.4525646006595857</v>
      </c>
      <c r="X364" s="42">
        <f t="shared" si="205"/>
        <v>4.1078489786410821E-3</v>
      </c>
      <c r="Y364" s="42">
        <f t="shared" si="179"/>
        <v>1.844678476585394E-3</v>
      </c>
      <c r="Z364" s="10">
        <f t="shared" si="206"/>
        <v>15.42194243000414</v>
      </c>
      <c r="AA364">
        <f t="shared" si="184"/>
        <v>5086917.6577637065</v>
      </c>
      <c r="AB364" s="10">
        <f t="shared" si="185"/>
        <v>5.0869176577637063</v>
      </c>
      <c r="AC364" s="10">
        <f t="shared" si="186"/>
        <v>4.9859176577637063</v>
      </c>
      <c r="AD364" s="3">
        <f t="shared" si="187"/>
        <v>723.12076254731062</v>
      </c>
      <c r="AI364" s="94">
        <f t="shared" si="188"/>
        <v>0.4525646006595857</v>
      </c>
    </row>
    <row r="365" spans="2:35">
      <c r="B365" s="39">
        <f t="shared" si="189"/>
        <v>337</v>
      </c>
      <c r="C365" s="42">
        <f t="shared" si="190"/>
        <v>2.2385851318921461</v>
      </c>
      <c r="D365" s="10">
        <f t="shared" si="191"/>
        <v>3.301414868107555</v>
      </c>
      <c r="E365" s="40">
        <f t="shared" si="192"/>
        <v>24.477170263784888</v>
      </c>
      <c r="F365" s="40">
        <f t="shared" si="193"/>
        <v>31.08</v>
      </c>
      <c r="G365" s="3">
        <f t="shared" si="194"/>
        <v>208.49131894486524</v>
      </c>
      <c r="H365" s="3">
        <f t="shared" si="195"/>
        <v>81.256230789298584</v>
      </c>
      <c r="I365">
        <f t="shared" si="180"/>
        <v>8.1256230789298584E-5</v>
      </c>
      <c r="J365" s="4">
        <f t="shared" si="196"/>
        <v>470.55706571455585</v>
      </c>
      <c r="K365" s="40">
        <f t="shared" si="197"/>
        <v>5.7910274835997937</v>
      </c>
      <c r="L365" s="40">
        <f t="shared" si="181"/>
        <v>0.20897251640020631</v>
      </c>
      <c r="M365" s="10">
        <f t="shared" si="198"/>
        <v>5.0869176577637063</v>
      </c>
      <c r="N365" s="10">
        <f t="shared" si="177"/>
        <v>8.26</v>
      </c>
      <c r="O365" s="10">
        <f t="shared" si="178"/>
        <v>0.31900000000000001</v>
      </c>
      <c r="P365" s="10">
        <f t="shared" si="199"/>
        <v>13.878390369047489</v>
      </c>
      <c r="Q365" s="42">
        <f t="shared" si="200"/>
        <v>0.16481430259991012</v>
      </c>
      <c r="R365" s="4">
        <f t="shared" si="201"/>
        <v>60068.677992226832</v>
      </c>
      <c r="S365">
        <f t="shared" si="182"/>
        <v>6.0068677992226836E-5</v>
      </c>
      <c r="T365" s="41">
        <f t="shared" si="183"/>
        <v>1.19735694049657E-4</v>
      </c>
      <c r="U365" s="42">
        <f t="shared" si="202"/>
        <v>0.10779624609095065</v>
      </c>
      <c r="V365" s="42">
        <f t="shared" si="203"/>
        <v>0.45669258843464577</v>
      </c>
      <c r="W365" s="42">
        <f t="shared" si="204"/>
        <v>0.45258614966088806</v>
      </c>
      <c r="X365" s="42">
        <f t="shared" si="205"/>
        <v>4.1064387737577146E-3</v>
      </c>
      <c r="Y365" s="42">
        <f t="shared" si="179"/>
        <v>1.8466439626407911E-3</v>
      </c>
      <c r="Z365" s="10">
        <f t="shared" si="206"/>
        <v>15.422668881636479</v>
      </c>
      <c r="AA365">
        <f t="shared" si="184"/>
        <v>5087152.5197493238</v>
      </c>
      <c r="AB365" s="10">
        <f t="shared" si="185"/>
        <v>5.0871525197493241</v>
      </c>
      <c r="AC365" s="10">
        <f t="shared" si="186"/>
        <v>4.9861525197493242</v>
      </c>
      <c r="AD365" s="3">
        <f t="shared" si="187"/>
        <v>723.15482519932175</v>
      </c>
      <c r="AI365" s="94">
        <f t="shared" si="188"/>
        <v>0.45258614966088806</v>
      </c>
    </row>
    <row r="366" spans="2:35">
      <c r="B366" s="39">
        <f t="shared" si="189"/>
        <v>338</v>
      </c>
      <c r="C366" s="42">
        <f t="shared" si="190"/>
        <v>2.2452278177434581</v>
      </c>
      <c r="D366" s="10">
        <f t="shared" si="191"/>
        <v>3.2947721822562421</v>
      </c>
      <c r="E366" s="40">
        <f t="shared" si="192"/>
        <v>24.490455635487514</v>
      </c>
      <c r="F366" s="40">
        <f t="shared" si="193"/>
        <v>31.08</v>
      </c>
      <c r="G366" s="3">
        <f t="shared" si="194"/>
        <v>208.43817745805475</v>
      </c>
      <c r="H366" s="3">
        <f t="shared" si="195"/>
        <v>81.256230789298584</v>
      </c>
      <c r="I366">
        <f t="shared" si="180"/>
        <v>8.1256230789298584E-5</v>
      </c>
      <c r="J366" s="4">
        <f t="shared" si="196"/>
        <v>471.06800893349447</v>
      </c>
      <c r="K366" s="40">
        <f t="shared" si="197"/>
        <v>5.7973155333158024</v>
      </c>
      <c r="L366" s="40">
        <f t="shared" si="181"/>
        <v>0.2026844666841976</v>
      </c>
      <c r="M366" s="10">
        <f t="shared" si="198"/>
        <v>5.0871525197493241</v>
      </c>
      <c r="N366" s="10">
        <f t="shared" si="177"/>
        <v>8.26</v>
      </c>
      <c r="O366" s="10">
        <f t="shared" si="178"/>
        <v>0.31900000000000001</v>
      </c>
      <c r="P366" s="10">
        <f t="shared" si="199"/>
        <v>13.878594769086961</v>
      </c>
      <c r="Q366" s="42">
        <f t="shared" si="200"/>
        <v>0.16529293072918641</v>
      </c>
      <c r="R366" s="4">
        <f t="shared" si="201"/>
        <v>59946.867262906402</v>
      </c>
      <c r="S366">
        <f t="shared" si="182"/>
        <v>5.9946867262906399E-5</v>
      </c>
      <c r="T366" s="41">
        <f t="shared" si="183"/>
        <v>1.1985750477897743E-4</v>
      </c>
      <c r="U366" s="42">
        <f t="shared" si="202"/>
        <v>0.10757765064664868</v>
      </c>
      <c r="V366" s="42">
        <f t="shared" si="203"/>
        <v>0.45671248915624391</v>
      </c>
      <c r="W366" s="42">
        <f t="shared" si="204"/>
        <v>0.45260746876181757</v>
      </c>
      <c r="X366" s="42">
        <f t="shared" si="205"/>
        <v>4.1050203944263397E-3</v>
      </c>
      <c r="Y366" s="42">
        <f t="shared" si="179"/>
        <v>1.8486087408728165E-3</v>
      </c>
      <c r="Z366" s="10">
        <f t="shared" si="206"/>
        <v>15.423387499028394</v>
      </c>
      <c r="AA366">
        <f t="shared" si="184"/>
        <v>5087384.8489231467</v>
      </c>
      <c r="AB366" s="10">
        <f t="shared" si="185"/>
        <v>5.087384848923147</v>
      </c>
      <c r="AC366" s="10">
        <f t="shared" si="186"/>
        <v>4.986384848923147</v>
      </c>
      <c r="AD366" s="3">
        <f t="shared" si="187"/>
        <v>723.18852051097122</v>
      </c>
      <c r="AI366" s="94">
        <f t="shared" si="188"/>
        <v>0.45260746876181757</v>
      </c>
    </row>
    <row r="367" spans="2:35">
      <c r="B367" s="39">
        <f t="shared" si="189"/>
        <v>339</v>
      </c>
      <c r="C367" s="42">
        <f t="shared" si="190"/>
        <v>2.2518705035947701</v>
      </c>
      <c r="D367" s="10">
        <f t="shared" si="191"/>
        <v>3.2881294964049292</v>
      </c>
      <c r="E367" s="40">
        <f t="shared" si="192"/>
        <v>24.50374100719014</v>
      </c>
      <c r="F367" s="40">
        <f t="shared" si="193"/>
        <v>31.08</v>
      </c>
      <c r="G367" s="3">
        <f t="shared" si="194"/>
        <v>208.38503597124426</v>
      </c>
      <c r="H367" s="3">
        <f t="shared" si="195"/>
        <v>81.256230789298584</v>
      </c>
      <c r="I367">
        <f t="shared" si="180"/>
        <v>8.1256230789298584E-5</v>
      </c>
      <c r="J367" s="4">
        <f t="shared" si="196"/>
        <v>471.57922939971468</v>
      </c>
      <c r="K367" s="40">
        <f t="shared" si="197"/>
        <v>5.8036069950443911</v>
      </c>
      <c r="L367" s="40">
        <f t="shared" si="181"/>
        <v>0.19639300495560885</v>
      </c>
      <c r="M367" s="10">
        <f t="shared" si="198"/>
        <v>5.087384848923147</v>
      </c>
      <c r="N367" s="10">
        <f t="shared" si="177"/>
        <v>8.26</v>
      </c>
      <c r="O367" s="10">
        <f t="shared" si="178"/>
        <v>0.31900000000000001</v>
      </c>
      <c r="P367" s="10">
        <f t="shared" si="199"/>
        <v>13.878796958501368</v>
      </c>
      <c r="Q367" s="42">
        <f t="shared" si="200"/>
        <v>0.16577155188570122</v>
      </c>
      <c r="R367" s="4">
        <f t="shared" si="201"/>
        <v>59825.053063965875</v>
      </c>
      <c r="S367">
        <f t="shared" si="182"/>
        <v>5.9825053063965877E-5</v>
      </c>
      <c r="T367" s="41">
        <f t="shared" si="183"/>
        <v>1.1997931897791796E-4</v>
      </c>
      <c r="U367" s="42">
        <f t="shared" si="202"/>
        <v>0.10735904897593995</v>
      </c>
      <c r="V367" s="42">
        <f t="shared" si="203"/>
        <v>0.45673215179312215</v>
      </c>
      <c r="W367" s="42">
        <f t="shared" si="204"/>
        <v>0.45262855795210344</v>
      </c>
      <c r="X367" s="42">
        <f t="shared" si="205"/>
        <v>4.1035938410187156E-3</v>
      </c>
      <c r="Y367" s="42">
        <f t="shared" si="179"/>
        <v>1.850572807702872E-3</v>
      </c>
      <c r="Z367" s="10">
        <f t="shared" si="206"/>
        <v>15.424098281833619</v>
      </c>
      <c r="AA367">
        <f t="shared" si="184"/>
        <v>5087614.6451732302</v>
      </c>
      <c r="AB367" s="10">
        <f t="shared" si="185"/>
        <v>5.0876146451732298</v>
      </c>
      <c r="AC367" s="10">
        <f t="shared" si="186"/>
        <v>4.9866146451732298</v>
      </c>
      <c r="AD367" s="3">
        <f t="shared" si="187"/>
        <v>723.22184846602329</v>
      </c>
      <c r="AI367" s="94">
        <f t="shared" si="188"/>
        <v>0.45262855795210344</v>
      </c>
    </row>
    <row r="368" spans="2:35">
      <c r="B368" s="39">
        <f t="shared" si="189"/>
        <v>340</v>
      </c>
      <c r="C368" s="42">
        <f t="shared" si="190"/>
        <v>2.2585131894460821</v>
      </c>
      <c r="D368" s="10">
        <f t="shared" si="191"/>
        <v>3.2814868105536164</v>
      </c>
      <c r="E368" s="40">
        <f t="shared" si="192"/>
        <v>24.517026378892766</v>
      </c>
      <c r="F368" s="40">
        <f t="shared" si="193"/>
        <v>31.08</v>
      </c>
      <c r="G368" s="3">
        <f t="shared" si="194"/>
        <v>208.33189448443378</v>
      </c>
      <c r="H368" s="3">
        <f t="shared" si="195"/>
        <v>81.256230789298584</v>
      </c>
      <c r="I368">
        <f t="shared" si="180"/>
        <v>8.1256230789298584E-5</v>
      </c>
      <c r="J368" s="4">
        <f t="shared" si="196"/>
        <v>472.09072711321647</v>
      </c>
      <c r="K368" s="40">
        <f t="shared" si="197"/>
        <v>5.8099018687855581</v>
      </c>
      <c r="L368" s="40">
        <f t="shared" si="181"/>
        <v>0.19009813121444186</v>
      </c>
      <c r="M368" s="10">
        <f t="shared" si="198"/>
        <v>5.0876146451732298</v>
      </c>
      <c r="N368" s="10">
        <f t="shared" si="177"/>
        <v>8.26</v>
      </c>
      <c r="O368" s="10">
        <f t="shared" si="178"/>
        <v>0.31900000000000001</v>
      </c>
      <c r="P368" s="10">
        <f t="shared" si="199"/>
        <v>13.878996937399437</v>
      </c>
      <c r="Q368" s="42">
        <f t="shared" si="200"/>
        <v>0.16625016614588686</v>
      </c>
      <c r="R368" s="4">
        <f t="shared" si="201"/>
        <v>59703.235439605269</v>
      </c>
      <c r="S368">
        <f t="shared" si="182"/>
        <v>5.9703235439605272E-5</v>
      </c>
      <c r="T368" s="41">
        <f t="shared" si="183"/>
        <v>1.2010113660227857E-4</v>
      </c>
      <c r="U368" s="42">
        <f t="shared" si="202"/>
        <v>0.10714044115814363</v>
      </c>
      <c r="V368" s="42">
        <f t="shared" si="203"/>
        <v>0.45675157633526287</v>
      </c>
      <c r="W368" s="42">
        <f t="shared" si="204"/>
        <v>0.45264941722158414</v>
      </c>
      <c r="X368" s="42">
        <f t="shared" si="205"/>
        <v>4.1021591136787272E-3</v>
      </c>
      <c r="Y368" s="42">
        <f t="shared" si="179"/>
        <v>1.8525361595522292E-3</v>
      </c>
      <c r="Z368" s="10">
        <f t="shared" si="206"/>
        <v>15.424801229708619</v>
      </c>
      <c r="AA368">
        <f t="shared" si="184"/>
        <v>5087841.9083885057</v>
      </c>
      <c r="AB368" s="10">
        <f t="shared" si="185"/>
        <v>5.0878419083885058</v>
      </c>
      <c r="AC368" s="10">
        <f t="shared" si="186"/>
        <v>4.9868419083885058</v>
      </c>
      <c r="AD368" s="3">
        <f t="shared" si="187"/>
        <v>723.25480904836922</v>
      </c>
      <c r="AI368" s="94">
        <f t="shared" si="188"/>
        <v>0.45264941722158414</v>
      </c>
    </row>
    <row r="369" spans="2:35">
      <c r="B369" s="39">
        <f t="shared" si="189"/>
        <v>341</v>
      </c>
      <c r="C369" s="42">
        <f t="shared" si="190"/>
        <v>2.2651558752973942</v>
      </c>
      <c r="D369" s="10">
        <f t="shared" si="191"/>
        <v>3.2748441247023035</v>
      </c>
      <c r="E369" s="40">
        <f t="shared" si="192"/>
        <v>24.530311750595391</v>
      </c>
      <c r="F369" s="40">
        <f t="shared" si="193"/>
        <v>31.08</v>
      </c>
      <c r="G369" s="3">
        <f t="shared" si="194"/>
        <v>208.27875299762329</v>
      </c>
      <c r="H369" s="3">
        <f t="shared" si="195"/>
        <v>81.256230789298584</v>
      </c>
      <c r="I369">
        <f t="shared" si="180"/>
        <v>8.1256230789298584E-5</v>
      </c>
      <c r="J369" s="4">
        <f t="shared" si="196"/>
        <v>472.6025020739998</v>
      </c>
      <c r="K369" s="40">
        <f t="shared" si="197"/>
        <v>5.8162001545393043</v>
      </c>
      <c r="L369" s="40">
        <f t="shared" si="181"/>
        <v>0.18379984546069572</v>
      </c>
      <c r="M369" s="10">
        <f t="shared" si="198"/>
        <v>5.0878419083885058</v>
      </c>
      <c r="N369" s="10">
        <f t="shared" si="177"/>
        <v>8.26</v>
      </c>
      <c r="O369" s="10">
        <f t="shared" si="178"/>
        <v>0.31900000000000001</v>
      </c>
      <c r="P369" s="10">
        <f t="shared" si="199"/>
        <v>13.87919470588839</v>
      </c>
      <c r="Q369" s="42">
        <f t="shared" si="200"/>
        <v>0.16672877358616536</v>
      </c>
      <c r="R369" s="4">
        <f t="shared" si="201"/>
        <v>59581.414434024584</v>
      </c>
      <c r="S369">
        <f t="shared" si="182"/>
        <v>5.9581414434024585E-5</v>
      </c>
      <c r="T369" s="41">
        <f t="shared" si="183"/>
        <v>1.2022295760785925E-4</v>
      </c>
      <c r="U369" s="42">
        <f t="shared" si="202"/>
        <v>0.10692182727257882</v>
      </c>
      <c r="V369" s="42">
        <f t="shared" si="203"/>
        <v>0.45677076277292666</v>
      </c>
      <c r="W369" s="42">
        <f t="shared" si="204"/>
        <v>0.45267004656017756</v>
      </c>
      <c r="X369" s="42">
        <f t="shared" si="205"/>
        <v>4.1007162127491004E-3</v>
      </c>
      <c r="Y369" s="42">
        <f t="shared" si="179"/>
        <v>1.8544987928421216E-3</v>
      </c>
      <c r="Z369" s="10">
        <f t="shared" si="206"/>
        <v>15.425496342313314</v>
      </c>
      <c r="AA369">
        <f t="shared" si="184"/>
        <v>5088066.6384590287</v>
      </c>
      <c r="AB369" s="10">
        <f t="shared" si="185"/>
        <v>5.0880666384590283</v>
      </c>
      <c r="AC369" s="10">
        <f t="shared" si="186"/>
        <v>4.9870666384590283</v>
      </c>
      <c r="AD369" s="3">
        <f t="shared" si="187"/>
        <v>723.28740224206365</v>
      </c>
      <c r="AI369" s="94">
        <f t="shared" si="188"/>
        <v>0.45267004656017756</v>
      </c>
    </row>
    <row r="370" spans="2:35">
      <c r="B370" s="39">
        <f t="shared" si="189"/>
        <v>342</v>
      </c>
      <c r="C370" s="42">
        <f t="shared" si="190"/>
        <v>2.2717985611487062</v>
      </c>
      <c r="D370" s="10">
        <f t="shared" si="191"/>
        <v>3.2682014388509906</v>
      </c>
      <c r="E370" s="40">
        <f t="shared" si="192"/>
        <v>24.543597122298017</v>
      </c>
      <c r="F370" s="40">
        <f t="shared" si="193"/>
        <v>31.08</v>
      </c>
      <c r="G370" s="3">
        <f t="shared" si="194"/>
        <v>208.2256115108128</v>
      </c>
      <c r="H370" s="3">
        <f t="shared" si="195"/>
        <v>81.256230789298584</v>
      </c>
      <c r="I370">
        <f t="shared" si="180"/>
        <v>8.1256230789298584E-5</v>
      </c>
      <c r="J370" s="4">
        <f t="shared" si="196"/>
        <v>473.11455428206466</v>
      </c>
      <c r="K370" s="40">
        <f t="shared" si="197"/>
        <v>5.8225018523056287</v>
      </c>
      <c r="L370" s="40">
        <f t="shared" si="181"/>
        <v>0.17749814769437133</v>
      </c>
      <c r="M370" s="10">
        <f t="shared" si="198"/>
        <v>5.0880666384590283</v>
      </c>
      <c r="N370" s="10">
        <f t="shared" si="177"/>
        <v>8.26</v>
      </c>
      <c r="O370" s="10">
        <f t="shared" si="178"/>
        <v>0.31900000000000001</v>
      </c>
      <c r="P370" s="10">
        <f t="shared" si="199"/>
        <v>13.879390264074168</v>
      </c>
      <c r="Q370" s="42">
        <f t="shared" si="200"/>
        <v>0.16720737428294857</v>
      </c>
      <c r="R370" s="4">
        <f t="shared" si="201"/>
        <v>59459.590091423815</v>
      </c>
      <c r="S370">
        <f t="shared" si="182"/>
        <v>5.9459590091423818E-5</v>
      </c>
      <c r="T370" s="41">
        <f t="shared" si="183"/>
        <v>1.2034478195046002E-4</v>
      </c>
      <c r="U370" s="42">
        <f t="shared" si="202"/>
        <v>0.10670320739856459</v>
      </c>
      <c r="V370" s="42">
        <f t="shared" si="203"/>
        <v>0.45678971109658184</v>
      </c>
      <c r="W370" s="42">
        <f t="shared" si="204"/>
        <v>0.45269044595790386</v>
      </c>
      <c r="X370" s="42">
        <f t="shared" si="205"/>
        <v>4.0992651386779766E-3</v>
      </c>
      <c r="Y370" s="42">
        <f t="shared" si="179"/>
        <v>1.856460703993792E-3</v>
      </c>
      <c r="Z370" s="10">
        <f t="shared" si="206"/>
        <v>15.426183619311429</v>
      </c>
      <c r="AA370">
        <f t="shared" si="184"/>
        <v>5088288.8352760784</v>
      </c>
      <c r="AB370" s="10">
        <f t="shared" si="185"/>
        <v>5.088288835276078</v>
      </c>
      <c r="AC370" s="10">
        <f t="shared" si="186"/>
        <v>4.987288835276078</v>
      </c>
      <c r="AD370" s="3">
        <f t="shared" si="187"/>
        <v>723.31962803133842</v>
      </c>
      <c r="AI370" s="94">
        <f t="shared" si="188"/>
        <v>0.45269044595790386</v>
      </c>
    </row>
    <row r="371" spans="2:35">
      <c r="B371" s="39">
        <f t="shared" si="189"/>
        <v>343</v>
      </c>
      <c r="C371" s="42">
        <f t="shared" si="190"/>
        <v>2.2784412470000182</v>
      </c>
      <c r="D371" s="10">
        <f t="shared" si="191"/>
        <v>3.2615587529996777</v>
      </c>
      <c r="E371" s="40">
        <f t="shared" si="192"/>
        <v>24.556882494000643</v>
      </c>
      <c r="F371" s="40">
        <f t="shared" si="193"/>
        <v>31.08</v>
      </c>
      <c r="G371" s="3">
        <f t="shared" si="194"/>
        <v>208.17247002400231</v>
      </c>
      <c r="H371" s="3">
        <f t="shared" si="195"/>
        <v>81.256230789298584</v>
      </c>
      <c r="I371">
        <f t="shared" si="180"/>
        <v>8.1256230789298584E-5</v>
      </c>
      <c r="J371" s="4">
        <f t="shared" si="196"/>
        <v>473.62688373741116</v>
      </c>
      <c r="K371" s="40">
        <f t="shared" si="197"/>
        <v>5.8288069620845331</v>
      </c>
      <c r="L371" s="40">
        <f t="shared" si="181"/>
        <v>0.17119303791546692</v>
      </c>
      <c r="M371" s="10">
        <f t="shared" si="198"/>
        <v>5.088288835276078</v>
      </c>
      <c r="N371" s="10">
        <f t="shared" si="177"/>
        <v>8.26</v>
      </c>
      <c r="O371" s="10">
        <f t="shared" si="178"/>
        <v>0.31900000000000001</v>
      </c>
      <c r="P371" s="10">
        <f t="shared" si="199"/>
        <v>13.879583612061516</v>
      </c>
      <c r="Q371" s="42">
        <f t="shared" si="200"/>
        <v>0.16768596831263829</v>
      </c>
      <c r="R371" s="4">
        <f t="shared" si="201"/>
        <v>59337.762456002944</v>
      </c>
      <c r="S371">
        <f t="shared" si="182"/>
        <v>5.9337762456002941E-5</v>
      </c>
      <c r="T371" s="41">
        <f t="shared" si="183"/>
        <v>1.2046660958588089E-4</v>
      </c>
      <c r="U371" s="42">
        <f t="shared" si="202"/>
        <v>0.10648458161542007</v>
      </c>
      <c r="V371" s="42">
        <f t="shared" si="203"/>
        <v>0.45680842129656157</v>
      </c>
      <c r="W371" s="42">
        <f t="shared" si="204"/>
        <v>0.45271061540489393</v>
      </c>
      <c r="X371" s="42">
        <f t="shared" si="205"/>
        <v>4.0978058916676385E-3</v>
      </c>
      <c r="Y371" s="42">
        <f t="shared" si="179"/>
        <v>1.8584218894283715E-3</v>
      </c>
      <c r="Z371" s="10">
        <f t="shared" si="206"/>
        <v>15.426863060369428</v>
      </c>
      <c r="AA371">
        <f t="shared" si="184"/>
        <v>5088508.4987318246</v>
      </c>
      <c r="AB371" s="10">
        <f t="shared" si="185"/>
        <v>5.0885084987318248</v>
      </c>
      <c r="AC371" s="10">
        <f t="shared" si="186"/>
        <v>4.9875084987318248</v>
      </c>
      <c r="AD371" s="3">
        <f t="shared" si="187"/>
        <v>723.35148640055468</v>
      </c>
      <c r="AI371" s="94">
        <f t="shared" si="188"/>
        <v>0.45271061540489393</v>
      </c>
    </row>
    <row r="372" spans="2:35">
      <c r="B372" s="39">
        <f t="shared" si="189"/>
        <v>344</v>
      </c>
      <c r="C372" s="42">
        <f t="shared" si="190"/>
        <v>2.2850839328513302</v>
      </c>
      <c r="D372" s="10">
        <f t="shared" si="191"/>
        <v>3.2549160671483648</v>
      </c>
      <c r="E372" s="40">
        <f t="shared" si="192"/>
        <v>24.570167865703269</v>
      </c>
      <c r="F372" s="40">
        <f t="shared" si="193"/>
        <v>31.08</v>
      </c>
      <c r="G372" s="3">
        <f t="shared" si="194"/>
        <v>208.11932853719182</v>
      </c>
      <c r="H372" s="3">
        <f t="shared" si="195"/>
        <v>81.256230789298584</v>
      </c>
      <c r="I372">
        <f t="shared" si="180"/>
        <v>8.1256230789298584E-5</v>
      </c>
      <c r="J372" s="4">
        <f t="shared" si="196"/>
        <v>474.1394904400392</v>
      </c>
      <c r="K372" s="40">
        <f t="shared" si="197"/>
        <v>5.8351154838760158</v>
      </c>
      <c r="L372" s="40">
        <f t="shared" si="181"/>
        <v>0.16488451612398425</v>
      </c>
      <c r="M372" s="10">
        <f t="shared" si="198"/>
        <v>5.0885084987318248</v>
      </c>
      <c r="N372" s="10">
        <f t="shared" si="177"/>
        <v>8.26</v>
      </c>
      <c r="O372" s="10">
        <f t="shared" si="178"/>
        <v>0.31900000000000001</v>
      </c>
      <c r="P372" s="10">
        <f t="shared" si="199"/>
        <v>13.879774749953697</v>
      </c>
      <c r="Q372" s="42">
        <f t="shared" si="200"/>
        <v>0.16816455575162639</v>
      </c>
      <c r="R372" s="4">
        <f t="shared" si="201"/>
        <v>59215.931571961984</v>
      </c>
      <c r="S372">
        <f t="shared" si="182"/>
        <v>5.9215931571961987E-5</v>
      </c>
      <c r="T372" s="41">
        <f t="shared" si="183"/>
        <v>1.2058844046992185E-4</v>
      </c>
      <c r="U372" s="42">
        <f t="shared" si="202"/>
        <v>0.10626595000246437</v>
      </c>
      <c r="V372" s="42">
        <f t="shared" si="203"/>
        <v>0.45682689336343818</v>
      </c>
      <c r="W372" s="42">
        <f t="shared" si="204"/>
        <v>0.45273055489135988</v>
      </c>
      <c r="X372" s="42">
        <f t="shared" si="205"/>
        <v>4.096338472078298E-3</v>
      </c>
      <c r="Y372" s="42">
        <f t="shared" si="179"/>
        <v>1.8603823455669518E-3</v>
      </c>
      <c r="Z372" s="10">
        <f t="shared" si="206"/>
        <v>15.427534665157093</v>
      </c>
      <c r="AA372">
        <f t="shared" si="184"/>
        <v>5088725.6287195059</v>
      </c>
      <c r="AB372" s="10">
        <f t="shared" si="185"/>
        <v>5.088725628719506</v>
      </c>
      <c r="AC372" s="10">
        <f t="shared" si="186"/>
        <v>4.987725628719506</v>
      </c>
      <c r="AD372" s="3">
        <f t="shared" si="187"/>
        <v>723.3829773342286</v>
      </c>
      <c r="AI372" s="94">
        <f t="shared" si="188"/>
        <v>0.45273055489135988</v>
      </c>
    </row>
    <row r="373" spans="2:35">
      <c r="B373" s="39">
        <f t="shared" si="189"/>
        <v>345</v>
      </c>
      <c r="C373" s="42">
        <f t="shared" si="190"/>
        <v>2.2917266187026422</v>
      </c>
      <c r="D373" s="10">
        <f t="shared" si="191"/>
        <v>3.2482733812970519</v>
      </c>
      <c r="E373" s="40">
        <f t="shared" si="192"/>
        <v>24.583453237405894</v>
      </c>
      <c r="F373" s="40">
        <f t="shared" si="193"/>
        <v>31.08</v>
      </c>
      <c r="G373" s="3">
        <f t="shared" si="194"/>
        <v>208.06618705038133</v>
      </c>
      <c r="H373" s="3">
        <f t="shared" si="195"/>
        <v>81.256230789298584</v>
      </c>
      <c r="I373">
        <f t="shared" si="180"/>
        <v>8.1256230789298584E-5</v>
      </c>
      <c r="J373" s="4">
        <f t="shared" si="196"/>
        <v>474.65237438994876</v>
      </c>
      <c r="K373" s="40">
        <f t="shared" si="197"/>
        <v>5.8414274176800767</v>
      </c>
      <c r="L373" s="40">
        <f t="shared" si="181"/>
        <v>0.15857258231992333</v>
      </c>
      <c r="M373" s="10">
        <f t="shared" si="198"/>
        <v>5.088725628719506</v>
      </c>
      <c r="N373" s="10">
        <f t="shared" si="177"/>
        <v>8.26</v>
      </c>
      <c r="O373" s="10">
        <f t="shared" si="178"/>
        <v>0.31900000000000001</v>
      </c>
      <c r="P373" s="10">
        <f t="shared" si="199"/>
        <v>13.879963677852636</v>
      </c>
      <c r="Q373" s="42">
        <f t="shared" si="200"/>
        <v>0.16864313667629491</v>
      </c>
      <c r="R373" s="4">
        <f t="shared" si="201"/>
        <v>59094.097483500947</v>
      </c>
      <c r="S373">
        <f t="shared" si="182"/>
        <v>5.9094097483500947E-5</v>
      </c>
      <c r="T373" s="41">
        <f t="shared" si="183"/>
        <v>1.2071027455838289E-4</v>
      </c>
      <c r="U373" s="42">
        <f t="shared" si="202"/>
        <v>0.10604731263901661</v>
      </c>
      <c r="V373" s="42">
        <f t="shared" si="203"/>
        <v>0.45684512728793586</v>
      </c>
      <c r="W373" s="42">
        <f t="shared" si="204"/>
        <v>0.45275026440761063</v>
      </c>
      <c r="X373" s="42">
        <f t="shared" si="205"/>
        <v>4.094862880325234E-3</v>
      </c>
      <c r="Y373" s="42">
        <f t="shared" si="179"/>
        <v>1.8623420688306087E-3</v>
      </c>
      <c r="Z373" s="10">
        <f t="shared" si="206"/>
        <v>15.428198433347658</v>
      </c>
      <c r="AA373">
        <f t="shared" si="184"/>
        <v>5088940.2251334814</v>
      </c>
      <c r="AB373" s="10">
        <f t="shared" si="185"/>
        <v>5.0889402251334817</v>
      </c>
      <c r="AC373" s="10">
        <f t="shared" si="186"/>
        <v>4.9879402251334817</v>
      </c>
      <c r="AD373" s="3">
        <f t="shared" si="187"/>
        <v>723.41410081703862</v>
      </c>
      <c r="AI373" s="94">
        <f t="shared" si="188"/>
        <v>0.45275026440761063</v>
      </c>
    </row>
    <row r="374" spans="2:35">
      <c r="B374" s="39">
        <f t="shared" si="189"/>
        <v>346</v>
      </c>
      <c r="C374" s="42">
        <f t="shared" si="190"/>
        <v>2.2983693045539542</v>
      </c>
      <c r="D374" s="10">
        <f t="shared" si="191"/>
        <v>3.241630695445739</v>
      </c>
      <c r="E374" s="40">
        <f t="shared" si="192"/>
        <v>24.59673860910852</v>
      </c>
      <c r="F374" s="40">
        <f t="shared" si="193"/>
        <v>31.08</v>
      </c>
      <c r="G374" s="3">
        <f t="shared" si="194"/>
        <v>208.01304556357084</v>
      </c>
      <c r="H374" s="3">
        <f t="shared" si="195"/>
        <v>81.256230789298584</v>
      </c>
      <c r="I374">
        <f t="shared" si="180"/>
        <v>8.1256230789298584E-5</v>
      </c>
      <c r="J374" s="4">
        <f t="shared" si="196"/>
        <v>475.16553558713991</v>
      </c>
      <c r="K374" s="40">
        <f t="shared" si="197"/>
        <v>5.8477427634967167</v>
      </c>
      <c r="L374" s="40">
        <f t="shared" si="181"/>
        <v>0.15225723650328327</v>
      </c>
      <c r="M374" s="10">
        <f t="shared" si="198"/>
        <v>5.0889402251334817</v>
      </c>
      <c r="N374" s="10">
        <f t="shared" si="177"/>
        <v>8.26</v>
      </c>
      <c r="O374" s="10">
        <f t="shared" si="178"/>
        <v>0.31900000000000001</v>
      </c>
      <c r="P374" s="10">
        <f t="shared" si="199"/>
        <v>13.88015039585898</v>
      </c>
      <c r="Q374" s="42">
        <f t="shared" si="200"/>
        <v>0.16912171116301616</v>
      </c>
      <c r="R374" s="4">
        <f t="shared" si="201"/>
        <v>58972.260234819805</v>
      </c>
      <c r="S374">
        <f t="shared" si="182"/>
        <v>5.8972260234819808E-5</v>
      </c>
      <c r="T374" s="41">
        <f t="shared" si="183"/>
        <v>1.2083211180706403E-4</v>
      </c>
      <c r="U374" s="42">
        <f t="shared" si="202"/>
        <v>0.10582866960439588</v>
      </c>
      <c r="V374" s="42">
        <f t="shared" si="203"/>
        <v>0.45686312306087323</v>
      </c>
      <c r="W374" s="42">
        <f t="shared" si="204"/>
        <v>0.45276974394405695</v>
      </c>
      <c r="X374" s="42">
        <f t="shared" si="205"/>
        <v>4.093379116816287E-3</v>
      </c>
      <c r="Y374" s="42">
        <f t="shared" si="179"/>
        <v>1.8643010556403945E-3</v>
      </c>
      <c r="Z374" s="10">
        <f t="shared" si="206"/>
        <v>15.428854364617706</v>
      </c>
      <c r="AA374">
        <f t="shared" si="184"/>
        <v>5089152.2878691871</v>
      </c>
      <c r="AB374" s="10">
        <f t="shared" si="185"/>
        <v>5.0891522878691875</v>
      </c>
      <c r="AC374" s="10">
        <f t="shared" si="186"/>
        <v>4.9881522878691875</v>
      </c>
      <c r="AD374" s="3">
        <f t="shared" si="187"/>
        <v>723.4448568338197</v>
      </c>
      <c r="AI374" s="94">
        <f t="shared" si="188"/>
        <v>0.45276974394405695</v>
      </c>
    </row>
    <row r="375" spans="2:35">
      <c r="B375" s="39">
        <f t="shared" si="189"/>
        <v>347</v>
      </c>
      <c r="C375" s="42">
        <f t="shared" si="190"/>
        <v>2.3050119904052662</v>
      </c>
      <c r="D375" s="10">
        <f t="shared" si="191"/>
        <v>3.2349880095944261</v>
      </c>
      <c r="E375" s="40">
        <f t="shared" si="192"/>
        <v>24.610023980811146</v>
      </c>
      <c r="F375" s="40">
        <f t="shared" si="193"/>
        <v>31.08</v>
      </c>
      <c r="G375" s="3">
        <f t="shared" si="194"/>
        <v>207.95990407676035</v>
      </c>
      <c r="H375" s="3">
        <f t="shared" si="195"/>
        <v>81.256230789298584</v>
      </c>
      <c r="I375">
        <f t="shared" si="180"/>
        <v>8.1256230789298584E-5</v>
      </c>
      <c r="J375" s="4">
        <f t="shared" si="196"/>
        <v>475.67897403161254</v>
      </c>
      <c r="K375" s="40">
        <f t="shared" si="197"/>
        <v>5.854061521325935</v>
      </c>
      <c r="L375" s="40">
        <f t="shared" si="181"/>
        <v>0.14593847867406495</v>
      </c>
      <c r="M375" s="10">
        <f t="shared" si="198"/>
        <v>5.0891522878691875</v>
      </c>
      <c r="N375" s="10">
        <f t="shared" si="177"/>
        <v>8.26</v>
      </c>
      <c r="O375" s="10">
        <f t="shared" si="178"/>
        <v>0.31900000000000001</v>
      </c>
      <c r="P375" s="10">
        <f t="shared" si="199"/>
        <v>13.880334904072058</v>
      </c>
      <c r="Q375" s="42">
        <f t="shared" si="200"/>
        <v>0.16960027928815291</v>
      </c>
      <c r="R375" s="4">
        <f t="shared" si="201"/>
        <v>58850.419870118589</v>
      </c>
      <c r="S375">
        <f t="shared" si="182"/>
        <v>5.8850419870118586E-5</v>
      </c>
      <c r="T375" s="41">
        <f t="shared" si="183"/>
        <v>1.2095395217176524E-4</v>
      </c>
      <c r="U375" s="42">
        <f t="shared" si="202"/>
        <v>0.1056100209779213</v>
      </c>
      <c r="V375" s="42">
        <f t="shared" si="203"/>
        <v>0.45688088067316512</v>
      </c>
      <c r="W375" s="42">
        <f t="shared" si="204"/>
        <v>0.45278899349120694</v>
      </c>
      <c r="X375" s="42">
        <f t="shared" si="205"/>
        <v>4.091887181958187E-3</v>
      </c>
      <c r="Y375" s="42">
        <f t="shared" si="179"/>
        <v>1.8662593024173352E-3</v>
      </c>
      <c r="Z375" s="10">
        <f t="shared" si="206"/>
        <v>15.429502458647097</v>
      </c>
      <c r="AA375">
        <f t="shared" si="184"/>
        <v>5089361.816823124</v>
      </c>
      <c r="AB375" s="10">
        <f t="shared" si="185"/>
        <v>5.0893618168231241</v>
      </c>
      <c r="AC375" s="10">
        <f t="shared" si="186"/>
        <v>4.9883618168231241</v>
      </c>
      <c r="AD375" s="3">
        <f t="shared" si="187"/>
        <v>723.47524536956109</v>
      </c>
      <c r="AI375" s="94">
        <f t="shared" si="188"/>
        <v>0.45278899349120694</v>
      </c>
    </row>
    <row r="376" spans="2:35">
      <c r="B376" s="39">
        <f t="shared" si="189"/>
        <v>348</v>
      </c>
      <c r="C376" s="42">
        <f t="shared" si="190"/>
        <v>2.3116546762565782</v>
      </c>
      <c r="D376" s="10">
        <f t="shared" si="191"/>
        <v>3.2283453237431132</v>
      </c>
      <c r="E376" s="40">
        <f t="shared" si="192"/>
        <v>24.623309352513772</v>
      </c>
      <c r="F376" s="40">
        <f t="shared" si="193"/>
        <v>31.08</v>
      </c>
      <c r="G376" s="3">
        <f t="shared" si="194"/>
        <v>207.90676258994986</v>
      </c>
      <c r="H376" s="3">
        <f t="shared" si="195"/>
        <v>81.256230789298584</v>
      </c>
      <c r="I376">
        <f t="shared" si="180"/>
        <v>8.1256230789298584E-5</v>
      </c>
      <c r="J376" s="4">
        <f t="shared" si="196"/>
        <v>476.19268972336675</v>
      </c>
      <c r="K376" s="40">
        <f t="shared" si="197"/>
        <v>5.8603836911677316</v>
      </c>
      <c r="L376" s="40">
        <f t="shared" si="181"/>
        <v>0.13961630883226839</v>
      </c>
      <c r="M376" s="10">
        <f t="shared" si="198"/>
        <v>5.0893618168231241</v>
      </c>
      <c r="N376" s="10">
        <f t="shared" si="177"/>
        <v>8.26</v>
      </c>
      <c r="O376" s="10">
        <f t="shared" si="178"/>
        <v>0.31900000000000001</v>
      </c>
      <c r="P376" s="10">
        <f t="shared" si="199"/>
        <v>13.880517202589855</v>
      </c>
      <c r="Q376" s="42">
        <f t="shared" si="200"/>
        <v>0.17007884112805846</v>
      </c>
      <c r="R376" s="4">
        <f t="shared" si="201"/>
        <v>58728.576433597271</v>
      </c>
      <c r="S376">
        <f t="shared" si="182"/>
        <v>5.872857643359727E-5</v>
      </c>
      <c r="T376" s="41">
        <f t="shared" si="183"/>
        <v>1.2107579560828656E-4</v>
      </c>
      <c r="U376" s="42">
        <f t="shared" si="202"/>
        <v>0.10539136683891197</v>
      </c>
      <c r="V376" s="42">
        <f t="shared" si="203"/>
        <v>0.45689840011582294</v>
      </c>
      <c r="W376" s="42">
        <f t="shared" si="204"/>
        <v>0.452808013039666</v>
      </c>
      <c r="X376" s="42">
        <f t="shared" si="205"/>
        <v>4.0903870761569427E-3</v>
      </c>
      <c r="Y376" s="42">
        <f t="shared" si="179"/>
        <v>1.8682168055824267E-3</v>
      </c>
      <c r="Z376" s="10">
        <f t="shared" si="206"/>
        <v>15.430142715118892</v>
      </c>
      <c r="AA376">
        <f t="shared" si="184"/>
        <v>5089568.8118928252</v>
      </c>
      <c r="AB376" s="10">
        <f t="shared" si="185"/>
        <v>5.0895688118928248</v>
      </c>
      <c r="AC376" s="10">
        <f t="shared" si="186"/>
        <v>4.9885688118928249</v>
      </c>
      <c r="AD376" s="3">
        <f t="shared" si="187"/>
        <v>723.50526640940177</v>
      </c>
      <c r="AI376" s="94">
        <f t="shared" si="188"/>
        <v>0.452808013039666</v>
      </c>
    </row>
    <row r="377" spans="2:35">
      <c r="B377" s="39">
        <f t="shared" si="189"/>
        <v>349</v>
      </c>
      <c r="C377" s="42">
        <f t="shared" si="190"/>
        <v>2.3182973621078902</v>
      </c>
      <c r="D377" s="10">
        <f t="shared" si="191"/>
        <v>3.2217026378918003</v>
      </c>
      <c r="E377" s="40">
        <f t="shared" si="192"/>
        <v>24.636594724216398</v>
      </c>
      <c r="F377" s="40">
        <f t="shared" si="193"/>
        <v>31.08</v>
      </c>
      <c r="G377" s="3">
        <f t="shared" si="194"/>
        <v>207.85362110313937</v>
      </c>
      <c r="H377" s="3">
        <f t="shared" si="195"/>
        <v>81.256230789298584</v>
      </c>
      <c r="I377">
        <f t="shared" si="180"/>
        <v>8.1256230789298584E-5</v>
      </c>
      <c r="J377" s="4">
        <f t="shared" si="196"/>
        <v>476.70668266240261</v>
      </c>
      <c r="K377" s="40">
        <f t="shared" si="197"/>
        <v>5.8667092730221091</v>
      </c>
      <c r="L377" s="40">
        <f t="shared" si="181"/>
        <v>0.13329072697789091</v>
      </c>
      <c r="M377" s="10">
        <f t="shared" si="198"/>
        <v>5.0895688118928248</v>
      </c>
      <c r="N377" s="10">
        <f t="shared" si="177"/>
        <v>8.26</v>
      </c>
      <c r="O377" s="10">
        <f t="shared" si="178"/>
        <v>0.31900000000000001</v>
      </c>
      <c r="P377" s="10">
        <f t="shared" si="199"/>
        <v>13.880697291509007</v>
      </c>
      <c r="Q377" s="42">
        <f t="shared" si="200"/>
        <v>0.17055739675907675</v>
      </c>
      <c r="R377" s="4">
        <f t="shared" si="201"/>
        <v>58606.729969455839</v>
      </c>
      <c r="S377">
        <f t="shared" si="182"/>
        <v>5.8606729969455841E-5</v>
      </c>
      <c r="T377" s="41">
        <f t="shared" si="183"/>
        <v>1.2119764207242799E-4</v>
      </c>
      <c r="U377" s="42">
        <f t="shared" si="202"/>
        <v>0.10517270726668697</v>
      </c>
      <c r="V377" s="42">
        <f t="shared" si="203"/>
        <v>0.45691568138009209</v>
      </c>
      <c r="W377" s="42">
        <f t="shared" si="204"/>
        <v>0.45282680258013286</v>
      </c>
      <c r="X377" s="42">
        <f t="shared" si="205"/>
        <v>4.088878799959228E-3</v>
      </c>
      <c r="Y377" s="42">
        <f t="shared" si="179"/>
        <v>1.8701735615566984E-3</v>
      </c>
      <c r="Z377" s="10">
        <f t="shared" si="206"/>
        <v>15.430775133719832</v>
      </c>
      <c r="AA377">
        <f t="shared" si="184"/>
        <v>5089773.2729770131</v>
      </c>
      <c r="AB377" s="10">
        <f t="shared" si="185"/>
        <v>5.0897732729770135</v>
      </c>
      <c r="AC377" s="10">
        <f t="shared" si="186"/>
        <v>4.9887732729770136</v>
      </c>
      <c r="AD377" s="3">
        <f t="shared" si="187"/>
        <v>723.53491993865305</v>
      </c>
      <c r="AI377" s="94">
        <f t="shared" si="188"/>
        <v>0.45282680258013286</v>
      </c>
    </row>
    <row r="378" spans="2:35">
      <c r="B378" s="39">
        <f t="shared" si="189"/>
        <v>350</v>
      </c>
      <c r="C378" s="42">
        <f t="shared" si="190"/>
        <v>2.3249400479592022</v>
      </c>
      <c r="D378" s="10">
        <f t="shared" si="191"/>
        <v>3.2150599520404874</v>
      </c>
      <c r="E378" s="40">
        <f t="shared" si="192"/>
        <v>24.649880095919023</v>
      </c>
      <c r="F378" s="40">
        <f t="shared" si="193"/>
        <v>31.08</v>
      </c>
      <c r="G378" s="3">
        <f t="shared" si="194"/>
        <v>207.80047961632889</v>
      </c>
      <c r="H378" s="3">
        <f t="shared" si="195"/>
        <v>81.256230789298584</v>
      </c>
      <c r="I378">
        <f t="shared" si="180"/>
        <v>8.1256230789298584E-5</v>
      </c>
      <c r="J378" s="4">
        <f t="shared" si="196"/>
        <v>477.22095284872</v>
      </c>
      <c r="K378" s="40">
        <f t="shared" si="197"/>
        <v>5.8730382668890648</v>
      </c>
      <c r="L378" s="40">
        <f t="shared" si="181"/>
        <v>0.12696173311093517</v>
      </c>
      <c r="M378" s="10">
        <f t="shared" si="198"/>
        <v>5.0897732729770135</v>
      </c>
      <c r="N378" s="10">
        <f t="shared" si="177"/>
        <v>8.26</v>
      </c>
      <c r="O378" s="10">
        <f t="shared" si="178"/>
        <v>0.31900000000000001</v>
      </c>
      <c r="P378" s="10">
        <f t="shared" si="199"/>
        <v>13.88087517092492</v>
      </c>
      <c r="Q378" s="42">
        <f t="shared" si="200"/>
        <v>0.17103594625754251</v>
      </c>
      <c r="R378" s="4">
        <f t="shared" si="201"/>
        <v>58484.880521894316</v>
      </c>
      <c r="S378">
        <f t="shared" si="182"/>
        <v>5.8484880521894314E-5</v>
      </c>
      <c r="T378" s="41">
        <f t="shared" si="183"/>
        <v>1.2131949151998953E-4</v>
      </c>
      <c r="U378" s="42">
        <f t="shared" si="202"/>
        <v>0.10495404234056545</v>
      </c>
      <c r="V378" s="42">
        <f t="shared" si="203"/>
        <v>0.45693272445705824</v>
      </c>
      <c r="W378" s="42">
        <f t="shared" si="204"/>
        <v>0.45284536210341425</v>
      </c>
      <c r="X378" s="42">
        <f t="shared" si="205"/>
        <v>4.0873623536439863E-3</v>
      </c>
      <c r="Y378" s="42">
        <f t="shared" si="179"/>
        <v>1.8721295667610827E-3</v>
      </c>
      <c r="Z378" s="10">
        <f t="shared" si="206"/>
        <v>15.431399714139227</v>
      </c>
      <c r="AA378">
        <f t="shared" si="184"/>
        <v>5089975.1999752419</v>
      </c>
      <c r="AB378" s="10">
        <f t="shared" si="185"/>
        <v>5.0899751999752416</v>
      </c>
      <c r="AC378" s="10">
        <f t="shared" si="186"/>
        <v>4.9889751999752416</v>
      </c>
      <c r="AD378" s="3">
        <f t="shared" si="187"/>
        <v>723.56420594274721</v>
      </c>
      <c r="AI378" s="94">
        <f t="shared" si="188"/>
        <v>0.45284536210341425</v>
      </c>
    </row>
    <row r="379" spans="2:35">
      <c r="B379" s="39">
        <f t="shared" si="189"/>
        <v>351</v>
      </c>
      <c r="C379" s="42">
        <f t="shared" si="190"/>
        <v>2.3315827338105142</v>
      </c>
      <c r="D379" s="10">
        <f t="shared" si="191"/>
        <v>3.2084172661891746</v>
      </c>
      <c r="E379" s="40">
        <f t="shared" si="192"/>
        <v>24.663165467621649</v>
      </c>
      <c r="F379" s="40">
        <f t="shared" si="193"/>
        <v>31.08</v>
      </c>
      <c r="G379" s="3">
        <f t="shared" si="194"/>
        <v>207.7473381295184</v>
      </c>
      <c r="H379" s="3">
        <f t="shared" si="195"/>
        <v>81.256230789298584</v>
      </c>
      <c r="I379">
        <f t="shared" si="180"/>
        <v>8.1256230789298584E-5</v>
      </c>
      <c r="J379" s="4">
        <f t="shared" si="196"/>
        <v>477.73550028231898</v>
      </c>
      <c r="K379" s="40">
        <f t="shared" si="197"/>
        <v>5.8793706727685988</v>
      </c>
      <c r="L379" s="40">
        <f t="shared" si="181"/>
        <v>0.12062932723140118</v>
      </c>
      <c r="M379" s="10">
        <f t="shared" si="198"/>
        <v>5.0899751999752416</v>
      </c>
      <c r="N379" s="10">
        <f t="shared" si="177"/>
        <v>8.26</v>
      </c>
      <c r="O379" s="10">
        <f t="shared" si="178"/>
        <v>0.31900000000000001</v>
      </c>
      <c r="P379" s="10">
        <f t="shared" si="199"/>
        <v>13.881050840931467</v>
      </c>
      <c r="Q379" s="42">
        <f t="shared" si="200"/>
        <v>0.17151448969978136</v>
      </c>
      <c r="R379" s="4">
        <f t="shared" si="201"/>
        <v>58363.028135112683</v>
      </c>
      <c r="S379">
        <f t="shared" si="182"/>
        <v>5.8363028135112685E-5</v>
      </c>
      <c r="T379" s="41">
        <f t="shared" si="183"/>
        <v>1.2144134390677115E-4</v>
      </c>
      <c r="U379" s="42">
        <f t="shared" si="202"/>
        <v>0.10473537213986646</v>
      </c>
      <c r="V379" s="42">
        <f t="shared" si="203"/>
        <v>0.45694952933833088</v>
      </c>
      <c r="W379" s="42">
        <f t="shared" si="204"/>
        <v>0.45286369160039225</v>
      </c>
      <c r="X379" s="42">
        <f t="shared" si="205"/>
        <v>4.0858377379386357E-3</v>
      </c>
      <c r="Y379" s="42">
        <f t="shared" si="179"/>
        <v>1.8740848176166253E-3</v>
      </c>
      <c r="Z379" s="10">
        <f t="shared" si="206"/>
        <v>15.432016456070631</v>
      </c>
      <c r="AA379">
        <f t="shared" si="184"/>
        <v>5090174.5927884383</v>
      </c>
      <c r="AB379" s="10">
        <f t="shared" si="185"/>
        <v>5.0901745927884381</v>
      </c>
      <c r="AC379" s="10">
        <f t="shared" si="186"/>
        <v>4.9891745927884381</v>
      </c>
      <c r="AD379" s="3">
        <f t="shared" si="187"/>
        <v>723.59312440731514</v>
      </c>
      <c r="AI379" s="94">
        <f t="shared" si="188"/>
        <v>0.45286369160039225</v>
      </c>
    </row>
    <row r="380" spans="2:35">
      <c r="B380" s="39">
        <f t="shared" si="189"/>
        <v>352</v>
      </c>
      <c r="C380" s="42">
        <f t="shared" si="190"/>
        <v>2.3382254196618262</v>
      </c>
      <c r="D380" s="10">
        <f t="shared" si="191"/>
        <v>3.2017745803378617</v>
      </c>
      <c r="E380" s="40">
        <f t="shared" si="192"/>
        <v>24.676450839324275</v>
      </c>
      <c r="F380" s="40">
        <f t="shared" si="193"/>
        <v>31.08</v>
      </c>
      <c r="G380" s="3">
        <f t="shared" si="194"/>
        <v>207.69419664270791</v>
      </c>
      <c r="H380" s="3">
        <f t="shared" si="195"/>
        <v>81.256230789298584</v>
      </c>
      <c r="I380">
        <f t="shared" si="180"/>
        <v>8.1256230789298584E-5</v>
      </c>
      <c r="J380" s="4">
        <f t="shared" si="196"/>
        <v>478.25032496319949</v>
      </c>
      <c r="K380" s="40">
        <f t="shared" si="197"/>
        <v>5.8857064906607119</v>
      </c>
      <c r="L380" s="40">
        <f t="shared" si="181"/>
        <v>0.11429350933928806</v>
      </c>
      <c r="M380" s="10">
        <f t="shared" si="198"/>
        <v>5.0901745927884381</v>
      </c>
      <c r="N380" s="10">
        <f t="shared" si="177"/>
        <v>8.26</v>
      </c>
      <c r="O380" s="10">
        <f t="shared" si="178"/>
        <v>0.31900000000000001</v>
      </c>
      <c r="P380" s="10">
        <f t="shared" si="199"/>
        <v>13.881224301621465</v>
      </c>
      <c r="Q380" s="42">
        <f t="shared" si="200"/>
        <v>0.17199302716210996</v>
      </c>
      <c r="R380" s="4">
        <f t="shared" si="201"/>
        <v>58241.172853310949</v>
      </c>
      <c r="S380">
        <f t="shared" si="182"/>
        <v>5.824117285331095E-5</v>
      </c>
      <c r="T380" s="41">
        <f t="shared" si="183"/>
        <v>1.2156319918857288E-4</v>
      </c>
      <c r="U380" s="42">
        <f t="shared" si="202"/>
        <v>0.10451669674390915</v>
      </c>
      <c r="V380" s="42">
        <f t="shared" si="203"/>
        <v>0.4569660960151834</v>
      </c>
      <c r="W380" s="42">
        <f t="shared" si="204"/>
        <v>0.45288179106207394</v>
      </c>
      <c r="X380" s="42">
        <f t="shared" si="205"/>
        <v>4.0843049531094633E-3</v>
      </c>
      <c r="Y380" s="42">
        <f t="shared" si="179"/>
        <v>1.8760393105442623E-3</v>
      </c>
      <c r="Z380" s="10">
        <f t="shared" si="206"/>
        <v>15.432625359209968</v>
      </c>
      <c r="AA380">
        <f t="shared" si="184"/>
        <v>5090371.4513182938</v>
      </c>
      <c r="AB380" s="10">
        <f t="shared" si="185"/>
        <v>5.090371451318294</v>
      </c>
      <c r="AC380" s="10">
        <f t="shared" si="186"/>
        <v>4.9893714513182941</v>
      </c>
      <c r="AD380" s="3">
        <f t="shared" si="187"/>
        <v>723.62167531809916</v>
      </c>
      <c r="AI380" s="94">
        <f t="shared" si="188"/>
        <v>0.45288179106207394</v>
      </c>
    </row>
    <row r="381" spans="2:35">
      <c r="B381" s="39">
        <f t="shared" si="189"/>
        <v>353</v>
      </c>
      <c r="C381" s="42">
        <f t="shared" si="190"/>
        <v>2.3448681055131382</v>
      </c>
      <c r="D381" s="10">
        <f t="shared" si="191"/>
        <v>3.1951318944865488</v>
      </c>
      <c r="E381" s="40">
        <f t="shared" si="192"/>
        <v>24.689736211026901</v>
      </c>
      <c r="F381" s="40">
        <f t="shared" si="193"/>
        <v>31.08</v>
      </c>
      <c r="G381" s="3">
        <f t="shared" si="194"/>
        <v>207.64105515589742</v>
      </c>
      <c r="H381" s="3">
        <f t="shared" si="195"/>
        <v>81.256230789298584</v>
      </c>
      <c r="I381">
        <f t="shared" si="180"/>
        <v>8.1256230789298584E-5</v>
      </c>
      <c r="J381" s="4">
        <f t="shared" si="196"/>
        <v>478.76542689136153</v>
      </c>
      <c r="K381" s="40">
        <f t="shared" si="197"/>
        <v>5.8920457205654042</v>
      </c>
      <c r="L381" s="40">
        <f t="shared" si="181"/>
        <v>0.10795427943459579</v>
      </c>
      <c r="M381" s="10">
        <f t="shared" si="198"/>
        <v>5.090371451318294</v>
      </c>
      <c r="N381" s="10">
        <f t="shared" si="177"/>
        <v>8.26</v>
      </c>
      <c r="O381" s="10">
        <f t="shared" si="178"/>
        <v>0.31900000000000001</v>
      </c>
      <c r="P381" s="10">
        <f t="shared" si="199"/>
        <v>13.881395553086126</v>
      </c>
      <c r="Q381" s="42">
        <f t="shared" si="200"/>
        <v>0.17247155872083608</v>
      </c>
      <c r="R381" s="4">
        <f t="shared" si="201"/>
        <v>58119.314720689123</v>
      </c>
      <c r="S381">
        <f t="shared" si="182"/>
        <v>5.8119314720689123E-5</v>
      </c>
      <c r="T381" s="41">
        <f t="shared" si="183"/>
        <v>1.216850573211947E-4</v>
      </c>
      <c r="U381" s="42">
        <f t="shared" si="202"/>
        <v>0.10429801623201265</v>
      </c>
      <c r="V381" s="42">
        <f t="shared" si="203"/>
        <v>0.45698242447924375</v>
      </c>
      <c r="W381" s="42">
        <f t="shared" si="204"/>
        <v>0.45289966047953545</v>
      </c>
      <c r="X381" s="42">
        <f t="shared" si="205"/>
        <v>4.0827639997083054E-3</v>
      </c>
      <c r="Y381" s="42">
        <f t="shared" si="179"/>
        <v>1.8779930419649535E-3</v>
      </c>
      <c r="Z381" s="10">
        <f t="shared" si="206"/>
        <v>15.433226423256579</v>
      </c>
      <c r="AA381">
        <f t="shared" si="184"/>
        <v>5090565.7754676063</v>
      </c>
      <c r="AB381" s="10">
        <f t="shared" si="185"/>
        <v>5.0905657754676064</v>
      </c>
      <c r="AC381" s="10">
        <f t="shared" si="186"/>
        <v>4.9895657754676064</v>
      </c>
      <c r="AD381" s="3">
        <f t="shared" si="187"/>
        <v>723.64985866100164</v>
      </c>
      <c r="AI381" s="94">
        <f t="shared" si="188"/>
        <v>0.45289966047953545</v>
      </c>
    </row>
    <row r="382" spans="2:35">
      <c r="B382" s="39">
        <f t="shared" si="189"/>
        <v>354</v>
      </c>
      <c r="C382" s="42">
        <f t="shared" si="190"/>
        <v>2.3515107913644502</v>
      </c>
      <c r="D382" s="10">
        <f t="shared" si="191"/>
        <v>3.1884892086352359</v>
      </c>
      <c r="E382" s="40">
        <f t="shared" si="192"/>
        <v>24.703021582729527</v>
      </c>
      <c r="F382" s="40">
        <f t="shared" si="193"/>
        <v>31.08</v>
      </c>
      <c r="G382" s="3">
        <f t="shared" si="194"/>
        <v>207.58791366908693</v>
      </c>
      <c r="H382" s="3">
        <f t="shared" si="195"/>
        <v>81.256230789298584</v>
      </c>
      <c r="I382">
        <f t="shared" si="180"/>
        <v>8.1256230789298584E-5</v>
      </c>
      <c r="J382" s="4">
        <f t="shared" si="196"/>
        <v>479.2808060668051</v>
      </c>
      <c r="K382" s="40">
        <f t="shared" si="197"/>
        <v>5.8983883624826738</v>
      </c>
      <c r="L382" s="40">
        <f t="shared" si="181"/>
        <v>0.10161163751732616</v>
      </c>
      <c r="M382" s="10">
        <f t="shared" si="198"/>
        <v>5.0905657754676064</v>
      </c>
      <c r="N382" s="10">
        <f t="shared" si="177"/>
        <v>8.26</v>
      </c>
      <c r="O382" s="10">
        <f t="shared" si="178"/>
        <v>0.31900000000000001</v>
      </c>
      <c r="P382" s="10">
        <f t="shared" si="199"/>
        <v>13.881564595415382</v>
      </c>
      <c r="Q382" s="42">
        <f t="shared" si="200"/>
        <v>0.17295008445225873</v>
      </c>
      <c r="R382" s="4">
        <f t="shared" si="201"/>
        <v>57997.453781447191</v>
      </c>
      <c r="S382">
        <f t="shared" si="182"/>
        <v>5.7997453781447193E-5</v>
      </c>
      <c r="T382" s="41">
        <f t="shared" si="183"/>
        <v>1.2180691826043665E-4</v>
      </c>
      <c r="U382" s="42">
        <f t="shared" si="202"/>
        <v>0.10407933068349605</v>
      </c>
      <c r="V382" s="42">
        <f t="shared" si="203"/>
        <v>0.45699851472240266</v>
      </c>
      <c r="W382" s="42">
        <f t="shared" si="204"/>
        <v>0.45291729984395346</v>
      </c>
      <c r="X382" s="42">
        <f t="shared" si="205"/>
        <v>4.0812148784492019E-3</v>
      </c>
      <c r="Y382" s="42">
        <f t="shared" si="179"/>
        <v>1.8799460082997565E-3</v>
      </c>
      <c r="Z382" s="10">
        <f t="shared" si="206"/>
        <v>15.433819647913793</v>
      </c>
      <c r="AA382">
        <f t="shared" si="184"/>
        <v>5090757.5651404597</v>
      </c>
      <c r="AB382" s="10">
        <f t="shared" si="185"/>
        <v>5.0907575651404597</v>
      </c>
      <c r="AC382" s="10">
        <f t="shared" si="186"/>
        <v>4.9897575651404598</v>
      </c>
      <c r="AD382" s="3">
        <f t="shared" si="187"/>
        <v>723.67767442211164</v>
      </c>
      <c r="AI382" s="94">
        <f t="shared" si="188"/>
        <v>0.45291729984395346</v>
      </c>
    </row>
    <row r="383" spans="2:35">
      <c r="B383" s="39">
        <f t="shared" si="189"/>
        <v>355</v>
      </c>
      <c r="C383" s="42">
        <f t="shared" si="190"/>
        <v>2.3581534772157622</v>
      </c>
      <c r="D383" s="10">
        <f t="shared" si="191"/>
        <v>3.181846522783923</v>
      </c>
      <c r="E383" s="40">
        <f t="shared" si="192"/>
        <v>24.716306954432152</v>
      </c>
      <c r="F383" s="40">
        <f t="shared" si="193"/>
        <v>31.08</v>
      </c>
      <c r="G383" s="3">
        <f t="shared" si="194"/>
        <v>207.53477218227644</v>
      </c>
      <c r="H383" s="3">
        <f t="shared" si="195"/>
        <v>81.256230789298584</v>
      </c>
      <c r="I383">
        <f t="shared" si="180"/>
        <v>8.1256230789298584E-5</v>
      </c>
      <c r="J383" s="4">
        <f t="shared" si="196"/>
        <v>479.79646248953026</v>
      </c>
      <c r="K383" s="40">
        <f t="shared" si="197"/>
        <v>5.9047344164125226</v>
      </c>
      <c r="L383" s="40">
        <f t="shared" si="181"/>
        <v>9.5265583587477387E-2</v>
      </c>
      <c r="M383" s="10">
        <f t="shared" si="198"/>
        <v>5.0907575651404597</v>
      </c>
      <c r="N383" s="10">
        <f t="shared" si="177"/>
        <v>8.26</v>
      </c>
      <c r="O383" s="10">
        <f t="shared" si="178"/>
        <v>0.31900000000000001</v>
      </c>
      <c r="P383" s="10">
        <f t="shared" si="199"/>
        <v>13.881731428698018</v>
      </c>
      <c r="Q383" s="42">
        <f t="shared" si="200"/>
        <v>0.17342860443266833</v>
      </c>
      <c r="R383" s="4">
        <f t="shared" si="201"/>
        <v>57875.59007978515</v>
      </c>
      <c r="S383">
        <f t="shared" si="182"/>
        <v>5.7875590079785148E-5</v>
      </c>
      <c r="T383" s="41">
        <f t="shared" si="183"/>
        <v>1.2192878196209869E-4</v>
      </c>
      <c r="U383" s="42">
        <f t="shared" si="202"/>
        <v>0.10386064017767843</v>
      </c>
      <c r="V383" s="42">
        <f t="shared" si="203"/>
        <v>0.45701436673642259</v>
      </c>
      <c r="W383" s="42">
        <f t="shared" si="204"/>
        <v>0.45293470914662143</v>
      </c>
      <c r="X383" s="42">
        <f t="shared" si="205"/>
        <v>4.0796575898011667E-3</v>
      </c>
      <c r="Y383" s="42">
        <f t="shared" si="179"/>
        <v>1.881898205969706E-3</v>
      </c>
      <c r="Z383" s="10">
        <f t="shared" si="206"/>
        <v>15.43440503288789</v>
      </c>
      <c r="AA383">
        <f t="shared" si="184"/>
        <v>5090946.8202418964</v>
      </c>
      <c r="AB383" s="10">
        <f t="shared" si="185"/>
        <v>5.0909468202418964</v>
      </c>
      <c r="AC383" s="10">
        <f t="shared" si="186"/>
        <v>4.9899468202418964</v>
      </c>
      <c r="AD383" s="3">
        <f t="shared" si="187"/>
        <v>723.70512258765723</v>
      </c>
      <c r="AI383" s="94">
        <f t="shared" si="188"/>
        <v>0.45293470914662143</v>
      </c>
    </row>
    <row r="384" spans="2:35">
      <c r="B384" s="39">
        <f t="shared" si="189"/>
        <v>356</v>
      </c>
      <c r="C384" s="42">
        <f t="shared" si="190"/>
        <v>2.3647961630670742</v>
      </c>
      <c r="D384" s="10">
        <f t="shared" si="191"/>
        <v>3.1752038369326101</v>
      </c>
      <c r="E384" s="40">
        <f t="shared" si="192"/>
        <v>24.729592326134778</v>
      </c>
      <c r="F384" s="40">
        <f t="shared" si="193"/>
        <v>31.08</v>
      </c>
      <c r="G384" s="3">
        <f t="shared" si="194"/>
        <v>207.48163069546595</v>
      </c>
      <c r="H384" s="3">
        <f t="shared" si="195"/>
        <v>81.256230789298584</v>
      </c>
      <c r="I384">
        <f t="shared" si="180"/>
        <v>8.1256230789298584E-5</v>
      </c>
      <c r="J384" s="4">
        <f t="shared" si="196"/>
        <v>480.312396159537</v>
      </c>
      <c r="K384" s="40">
        <f t="shared" si="197"/>
        <v>5.9110838823549514</v>
      </c>
      <c r="L384" s="40">
        <f t="shared" si="181"/>
        <v>8.8916117645048587E-2</v>
      </c>
      <c r="M384" s="10">
        <f t="shared" si="198"/>
        <v>5.0909468202418964</v>
      </c>
      <c r="N384" s="10">
        <f t="shared" si="177"/>
        <v>8.26</v>
      </c>
      <c r="O384" s="10">
        <f t="shared" si="178"/>
        <v>0.31900000000000001</v>
      </c>
      <c r="P384" s="10">
        <f t="shared" si="199"/>
        <v>13.8818960530214</v>
      </c>
      <c r="Q384" s="42">
        <f t="shared" si="200"/>
        <v>0.1739071187383468</v>
      </c>
      <c r="R384" s="4">
        <f t="shared" si="201"/>
        <v>57753.723659902993</v>
      </c>
      <c r="S384">
        <f t="shared" si="182"/>
        <v>5.7753723659902992E-5</v>
      </c>
      <c r="T384" s="41">
        <f t="shared" si="183"/>
        <v>1.2205064838198085E-4</v>
      </c>
      <c r="U384" s="42">
        <f t="shared" si="202"/>
        <v>0.10364194479387891</v>
      </c>
      <c r="V384" s="42">
        <f t="shared" si="203"/>
        <v>0.45702998051321497</v>
      </c>
      <c r="W384" s="42">
        <f t="shared" si="204"/>
        <v>0.45295188837891975</v>
      </c>
      <c r="X384" s="42">
        <f t="shared" si="205"/>
        <v>4.0780921342952192E-3</v>
      </c>
      <c r="Y384" s="42">
        <f t="shared" si="179"/>
        <v>1.8838496313958411E-3</v>
      </c>
      <c r="Z384" s="10">
        <f t="shared" si="206"/>
        <v>15.434982577888267</v>
      </c>
      <c r="AA384">
        <f t="shared" si="184"/>
        <v>5091133.5406779628</v>
      </c>
      <c r="AB384" s="10">
        <f t="shared" si="185"/>
        <v>5.091133540677963</v>
      </c>
      <c r="AC384" s="10">
        <f t="shared" si="186"/>
        <v>4.990133540677963</v>
      </c>
      <c r="AD384" s="3">
        <f t="shared" si="187"/>
        <v>723.73220314401203</v>
      </c>
      <c r="AI384" s="94">
        <f t="shared" si="188"/>
        <v>0.45295188837891975</v>
      </c>
    </row>
    <row r="385" spans="2:35">
      <c r="B385" s="39">
        <f t="shared" si="189"/>
        <v>357</v>
      </c>
      <c r="C385" s="42">
        <f t="shared" si="190"/>
        <v>2.3714388489183862</v>
      </c>
      <c r="D385" s="10">
        <f t="shared" si="191"/>
        <v>3.1685611510812972</v>
      </c>
      <c r="E385" s="40">
        <f t="shared" si="192"/>
        <v>24.742877697837404</v>
      </c>
      <c r="F385" s="40">
        <f t="shared" si="193"/>
        <v>31.08</v>
      </c>
      <c r="G385" s="3">
        <f t="shared" si="194"/>
        <v>207.42848920865546</v>
      </c>
      <c r="H385" s="3">
        <f t="shared" si="195"/>
        <v>81.256230789298584</v>
      </c>
      <c r="I385">
        <f t="shared" si="180"/>
        <v>8.1256230789298584E-5</v>
      </c>
      <c r="J385" s="4">
        <f t="shared" si="196"/>
        <v>480.82860707682534</v>
      </c>
      <c r="K385" s="40">
        <f t="shared" si="197"/>
        <v>5.9174367603099585</v>
      </c>
      <c r="L385" s="40">
        <f t="shared" si="181"/>
        <v>8.2563239690041534E-2</v>
      </c>
      <c r="M385" s="10">
        <f t="shared" si="198"/>
        <v>5.091133540677963</v>
      </c>
      <c r="N385" s="10">
        <f t="shared" si="177"/>
        <v>8.26</v>
      </c>
      <c r="O385" s="10">
        <f t="shared" si="178"/>
        <v>0.31900000000000001</v>
      </c>
      <c r="P385" s="10">
        <f t="shared" si="199"/>
        <v>13.882058468471516</v>
      </c>
      <c r="Q385" s="42">
        <f t="shared" si="200"/>
        <v>0.1743856274455676</v>
      </c>
      <c r="R385" s="4">
        <f t="shared" si="201"/>
        <v>57631.854566000715</v>
      </c>
      <c r="S385">
        <f t="shared" si="182"/>
        <v>5.7631854566000718E-5</v>
      </c>
      <c r="T385" s="41">
        <f t="shared" si="183"/>
        <v>1.2217251747588312E-4</v>
      </c>
      <c r="U385" s="42">
        <f t="shared" si="202"/>
        <v>0.10342324461141658</v>
      </c>
      <c r="V385" s="42">
        <f t="shared" si="203"/>
        <v>0.4570453560449223</v>
      </c>
      <c r="W385" s="42">
        <f t="shared" si="204"/>
        <v>0.45296883753231992</v>
      </c>
      <c r="X385" s="42">
        <f t="shared" si="205"/>
        <v>4.0765185126023784E-3</v>
      </c>
      <c r="Y385" s="42">
        <f t="shared" si="179"/>
        <v>1.8858002809992681E-3</v>
      </c>
      <c r="Z385" s="10">
        <f t="shared" si="206"/>
        <v>15.435552282627928</v>
      </c>
      <c r="AA385">
        <f t="shared" si="184"/>
        <v>5091317.7263558749</v>
      </c>
      <c r="AB385" s="10">
        <f t="shared" si="185"/>
        <v>5.0913177263558751</v>
      </c>
      <c r="AC385" s="10">
        <f t="shared" si="186"/>
        <v>4.9903177263558751</v>
      </c>
      <c r="AD385" s="3">
        <f t="shared" si="187"/>
        <v>723.75891607771939</v>
      </c>
      <c r="AI385" s="94">
        <f t="shared" si="188"/>
        <v>0.45296883753231992</v>
      </c>
    </row>
    <row r="386" spans="2:35">
      <c r="B386" s="39">
        <f t="shared" si="189"/>
        <v>358</v>
      </c>
      <c r="C386" s="42">
        <f t="shared" si="190"/>
        <v>2.3780815347696982</v>
      </c>
      <c r="D386" s="10">
        <f t="shared" si="191"/>
        <v>3.1619184652299843</v>
      </c>
      <c r="E386" s="40">
        <f t="shared" si="192"/>
        <v>24.75616306954003</v>
      </c>
      <c r="F386" s="40">
        <f t="shared" si="193"/>
        <v>31.08</v>
      </c>
      <c r="G386" s="3">
        <f t="shared" si="194"/>
        <v>207.37534772184497</v>
      </c>
      <c r="H386" s="3">
        <f t="shared" si="195"/>
        <v>81.256230789298584</v>
      </c>
      <c r="I386">
        <f t="shared" si="180"/>
        <v>8.1256230789298584E-5</v>
      </c>
      <c r="J386" s="4">
        <f t="shared" si="196"/>
        <v>481.3450952413952</v>
      </c>
      <c r="K386" s="40">
        <f t="shared" si="197"/>
        <v>5.9237930502775447</v>
      </c>
      <c r="L386" s="40">
        <f t="shared" si="181"/>
        <v>7.6206949722455342E-2</v>
      </c>
      <c r="M386" s="10">
        <f t="shared" si="198"/>
        <v>5.0913177263558751</v>
      </c>
      <c r="N386" s="10">
        <f t="shared" si="177"/>
        <v>8.26</v>
      </c>
      <c r="O386" s="10">
        <f t="shared" si="178"/>
        <v>0.31900000000000001</v>
      </c>
      <c r="P386" s="10">
        <f t="shared" si="199"/>
        <v>13.882218675133108</v>
      </c>
      <c r="Q386" s="42">
        <f t="shared" si="200"/>
        <v>0.174864130630596</v>
      </c>
      <c r="R386" s="4">
        <f t="shared" si="201"/>
        <v>57509.982842278332</v>
      </c>
      <c r="S386">
        <f t="shared" si="182"/>
        <v>5.7509982842278335E-5</v>
      </c>
      <c r="T386" s="41">
        <f t="shared" si="183"/>
        <v>1.2229438919960549E-4</v>
      </c>
      <c r="U386" s="42">
        <f t="shared" si="202"/>
        <v>0.10320453970961058</v>
      </c>
      <c r="V386" s="42">
        <f t="shared" si="203"/>
        <v>0.45706049332362175</v>
      </c>
      <c r="W386" s="42">
        <f t="shared" si="204"/>
        <v>0.45298555659839984</v>
      </c>
      <c r="X386" s="42">
        <f t="shared" si="205"/>
        <v>4.0749367252219115E-3</v>
      </c>
      <c r="Y386" s="42">
        <f t="shared" si="179"/>
        <v>1.8877501512010761E-3</v>
      </c>
      <c r="Z386" s="10">
        <f t="shared" si="206"/>
        <v>15.436114146822737</v>
      </c>
      <c r="AA386">
        <f t="shared" si="184"/>
        <v>5091499.3771837708</v>
      </c>
      <c r="AB386" s="10">
        <f t="shared" si="185"/>
        <v>5.0914993771837711</v>
      </c>
      <c r="AC386" s="10">
        <f t="shared" si="186"/>
        <v>4.9904993771837711</v>
      </c>
      <c r="AD386" s="3">
        <f t="shared" si="187"/>
        <v>723.78526137545623</v>
      </c>
      <c r="AI386" s="94">
        <f t="shared" si="188"/>
        <v>0.45298555659839984</v>
      </c>
    </row>
    <row r="387" spans="2:35">
      <c r="B387" s="39">
        <f t="shared" si="189"/>
        <v>359</v>
      </c>
      <c r="C387" s="42">
        <f t="shared" si="190"/>
        <v>2.3847242206210102</v>
      </c>
      <c r="D387" s="10">
        <f t="shared" si="191"/>
        <v>3.1552757793786714</v>
      </c>
      <c r="E387" s="40">
        <f t="shared" si="192"/>
        <v>24.769448441242655</v>
      </c>
      <c r="F387" s="40">
        <f t="shared" si="193"/>
        <v>31.08</v>
      </c>
      <c r="G387" s="3">
        <f t="shared" si="194"/>
        <v>207.32220623503449</v>
      </c>
      <c r="H387" s="3">
        <f t="shared" si="195"/>
        <v>81.256230789298584</v>
      </c>
      <c r="I387">
        <f t="shared" si="180"/>
        <v>8.1256230789298584E-5</v>
      </c>
      <c r="J387" s="4">
        <f t="shared" si="196"/>
        <v>481.86186065324671</v>
      </c>
      <c r="K387" s="40">
        <f t="shared" si="197"/>
        <v>5.93015275225771</v>
      </c>
      <c r="L387" s="40">
        <f t="shared" si="181"/>
        <v>6.9847247742290008E-2</v>
      </c>
      <c r="M387" s="10">
        <f t="shared" si="198"/>
        <v>5.0914993771837711</v>
      </c>
      <c r="N387" s="10">
        <f t="shared" si="177"/>
        <v>8.26</v>
      </c>
      <c r="O387" s="10">
        <f t="shared" si="178"/>
        <v>0.31900000000000001</v>
      </c>
      <c r="P387" s="10">
        <f t="shared" si="199"/>
        <v>13.882376673089478</v>
      </c>
      <c r="Q387" s="42">
        <f t="shared" si="200"/>
        <v>0.17534262836968909</v>
      </c>
      <c r="R387" s="4">
        <f t="shared" si="201"/>
        <v>57388.108532935817</v>
      </c>
      <c r="S387">
        <f t="shared" si="182"/>
        <v>5.7388108532935819E-5</v>
      </c>
      <c r="T387" s="41">
        <f t="shared" si="183"/>
        <v>1.2241626350894801E-4</v>
      </c>
      <c r="U387" s="42">
        <f t="shared" si="202"/>
        <v>0.10298583016777996</v>
      </c>
      <c r="V387" s="42">
        <f t="shared" si="203"/>
        <v>0.45707539234176381</v>
      </c>
      <c r="W387" s="42">
        <f t="shared" si="204"/>
        <v>0.45300204556882073</v>
      </c>
      <c r="X387" s="42">
        <f t="shared" si="205"/>
        <v>4.0733467729430761E-3</v>
      </c>
      <c r="Y387" s="42">
        <f t="shared" si="179"/>
        <v>1.8896992384224715E-3</v>
      </c>
      <c r="Z387" s="10">
        <f t="shared" si="206"/>
        <v>15.436668170192469</v>
      </c>
      <c r="AA387">
        <f t="shared" si="184"/>
        <v>5091678.4930710522</v>
      </c>
      <c r="AB387" s="10">
        <f t="shared" si="185"/>
        <v>5.0916784930710524</v>
      </c>
      <c r="AC387" s="10">
        <f t="shared" si="186"/>
        <v>4.9906784930710524</v>
      </c>
      <c r="AD387" s="3">
        <f t="shared" si="187"/>
        <v>723.81123902408297</v>
      </c>
      <c r="AI387" s="94">
        <f t="shared" si="188"/>
        <v>0.45300204556882073</v>
      </c>
    </row>
    <row r="388" spans="2:35">
      <c r="B388" s="39">
        <f t="shared" si="189"/>
        <v>360</v>
      </c>
      <c r="C388" s="42">
        <f t="shared" si="190"/>
        <v>2.3913669064723222</v>
      </c>
      <c r="D388" s="10">
        <f t="shared" si="191"/>
        <v>3.1486330935273585</v>
      </c>
      <c r="E388" s="40">
        <f t="shared" si="192"/>
        <v>24.782733812945281</v>
      </c>
      <c r="F388" s="40">
        <f t="shared" si="193"/>
        <v>31.08</v>
      </c>
      <c r="G388" s="3">
        <f t="shared" si="194"/>
        <v>207.269064748224</v>
      </c>
      <c r="H388" s="3">
        <f t="shared" si="195"/>
        <v>81.256230789298584</v>
      </c>
      <c r="I388">
        <f t="shared" si="180"/>
        <v>8.1256230789298584E-5</v>
      </c>
      <c r="J388" s="4">
        <f t="shared" si="196"/>
        <v>482.37890331237963</v>
      </c>
      <c r="K388" s="40">
        <f t="shared" si="197"/>
        <v>5.9365158662504536</v>
      </c>
      <c r="L388" s="40">
        <f t="shared" si="181"/>
        <v>6.3484133749546423E-2</v>
      </c>
      <c r="M388" s="10">
        <f t="shared" si="198"/>
        <v>5.0916784930710524</v>
      </c>
      <c r="N388" s="10">
        <f t="shared" si="177"/>
        <v>8.26</v>
      </c>
      <c r="O388" s="10">
        <f t="shared" si="178"/>
        <v>0.31900000000000001</v>
      </c>
      <c r="P388" s="10">
        <f t="shared" si="199"/>
        <v>13.882532462422754</v>
      </c>
      <c r="Q388" s="42">
        <f t="shared" si="200"/>
        <v>0.17582112073909592</v>
      </c>
      <c r="R388" s="4">
        <f t="shared" si="201"/>
        <v>57266.231682173209</v>
      </c>
      <c r="S388">
        <f t="shared" si="182"/>
        <v>5.7266231682173213E-5</v>
      </c>
      <c r="T388" s="41">
        <f t="shared" si="183"/>
        <v>1.2253814035971061E-4</v>
      </c>
      <c r="U388" s="42">
        <f t="shared" si="202"/>
        <v>0.10276711606524393</v>
      </c>
      <c r="V388" s="42">
        <f t="shared" si="203"/>
        <v>0.45709005309146239</v>
      </c>
      <c r="W388" s="42">
        <f t="shared" si="204"/>
        <v>0.45301830443535884</v>
      </c>
      <c r="X388" s="42">
        <f t="shared" si="205"/>
        <v>4.0717486561035465E-3</v>
      </c>
      <c r="Y388" s="42">
        <f t="shared" si="179"/>
        <v>1.8916475390845595E-3</v>
      </c>
      <c r="Z388" s="10">
        <f t="shared" si="206"/>
        <v>15.437214352458994</v>
      </c>
      <c r="AA388">
        <f t="shared" si="184"/>
        <v>5091855.0739278011</v>
      </c>
      <c r="AB388" s="10">
        <f t="shared" si="185"/>
        <v>5.0918550739278015</v>
      </c>
      <c r="AC388" s="10">
        <f t="shared" si="186"/>
        <v>4.9908550739278015</v>
      </c>
      <c r="AD388" s="3">
        <f t="shared" si="187"/>
        <v>723.83684901055858</v>
      </c>
      <c r="AI388" s="94">
        <f t="shared" si="188"/>
        <v>0.45301830443535884</v>
      </c>
    </row>
    <row r="389" spans="2:35">
      <c r="B389" s="39">
        <f t="shared" si="189"/>
        <v>361</v>
      </c>
      <c r="C389" s="42">
        <f t="shared" si="190"/>
        <v>2.3980095923236342</v>
      </c>
      <c r="D389" s="10">
        <f t="shared" si="191"/>
        <v>3.1419904076760456</v>
      </c>
      <c r="E389" s="40">
        <f t="shared" si="192"/>
        <v>24.796019184647907</v>
      </c>
      <c r="F389" s="40">
        <f t="shared" si="193"/>
        <v>31.08</v>
      </c>
      <c r="G389" s="3">
        <f t="shared" si="194"/>
        <v>207.21592326141351</v>
      </c>
      <c r="H389" s="3">
        <f t="shared" si="195"/>
        <v>81.256230789298584</v>
      </c>
      <c r="I389">
        <f t="shared" si="180"/>
        <v>8.1256230789298584E-5</v>
      </c>
      <c r="J389" s="4">
        <f t="shared" si="196"/>
        <v>482.8962232187942</v>
      </c>
      <c r="K389" s="40">
        <f t="shared" si="197"/>
        <v>5.9428823922557763</v>
      </c>
      <c r="L389" s="40">
        <f t="shared" si="181"/>
        <v>5.7117607744223697E-2</v>
      </c>
      <c r="M389" s="10">
        <f t="shared" si="198"/>
        <v>5.0918550739278015</v>
      </c>
      <c r="N389" s="10">
        <f t="shared" si="177"/>
        <v>8.26</v>
      </c>
      <c r="O389" s="10">
        <f t="shared" si="178"/>
        <v>0.31900000000000001</v>
      </c>
      <c r="P389" s="10">
        <f t="shared" si="199"/>
        <v>13.882686043213416</v>
      </c>
      <c r="Q389" s="42">
        <f t="shared" si="200"/>
        <v>0.17629960781505766</v>
      </c>
      <c r="R389" s="4">
        <f t="shared" si="201"/>
        <v>57144.352334190473</v>
      </c>
      <c r="S389">
        <f t="shared" si="182"/>
        <v>5.7144352334190476E-5</v>
      </c>
      <c r="T389" s="41">
        <f t="shared" si="183"/>
        <v>1.2266001970769334E-4</v>
      </c>
      <c r="U389" s="42">
        <f t="shared" si="202"/>
        <v>0.1025483974813215</v>
      </c>
      <c r="V389" s="42">
        <f t="shared" si="203"/>
        <v>0.45710447556565004</v>
      </c>
      <c r="W389" s="42">
        <f t="shared" si="204"/>
        <v>0.45303433318985215</v>
      </c>
      <c r="X389" s="42">
        <f t="shared" si="205"/>
        <v>4.0701423757978916E-3</v>
      </c>
      <c r="Y389" s="42">
        <f t="shared" si="179"/>
        <v>1.8935950496087031E-3</v>
      </c>
      <c r="Z389" s="10">
        <f t="shared" si="206"/>
        <v>15.437752693349152</v>
      </c>
      <c r="AA389">
        <f t="shared" si="184"/>
        <v>5092029.1196657047</v>
      </c>
      <c r="AB389" s="10">
        <f t="shared" si="185"/>
        <v>5.092029119665705</v>
      </c>
      <c r="AC389" s="10">
        <f t="shared" si="186"/>
        <v>4.9910291196657051</v>
      </c>
      <c r="AD389" s="3">
        <f t="shared" si="187"/>
        <v>723.86209132207466</v>
      </c>
      <c r="AI389" s="94">
        <f t="shared" si="188"/>
        <v>0.45303433318985215</v>
      </c>
    </row>
    <row r="390" spans="2:35">
      <c r="B390" s="39">
        <f t="shared" si="189"/>
        <v>362</v>
      </c>
      <c r="C390" s="42">
        <f t="shared" si="190"/>
        <v>2.4046522781749462</v>
      </c>
      <c r="D390" s="10">
        <f t="shared" si="191"/>
        <v>3.1353477218247328</v>
      </c>
      <c r="E390" s="40">
        <f t="shared" si="192"/>
        <v>24.809304556350533</v>
      </c>
      <c r="F390" s="40">
        <f t="shared" si="193"/>
        <v>31.08</v>
      </c>
      <c r="G390" s="3">
        <f t="shared" si="194"/>
        <v>207.16278177460302</v>
      </c>
      <c r="H390" s="3">
        <f t="shared" si="195"/>
        <v>81.256230789298584</v>
      </c>
      <c r="I390">
        <f t="shared" si="180"/>
        <v>8.1256230789298584E-5</v>
      </c>
      <c r="J390" s="4">
        <f t="shared" si="196"/>
        <v>483.41382037249031</v>
      </c>
      <c r="K390" s="40">
        <f t="shared" si="197"/>
        <v>5.9492523302736773</v>
      </c>
      <c r="L390" s="40">
        <f t="shared" si="181"/>
        <v>5.0747669726322719E-2</v>
      </c>
      <c r="M390" s="10">
        <f t="shared" si="198"/>
        <v>5.092029119665705</v>
      </c>
      <c r="N390" s="10">
        <f t="shared" si="177"/>
        <v>8.26</v>
      </c>
      <c r="O390" s="10">
        <f t="shared" si="178"/>
        <v>0.31900000000000001</v>
      </c>
      <c r="P390" s="10">
        <f t="shared" si="199"/>
        <v>13.882837415541085</v>
      </c>
      <c r="Q390" s="42">
        <f t="shared" si="200"/>
        <v>0.17677808967380765</v>
      </c>
      <c r="R390" s="4">
        <f t="shared" si="201"/>
        <v>57022.470533187618</v>
      </c>
      <c r="S390">
        <f t="shared" si="182"/>
        <v>5.7022470533187619E-5</v>
      </c>
      <c r="T390" s="41">
        <f t="shared" si="183"/>
        <v>1.2278190150869623E-4</v>
      </c>
      <c r="U390" s="42">
        <f t="shared" si="202"/>
        <v>0.10232967449533183</v>
      </c>
      <c r="V390" s="42">
        <f t="shared" si="203"/>
        <v>0.45711865975665633</v>
      </c>
      <c r="W390" s="42">
        <f t="shared" si="204"/>
        <v>0.453050131824284</v>
      </c>
      <c r="X390" s="42">
        <f t="shared" si="205"/>
        <v>4.0685279323723345E-3</v>
      </c>
      <c r="Y390" s="42">
        <f t="shared" si="179"/>
        <v>1.8955417664161609E-3</v>
      </c>
      <c r="Z390" s="10">
        <f t="shared" si="206"/>
        <v>15.438283192591753</v>
      </c>
      <c r="AA390">
        <f t="shared" si="184"/>
        <v>5092200.6301970864</v>
      </c>
      <c r="AB390" s="10">
        <f t="shared" si="185"/>
        <v>5.0922006301970866</v>
      </c>
      <c r="AC390" s="10">
        <f t="shared" si="186"/>
        <v>4.9912006301970866</v>
      </c>
      <c r="AD390" s="3">
        <f t="shared" si="187"/>
        <v>723.88696594591534</v>
      </c>
      <c r="AI390" s="94">
        <f t="shared" si="188"/>
        <v>0.453050131824284</v>
      </c>
    </row>
    <row r="391" spans="2:35">
      <c r="B391" s="39">
        <f t="shared" si="189"/>
        <v>363</v>
      </c>
      <c r="C391" s="42">
        <f t="shared" si="190"/>
        <v>2.4112949640262582</v>
      </c>
      <c r="D391" s="10">
        <f t="shared" si="191"/>
        <v>3.1287050359734199</v>
      </c>
      <c r="E391" s="40">
        <f t="shared" si="192"/>
        <v>24.822589928053159</v>
      </c>
      <c r="F391" s="40">
        <f t="shared" si="193"/>
        <v>31.08</v>
      </c>
      <c r="G391" s="3">
        <f t="shared" si="194"/>
        <v>207.10964028779253</v>
      </c>
      <c r="H391" s="3">
        <f t="shared" si="195"/>
        <v>81.256230789298584</v>
      </c>
      <c r="I391">
        <f t="shared" si="180"/>
        <v>8.1256230789298584E-5</v>
      </c>
      <c r="J391" s="4">
        <f t="shared" si="196"/>
        <v>483.931694773468</v>
      </c>
      <c r="K391" s="40">
        <f t="shared" si="197"/>
        <v>5.9556256803041574</v>
      </c>
      <c r="L391" s="40">
        <f t="shared" si="181"/>
        <v>4.4374319695842601E-2</v>
      </c>
      <c r="M391" s="10">
        <f t="shared" si="198"/>
        <v>5.0922006301970866</v>
      </c>
      <c r="N391" s="10">
        <f t="shared" si="177"/>
        <v>8.26</v>
      </c>
      <c r="O391" s="10">
        <f t="shared" si="178"/>
        <v>0.31900000000000001</v>
      </c>
      <c r="P391" s="10">
        <f t="shared" si="199"/>
        <v>13.882986579483674</v>
      </c>
      <c r="Q391" s="42">
        <f t="shared" si="200"/>
        <v>0.17725656639157159</v>
      </c>
      <c r="R391" s="4">
        <f t="shared" si="201"/>
        <v>56900.586323364638</v>
      </c>
      <c r="S391">
        <f t="shared" si="182"/>
        <v>5.6900586323364637E-5</v>
      </c>
      <c r="T391" s="41">
        <f t="shared" si="183"/>
        <v>1.2290378571851919E-4</v>
      </c>
      <c r="U391" s="42">
        <f t="shared" si="202"/>
        <v>0.102110947186594</v>
      </c>
      <c r="V391" s="42">
        <f t="shared" si="203"/>
        <v>0.45713260565739988</v>
      </c>
      <c r="W391" s="42">
        <f t="shared" si="204"/>
        <v>0.45306570033069599</v>
      </c>
      <c r="X391" s="42">
        <f t="shared" si="205"/>
        <v>4.0669053267038957E-3</v>
      </c>
      <c r="Y391" s="42">
        <f t="shared" si="179"/>
        <v>1.8974876859283389E-3</v>
      </c>
      <c r="Z391" s="10">
        <f t="shared" si="206"/>
        <v>15.438805849919598</v>
      </c>
      <c r="AA391">
        <f t="shared" si="184"/>
        <v>5092369.6054355623</v>
      </c>
      <c r="AB391" s="10">
        <f t="shared" si="185"/>
        <v>5.0923696054355627</v>
      </c>
      <c r="AC391" s="10">
        <f t="shared" si="186"/>
        <v>4.9913696054355627</v>
      </c>
      <c r="AD391" s="3">
        <f t="shared" si="187"/>
        <v>723.9114728695522</v>
      </c>
      <c r="AI391" s="94">
        <f t="shared" si="188"/>
        <v>0.45306570033069599</v>
      </c>
    </row>
    <row r="392" spans="2:35">
      <c r="B392" s="39">
        <f t="shared" si="189"/>
        <v>364</v>
      </c>
      <c r="C392" s="42">
        <f t="shared" si="190"/>
        <v>2.4179376498775702</v>
      </c>
      <c r="D392" s="10">
        <f t="shared" si="191"/>
        <v>3.122062350122107</v>
      </c>
      <c r="E392" s="40">
        <f t="shared" si="192"/>
        <v>24.835875299755784</v>
      </c>
      <c r="F392" s="40">
        <f t="shared" si="193"/>
        <v>31.08</v>
      </c>
      <c r="G392" s="3">
        <f t="shared" si="194"/>
        <v>207.05649880098204</v>
      </c>
      <c r="H392" s="3">
        <f t="shared" si="195"/>
        <v>81.256230789298584</v>
      </c>
      <c r="I392">
        <f t="shared" si="180"/>
        <v>8.1256230789298584E-5</v>
      </c>
      <c r="J392" s="4">
        <f t="shared" si="196"/>
        <v>484.44984642172727</v>
      </c>
      <c r="K392" s="40">
        <f t="shared" si="197"/>
        <v>5.9620024423472167</v>
      </c>
      <c r="L392" s="40">
        <f t="shared" si="181"/>
        <v>3.7997557652783343E-2</v>
      </c>
      <c r="M392" s="10">
        <f t="shared" si="198"/>
        <v>5.0923696054355627</v>
      </c>
      <c r="N392" s="10">
        <f t="shared" si="177"/>
        <v>8.26</v>
      </c>
      <c r="O392" s="10">
        <f t="shared" si="178"/>
        <v>0.31900000000000001</v>
      </c>
      <c r="P392" s="10">
        <f t="shared" si="199"/>
        <v>13.883133535117979</v>
      </c>
      <c r="Q392" s="42">
        <f t="shared" si="200"/>
        <v>0.17773503804456758</v>
      </c>
      <c r="R392" s="4">
        <f t="shared" si="201"/>
        <v>56778.699748921521</v>
      </c>
      <c r="S392">
        <f t="shared" si="182"/>
        <v>5.6778699748921524E-5</v>
      </c>
      <c r="T392" s="41">
        <f t="shared" si="183"/>
        <v>1.2302567229296232E-4</v>
      </c>
      <c r="U392" s="42">
        <f t="shared" si="202"/>
        <v>0.1018922156344271</v>
      </c>
      <c r="V392" s="42">
        <f t="shared" si="203"/>
        <v>0.45714631326074506</v>
      </c>
      <c r="W392" s="42">
        <f t="shared" si="204"/>
        <v>0.45308103870124661</v>
      </c>
      <c r="X392" s="42">
        <f t="shared" si="205"/>
        <v>4.0652745594984552E-3</v>
      </c>
      <c r="Y392" s="42">
        <f t="shared" si="179"/>
        <v>1.8994328045667047E-3</v>
      </c>
      <c r="Z392" s="10">
        <f t="shared" si="206"/>
        <v>15.439320665068715</v>
      </c>
      <c r="AA392">
        <f t="shared" si="184"/>
        <v>5092536.0452957889</v>
      </c>
      <c r="AB392" s="10">
        <f t="shared" si="185"/>
        <v>5.0925360452957893</v>
      </c>
      <c r="AC392" s="10">
        <f t="shared" si="186"/>
        <v>4.9915360452957893</v>
      </c>
      <c r="AD392" s="3">
        <f t="shared" si="187"/>
        <v>723.93561208060748</v>
      </c>
      <c r="AI392" s="94">
        <f t="shared" si="188"/>
        <v>0.45308103870124661</v>
      </c>
    </row>
    <row r="393" spans="2:35">
      <c r="B393" s="39">
        <f t="shared" si="189"/>
        <v>365</v>
      </c>
      <c r="C393" s="42">
        <f t="shared" si="190"/>
        <v>2.4245803357288822</v>
      </c>
      <c r="D393" s="10">
        <f t="shared" si="191"/>
        <v>3.1154196642707941</v>
      </c>
      <c r="E393" s="40">
        <f t="shared" si="192"/>
        <v>24.84916067145841</v>
      </c>
      <c r="F393" s="40">
        <f t="shared" si="193"/>
        <v>31.08</v>
      </c>
      <c r="G393" s="3">
        <f t="shared" si="194"/>
        <v>207.00335731417155</v>
      </c>
      <c r="H393" s="3">
        <f t="shared" si="195"/>
        <v>81.256230789298584</v>
      </c>
      <c r="I393">
        <f t="shared" si="180"/>
        <v>8.1256230789298584E-5</v>
      </c>
      <c r="J393" s="4">
        <f t="shared" si="196"/>
        <v>484.96827531726802</v>
      </c>
      <c r="K393" s="40">
        <f t="shared" si="197"/>
        <v>5.9683826164028542</v>
      </c>
      <c r="L393" s="40">
        <f t="shared" si="181"/>
        <v>3.1617383597145832E-2</v>
      </c>
      <c r="M393" s="10">
        <f t="shared" si="198"/>
        <v>5.0925360452957893</v>
      </c>
      <c r="N393" s="10">
        <f t="shared" si="177"/>
        <v>8.26</v>
      </c>
      <c r="O393" s="10">
        <f t="shared" si="178"/>
        <v>0.31900000000000001</v>
      </c>
      <c r="P393" s="10">
        <f t="shared" si="199"/>
        <v>13.883278282519436</v>
      </c>
      <c r="Q393" s="42">
        <f t="shared" si="200"/>
        <v>0.17821350470900635</v>
      </c>
      <c r="R393" s="4">
        <f t="shared" si="201"/>
        <v>56656.810854058305</v>
      </c>
      <c r="S393">
        <f t="shared" si="182"/>
        <v>5.6656810854058303E-5</v>
      </c>
      <c r="T393" s="41">
        <f t="shared" si="183"/>
        <v>1.2314756118782553E-4</v>
      </c>
      <c r="U393" s="42">
        <f t="shared" si="202"/>
        <v>0.10167347991815032</v>
      </c>
      <c r="V393" s="42">
        <f t="shared" si="203"/>
        <v>0.45715978255948042</v>
      </c>
      <c r="W393" s="42">
        <f t="shared" si="204"/>
        <v>0.45309614692818917</v>
      </c>
      <c r="X393" s="42">
        <f t="shared" si="205"/>
        <v>4.0636356312912514E-3</v>
      </c>
      <c r="Y393" s="42">
        <f t="shared" si="179"/>
        <v>1.9013771187527031E-3</v>
      </c>
      <c r="Z393" s="10">
        <f t="shared" si="206"/>
        <v>15.439827637777652</v>
      </c>
      <c r="AA393">
        <f t="shared" si="184"/>
        <v>5092699.9496932384</v>
      </c>
      <c r="AB393" s="10">
        <f t="shared" si="185"/>
        <v>5.0926999496932384</v>
      </c>
      <c r="AC393" s="10">
        <f t="shared" si="186"/>
        <v>4.9916999496932384</v>
      </c>
      <c r="AD393" s="3">
        <f t="shared" si="187"/>
        <v>723.95938356682211</v>
      </c>
      <c r="AI393" s="94">
        <f t="shared" si="188"/>
        <v>0.45309614692818917</v>
      </c>
    </row>
    <row r="394" spans="2:35">
      <c r="B394" s="39">
        <f t="shared" si="189"/>
        <v>366</v>
      </c>
      <c r="C394" s="42">
        <f t="shared" si="190"/>
        <v>2.4312230215801942</v>
      </c>
      <c r="D394" s="10">
        <f t="shared" si="191"/>
        <v>3.1087769784194812</v>
      </c>
      <c r="E394" s="40">
        <f t="shared" si="192"/>
        <v>24.862446043161036</v>
      </c>
      <c r="F394" s="40">
        <f t="shared" si="193"/>
        <v>31.08</v>
      </c>
      <c r="G394" s="3">
        <f t="shared" si="194"/>
        <v>206.95021582736106</v>
      </c>
      <c r="H394" s="3">
        <f t="shared" si="195"/>
        <v>81.256230789298584</v>
      </c>
      <c r="I394">
        <f t="shared" si="180"/>
        <v>8.1256230789298584E-5</v>
      </c>
      <c r="J394" s="4">
        <f t="shared" si="196"/>
        <v>485.48698146009036</v>
      </c>
      <c r="K394" s="40">
        <f t="shared" si="197"/>
        <v>5.9747662024710699</v>
      </c>
      <c r="L394" s="40">
        <f t="shared" si="181"/>
        <v>2.5233797528930069E-2</v>
      </c>
      <c r="M394" s="10">
        <f t="shared" si="198"/>
        <v>5.0926999496932384</v>
      </c>
      <c r="N394" s="10">
        <f t="shared" si="177"/>
        <v>8.26</v>
      </c>
      <c r="O394" s="10">
        <f t="shared" si="178"/>
        <v>0.31900000000000001</v>
      </c>
      <c r="P394" s="10">
        <f t="shared" si="199"/>
        <v>13.883420821761945</v>
      </c>
      <c r="Q394" s="42">
        <f t="shared" si="200"/>
        <v>0.17869196646109123</v>
      </c>
      <c r="R394" s="4">
        <f t="shared" si="201"/>
        <v>56534.919682974949</v>
      </c>
      <c r="S394">
        <f t="shared" si="182"/>
        <v>5.6534919682974949E-5</v>
      </c>
      <c r="T394" s="41">
        <f t="shared" si="183"/>
        <v>1.2326945235890889E-4</v>
      </c>
      <c r="U394" s="42">
        <f t="shared" si="202"/>
        <v>0.10145474011708269</v>
      </c>
      <c r="V394" s="42">
        <f t="shared" si="203"/>
        <v>0.45717301354700479</v>
      </c>
      <c r="W394" s="42">
        <f t="shared" si="204"/>
        <v>0.45311102500385059</v>
      </c>
      <c r="X394" s="42">
        <f t="shared" si="205"/>
        <v>4.0619885431542047E-3</v>
      </c>
      <c r="Y394" s="42">
        <f t="shared" si="179"/>
        <v>1.9033206249080092E-3</v>
      </c>
      <c r="Z394" s="10">
        <f t="shared" si="206"/>
        <v>15.440326767789466</v>
      </c>
      <c r="AA394">
        <f t="shared" si="184"/>
        <v>5092861.3185448414</v>
      </c>
      <c r="AB394" s="10">
        <f t="shared" si="185"/>
        <v>5.0928613185448413</v>
      </c>
      <c r="AC394" s="10">
        <f t="shared" si="186"/>
        <v>4.9918613185448413</v>
      </c>
      <c r="AD394" s="3">
        <f t="shared" si="187"/>
        <v>723.98278731614812</v>
      </c>
      <c r="AI394" s="94">
        <f t="shared" si="188"/>
        <v>0.45311102500385059</v>
      </c>
    </row>
    <row r="395" spans="2:35">
      <c r="B395" s="39">
        <f t="shared" si="189"/>
        <v>367</v>
      </c>
      <c r="C395" s="42">
        <f t="shared" si="190"/>
        <v>2.4378657074315062</v>
      </c>
      <c r="D395" s="10">
        <f t="shared" si="191"/>
        <v>3.1021342925681683</v>
      </c>
      <c r="E395" s="40">
        <f t="shared" si="192"/>
        <v>24.875731414863662</v>
      </c>
      <c r="F395" s="40">
        <f t="shared" si="193"/>
        <v>31.08</v>
      </c>
      <c r="G395" s="3">
        <f t="shared" si="194"/>
        <v>206.89707434055057</v>
      </c>
      <c r="H395" s="3">
        <f t="shared" si="195"/>
        <v>81.256230789298584</v>
      </c>
      <c r="I395">
        <f t="shared" si="180"/>
        <v>8.1256230789298584E-5</v>
      </c>
      <c r="J395" s="4">
        <f t="shared" si="196"/>
        <v>486.00596485019429</v>
      </c>
      <c r="K395" s="40">
        <f t="shared" si="197"/>
        <v>5.9811532005518657</v>
      </c>
      <c r="L395" s="40">
        <f t="shared" si="181"/>
        <v>1.8846799448134277E-2</v>
      </c>
      <c r="M395" s="10">
        <f t="shared" si="198"/>
        <v>5.0928613185448413</v>
      </c>
      <c r="N395" s="10">
        <f t="shared" si="177"/>
        <v>8.26</v>
      </c>
      <c r="O395" s="10">
        <f t="shared" si="178"/>
        <v>0.31900000000000001</v>
      </c>
      <c r="P395" s="10">
        <f t="shared" si="199"/>
        <v>13.88356115291842</v>
      </c>
      <c r="Q395" s="42">
        <f t="shared" si="200"/>
        <v>0.17917042337701844</v>
      </c>
      <c r="R395" s="4">
        <f t="shared" si="201"/>
        <v>56413.026279871461</v>
      </c>
      <c r="S395">
        <f t="shared" si="182"/>
        <v>5.6413026279871464E-5</v>
      </c>
      <c r="T395" s="41">
        <f t="shared" si="183"/>
        <v>1.2339134576201238E-4</v>
      </c>
      <c r="U395" s="42">
        <f t="shared" si="202"/>
        <v>0.10123599631054332</v>
      </c>
      <c r="V395" s="42">
        <f t="shared" si="203"/>
        <v>0.45718600621638511</v>
      </c>
      <c r="W395" s="42">
        <f t="shared" si="204"/>
        <v>0.45312567292069061</v>
      </c>
      <c r="X395" s="42">
        <f t="shared" si="205"/>
        <v>4.060333295694496E-3</v>
      </c>
      <c r="Y395" s="42">
        <f t="shared" si="179"/>
        <v>1.9052633194543039E-3</v>
      </c>
      <c r="Z395" s="10">
        <f t="shared" si="206"/>
        <v>15.440818054849871</v>
      </c>
      <c r="AA395">
        <f t="shared" si="184"/>
        <v>5093020.1517683882</v>
      </c>
      <c r="AB395" s="10">
        <f t="shared" si="185"/>
        <v>5.0930201517683882</v>
      </c>
      <c r="AC395" s="10">
        <f t="shared" si="186"/>
        <v>4.9920201517683882</v>
      </c>
      <c r="AD395" s="3">
        <f t="shared" si="187"/>
        <v>724.00582331666249</v>
      </c>
      <c r="AI395" s="94">
        <f t="shared" si="188"/>
        <v>0.45312567292069061</v>
      </c>
    </row>
    <row r="396" spans="2:35">
      <c r="B396" s="39">
        <f t="shared" si="189"/>
        <v>368</v>
      </c>
      <c r="C396" s="42">
        <f t="shared" si="190"/>
        <v>2.4445083932828182</v>
      </c>
      <c r="D396" s="10">
        <f t="shared" si="191"/>
        <v>3.0954916067168554</v>
      </c>
      <c r="E396" s="40">
        <f t="shared" si="192"/>
        <v>24.889016786566287</v>
      </c>
      <c r="F396" s="40">
        <f t="shared" si="193"/>
        <v>31.08</v>
      </c>
      <c r="G396" s="3">
        <f t="shared" si="194"/>
        <v>206.84393285374009</v>
      </c>
      <c r="H396" s="3">
        <f t="shared" si="195"/>
        <v>81.256230789298584</v>
      </c>
      <c r="I396">
        <f t="shared" si="180"/>
        <v>8.1256230789298584E-5</v>
      </c>
      <c r="J396" s="4">
        <f t="shared" si="196"/>
        <v>486.52522548757975</v>
      </c>
      <c r="K396" s="40">
        <f t="shared" si="197"/>
        <v>5.9875436106452398</v>
      </c>
      <c r="L396" s="40">
        <f t="shared" si="181"/>
        <v>1.2456389354760233E-2</v>
      </c>
      <c r="M396" s="10">
        <f t="shared" si="198"/>
        <v>5.0930201517683882</v>
      </c>
      <c r="N396" s="10">
        <f t="shared" si="177"/>
        <v>8.26</v>
      </c>
      <c r="O396" s="10">
        <f t="shared" si="178"/>
        <v>0.31900000000000001</v>
      </c>
      <c r="P396" s="10">
        <f t="shared" si="199"/>
        <v>13.883699276060268</v>
      </c>
      <c r="Q396" s="42">
        <f t="shared" si="200"/>
        <v>0.17964887553297704</v>
      </c>
      <c r="R396" s="4">
        <f t="shared" si="201"/>
        <v>56291.130688947851</v>
      </c>
      <c r="S396">
        <f t="shared" si="182"/>
        <v>5.629113068894785E-5</v>
      </c>
      <c r="T396" s="41">
        <f t="shared" si="183"/>
        <v>1.2351324135293599E-4</v>
      </c>
      <c r="U396" s="42">
        <f t="shared" si="202"/>
        <v>0.10101724857785137</v>
      </c>
      <c r="V396" s="42">
        <f t="shared" si="203"/>
        <v>0.45719876056088504</v>
      </c>
      <c r="W396" s="42">
        <f t="shared" si="204"/>
        <v>0.45314009067124683</v>
      </c>
      <c r="X396" s="42">
        <f t="shared" si="205"/>
        <v>4.0586698896382112E-3</v>
      </c>
      <c r="Y396" s="42">
        <f t="shared" si="179"/>
        <v>1.9072051988133255E-3</v>
      </c>
      <c r="Z396" s="10">
        <f t="shared" si="206"/>
        <v>15.441301498707611</v>
      </c>
      <c r="AA396">
        <f t="shared" si="184"/>
        <v>5093176.4492826462</v>
      </c>
      <c r="AB396" s="10">
        <f t="shared" si="185"/>
        <v>5.0931764492826463</v>
      </c>
      <c r="AC396" s="10">
        <f t="shared" si="186"/>
        <v>4.9921764492826464</v>
      </c>
      <c r="AD396" s="3">
        <f t="shared" si="187"/>
        <v>724.02849155658396</v>
      </c>
      <c r="AI396" s="94">
        <f t="shared" si="188"/>
        <v>0.45314009067124683</v>
      </c>
    </row>
    <row r="397" spans="2:35">
      <c r="B397" s="39">
        <f t="shared" si="189"/>
        <v>369</v>
      </c>
      <c r="C397" s="42">
        <f t="shared" si="190"/>
        <v>2.4511510791341302</v>
      </c>
      <c r="D397" s="10">
        <f t="shared" si="191"/>
        <v>3.0888489208655425</v>
      </c>
      <c r="E397" s="40">
        <f t="shared" si="192"/>
        <v>24.902302158268913</v>
      </c>
      <c r="F397" s="40">
        <f t="shared" si="193"/>
        <v>31.08</v>
      </c>
      <c r="G397" s="3">
        <f t="shared" si="194"/>
        <v>206.7907913669296</v>
      </c>
      <c r="H397" s="3">
        <f t="shared" si="195"/>
        <v>81.256230789298584</v>
      </c>
      <c r="I397">
        <f t="shared" si="180"/>
        <v>8.1256230789298584E-5</v>
      </c>
      <c r="J397" s="4">
        <f t="shared" si="196"/>
        <v>487.04476337224673</v>
      </c>
      <c r="K397" s="40">
        <f t="shared" si="197"/>
        <v>5.9939374327511921</v>
      </c>
      <c r="L397" s="40">
        <f t="shared" si="181"/>
        <v>6.0625672488079374E-3</v>
      </c>
      <c r="M397" s="10">
        <f t="shared" si="198"/>
        <v>5.0931764492826463</v>
      </c>
      <c r="N397" s="10">
        <f t="shared" si="177"/>
        <v>8.26</v>
      </c>
      <c r="O397" s="10">
        <f t="shared" si="178"/>
        <v>0.31900000000000001</v>
      </c>
      <c r="P397" s="10">
        <f t="shared" si="199"/>
        <v>13.883835191257498</v>
      </c>
      <c r="Q397" s="42">
        <f t="shared" si="200"/>
        <v>0.18012732300514919</v>
      </c>
      <c r="R397" s="4">
        <f t="shared" si="201"/>
        <v>56169.232954404113</v>
      </c>
      <c r="S397">
        <f t="shared" si="182"/>
        <v>5.6169232954404116E-5</v>
      </c>
      <c r="T397" s="41">
        <f t="shared" si="183"/>
        <v>1.2363513908747971E-4</v>
      </c>
      <c r="U397" s="42">
        <f t="shared" si="202"/>
        <v>0.1007984969983259</v>
      </c>
      <c r="V397" s="42">
        <f t="shared" si="203"/>
        <v>0.45721127657407917</v>
      </c>
      <c r="W397" s="42">
        <f t="shared" si="204"/>
        <v>0.45315427824814547</v>
      </c>
      <c r="X397" s="42">
        <f t="shared" si="205"/>
        <v>4.0569983259337028E-3</v>
      </c>
      <c r="Y397" s="42">
        <f t="shared" si="179"/>
        <v>1.9091462594069751E-3</v>
      </c>
      <c r="Z397" s="10">
        <f t="shared" si="206"/>
        <v>15.441777099115267</v>
      </c>
      <c r="AA397">
        <f t="shared" si="184"/>
        <v>5093330.2110076258</v>
      </c>
      <c r="AB397" s="10">
        <f t="shared" si="185"/>
        <v>5.0933302110076255</v>
      </c>
      <c r="AC397" s="10">
        <f t="shared" si="186"/>
        <v>4.9923302110076255</v>
      </c>
      <c r="AD397" s="3">
        <f t="shared" si="187"/>
        <v>724.05079202431125</v>
      </c>
      <c r="AI397" s="94">
        <f t="shared" si="188"/>
        <v>0.45315427824814547</v>
      </c>
    </row>
    <row r="398" spans="2:35">
      <c r="B398" s="39">
        <f t="shared" si="189"/>
        <v>370</v>
      </c>
      <c r="C398" s="42">
        <f t="shared" si="190"/>
        <v>2.4577937649854422</v>
      </c>
      <c r="D398" s="10">
        <f t="shared" si="191"/>
        <v>3.0822062350142296</v>
      </c>
      <c r="E398" s="40">
        <f t="shared" si="192"/>
        <v>24.915587529971539</v>
      </c>
      <c r="F398" s="40">
        <f t="shared" si="193"/>
        <v>31.08</v>
      </c>
      <c r="G398" s="3">
        <f t="shared" si="194"/>
        <v>206.73764988011911</v>
      </c>
      <c r="H398" s="3">
        <f t="shared" si="195"/>
        <v>81.256230789298584</v>
      </c>
      <c r="I398">
        <f t="shared" si="180"/>
        <v>8.1256230789298584E-5</v>
      </c>
      <c r="J398" s="4">
        <f t="shared" si="196"/>
        <v>487.56457850419537</v>
      </c>
      <c r="K398" s="40">
        <f t="shared" si="197"/>
        <v>6.0003346668697244</v>
      </c>
      <c r="L398" s="40">
        <f t="shared" si="181"/>
        <v>0</v>
      </c>
      <c r="M398" s="10">
        <f t="shared" si="198"/>
        <v>5.0933302110076255</v>
      </c>
      <c r="N398" s="10">
        <f t="shared" si="177"/>
        <v>8.26</v>
      </c>
      <c r="O398" s="10">
        <f t="shared" si="178"/>
        <v>0.31900000000000001</v>
      </c>
      <c r="P398" s="10">
        <f t="shared" si="199"/>
        <v>13.883968898578948</v>
      </c>
      <c r="Q398" s="42">
        <f t="shared" si="200"/>
        <v>0.18060576586971019</v>
      </c>
      <c r="R398" s="4">
        <f t="shared" si="201"/>
        <v>56047.33312044022</v>
      </c>
      <c r="S398">
        <f t="shared" si="182"/>
        <v>5.6047333120440223E-5</v>
      </c>
      <c r="T398" s="41">
        <f t="shared" si="183"/>
        <v>1.237570389214436E-4</v>
      </c>
      <c r="U398" s="42">
        <f t="shared" si="202"/>
        <v>0.100579741651286</v>
      </c>
      <c r="V398" s="42">
        <f t="shared" si="203"/>
        <v>0.45722355424950939</v>
      </c>
      <c r="W398" s="42">
        <f t="shared" si="204"/>
        <v>0.45316823564412551</v>
      </c>
      <c r="X398" s="42">
        <f t="shared" si="205"/>
        <v>4.0553186053838841E-3</v>
      </c>
      <c r="Y398" s="42">
        <f t="shared" si="179"/>
        <v>1.9110864976572424E-3</v>
      </c>
      <c r="Z398" s="10">
        <f t="shared" si="206"/>
        <v>15.442244855828601</v>
      </c>
      <c r="AA398">
        <f t="shared" si="184"/>
        <v>5093481.4368643649</v>
      </c>
      <c r="AB398" s="10">
        <f t="shared" si="185"/>
        <v>5.0934814368643648</v>
      </c>
      <c r="AC398" s="10">
        <f t="shared" si="186"/>
        <v>4.9924814368643649</v>
      </c>
      <c r="AD398" s="3">
        <f t="shared" si="187"/>
        <v>724.07272470839234</v>
      </c>
      <c r="AI398" s="94">
        <f t="shared" si="188"/>
        <v>0.45316823564412551</v>
      </c>
    </row>
    <row r="399" spans="2:35">
      <c r="B399" s="39">
        <f t="shared" si="189"/>
        <v>371</v>
      </c>
      <c r="C399" s="42">
        <f t="shared" si="190"/>
        <v>2.4644364508367542</v>
      </c>
      <c r="D399" s="10">
        <f t="shared" si="191"/>
        <v>3.0755635491629167</v>
      </c>
      <c r="E399" s="40">
        <f t="shared" si="192"/>
        <v>24.928872901674165</v>
      </c>
      <c r="F399" s="40">
        <f t="shared" si="193"/>
        <v>31.08</v>
      </c>
      <c r="G399" s="3">
        <f t="shared" si="194"/>
        <v>206.68450839330862</v>
      </c>
      <c r="H399" s="3">
        <f t="shared" si="195"/>
        <v>81.256230789298584</v>
      </c>
      <c r="I399">
        <f t="shared" si="180"/>
        <v>8.1256230789298584E-5</v>
      </c>
      <c r="J399" s="4">
        <f t="shared" si="196"/>
        <v>488.08467088342559</v>
      </c>
      <c r="K399" s="40">
        <f t="shared" si="197"/>
        <v>6.0067353130008359</v>
      </c>
      <c r="L399" s="40">
        <f t="shared" si="181"/>
        <v>0</v>
      </c>
      <c r="M399" s="10">
        <f t="shared" si="198"/>
        <v>5.0934814368643648</v>
      </c>
      <c r="N399" s="10">
        <f t="shared" si="177"/>
        <v>8.26</v>
      </c>
      <c r="O399" s="10">
        <f t="shared" si="178"/>
        <v>0.31900000000000001</v>
      </c>
      <c r="P399" s="10">
        <f t="shared" si="199"/>
        <v>13.884100398092095</v>
      </c>
      <c r="Q399" s="42">
        <f t="shared" si="200"/>
        <v>0.18108420420282861</v>
      </c>
      <c r="R399" s="4">
        <f t="shared" si="201"/>
        <v>55925.431231256189</v>
      </c>
      <c r="S399">
        <f t="shared" si="182"/>
        <v>5.5925431231256186E-5</v>
      </c>
      <c r="T399" s="41">
        <f t="shared" si="183"/>
        <v>1.2387894081062765E-4</v>
      </c>
      <c r="U399" s="42">
        <f t="shared" si="202"/>
        <v>0.10036098261605078</v>
      </c>
      <c r="V399" s="42">
        <f t="shared" si="203"/>
        <v>0.4572355935808155</v>
      </c>
      <c r="W399" s="42">
        <f t="shared" si="204"/>
        <v>0.45318196285201967</v>
      </c>
      <c r="X399" s="42">
        <f t="shared" si="205"/>
        <v>4.0536307287958318E-3</v>
      </c>
      <c r="Y399" s="42">
        <f t="shared" si="179"/>
        <v>1.9130259099862052E-3</v>
      </c>
      <c r="Z399" s="10">
        <f t="shared" si="206"/>
        <v>15.442704768606525</v>
      </c>
      <c r="AA399">
        <f t="shared" si="184"/>
        <v>5093630.1267749183</v>
      </c>
      <c r="AB399" s="10">
        <f t="shared" si="185"/>
        <v>5.0936301267749187</v>
      </c>
      <c r="AC399" s="10">
        <f t="shared" si="186"/>
        <v>4.9926301267749187</v>
      </c>
      <c r="AD399" s="3">
        <f t="shared" si="187"/>
        <v>724.09428959752256</v>
      </c>
      <c r="AI399" s="94">
        <f t="shared" si="188"/>
        <v>0.45318196285201967</v>
      </c>
    </row>
    <row r="400" spans="2:35">
      <c r="B400" s="39">
        <f t="shared" si="189"/>
        <v>372</v>
      </c>
      <c r="C400" s="42">
        <f t="shared" si="190"/>
        <v>2.4710791366880662</v>
      </c>
      <c r="D400" s="10">
        <f t="shared" si="191"/>
        <v>3.0689208633116039</v>
      </c>
      <c r="E400" s="40">
        <f t="shared" si="192"/>
        <v>24.942158273376791</v>
      </c>
      <c r="F400" s="40">
        <f t="shared" si="193"/>
        <v>31.08</v>
      </c>
      <c r="G400" s="3">
        <f t="shared" si="194"/>
        <v>206.63136690649813</v>
      </c>
      <c r="H400" s="3">
        <f t="shared" si="195"/>
        <v>81.256230789298584</v>
      </c>
      <c r="I400">
        <f t="shared" si="180"/>
        <v>8.1256230789298584E-5</v>
      </c>
      <c r="J400" s="4">
        <f t="shared" si="196"/>
        <v>488.60504050993728</v>
      </c>
      <c r="K400" s="40">
        <f t="shared" si="197"/>
        <v>6.0131393711445247</v>
      </c>
      <c r="L400" s="40">
        <f t="shared" si="181"/>
        <v>0</v>
      </c>
      <c r="M400" s="10">
        <f t="shared" si="198"/>
        <v>5.0936301267749187</v>
      </c>
      <c r="N400" s="10">
        <f t="shared" si="177"/>
        <v>8.26</v>
      </c>
      <c r="O400" s="10">
        <f t="shared" si="178"/>
        <v>0.31900000000000001</v>
      </c>
      <c r="P400" s="10">
        <f t="shared" si="199"/>
        <v>13.884229689863052</v>
      </c>
      <c r="Q400" s="42">
        <f t="shared" si="200"/>
        <v>0.18156263808066642</v>
      </c>
      <c r="R400" s="4">
        <f t="shared" si="201"/>
        <v>55803.527331052042</v>
      </c>
      <c r="S400">
        <f t="shared" si="182"/>
        <v>5.5803527331052042E-5</v>
      </c>
      <c r="T400" s="41">
        <f t="shared" si="183"/>
        <v>1.2400084471083181E-4</v>
      </c>
      <c r="U400" s="42">
        <f t="shared" si="202"/>
        <v>0.10014221997193944</v>
      </c>
      <c r="V400" s="42">
        <f t="shared" si="203"/>
        <v>0.45724739456161423</v>
      </c>
      <c r="W400" s="42">
        <f t="shared" si="204"/>
        <v>0.45319545986475224</v>
      </c>
      <c r="X400" s="42">
        <f t="shared" si="205"/>
        <v>4.0519346968619918E-3</v>
      </c>
      <c r="Y400" s="42">
        <f t="shared" si="179"/>
        <v>1.9149644928159704E-3</v>
      </c>
      <c r="Z400" s="10">
        <f t="shared" si="206"/>
        <v>15.443156837210587</v>
      </c>
      <c r="AA400">
        <f t="shared" si="184"/>
        <v>5093776.2806621948</v>
      </c>
      <c r="AB400" s="10">
        <f t="shared" si="185"/>
        <v>5.0937762806621949</v>
      </c>
      <c r="AC400" s="10">
        <f t="shared" si="186"/>
        <v>4.9927762806621949</v>
      </c>
      <c r="AD400" s="3">
        <f t="shared" si="187"/>
        <v>724.11548668052137</v>
      </c>
      <c r="AI400" s="94">
        <f t="shared" si="188"/>
        <v>0.45319545986475224</v>
      </c>
    </row>
    <row r="401" spans="2:35">
      <c r="B401" s="39">
        <f t="shared" si="189"/>
        <v>373</v>
      </c>
      <c r="C401" s="42">
        <f t="shared" si="190"/>
        <v>2.4777218225393782</v>
      </c>
      <c r="D401" s="10">
        <f t="shared" si="191"/>
        <v>3.062278177460291</v>
      </c>
      <c r="E401" s="40">
        <f t="shared" si="192"/>
        <v>24.955443645079416</v>
      </c>
      <c r="F401" s="40">
        <f t="shared" si="193"/>
        <v>31.08</v>
      </c>
      <c r="G401" s="3">
        <f t="shared" si="194"/>
        <v>206.57822541968764</v>
      </c>
      <c r="H401" s="3">
        <f t="shared" si="195"/>
        <v>81.256230789298584</v>
      </c>
      <c r="I401">
        <f t="shared" si="180"/>
        <v>8.1256230789298584E-5</v>
      </c>
      <c r="J401" s="4">
        <f t="shared" si="196"/>
        <v>489.12568738373056</v>
      </c>
      <c r="K401" s="40">
        <f t="shared" si="197"/>
        <v>6.0195468413007935</v>
      </c>
      <c r="L401" s="40">
        <f t="shared" si="181"/>
        <v>0</v>
      </c>
      <c r="M401" s="10">
        <f t="shared" si="198"/>
        <v>5.0937762806621949</v>
      </c>
      <c r="N401" s="10">
        <f t="shared" si="177"/>
        <v>8.26</v>
      </c>
      <c r="O401" s="10">
        <f t="shared" si="178"/>
        <v>0.31900000000000001</v>
      </c>
      <c r="P401" s="10">
        <f t="shared" si="199"/>
        <v>13.884356773956425</v>
      </c>
      <c r="Q401" s="42">
        <f t="shared" si="200"/>
        <v>0.1820410675793791</v>
      </c>
      <c r="R401" s="4">
        <f t="shared" si="201"/>
        <v>55681.621464027739</v>
      </c>
      <c r="S401">
        <f t="shared" si="182"/>
        <v>5.5681621464027738E-5</v>
      </c>
      <c r="T401" s="41">
        <f t="shared" si="183"/>
        <v>1.2412275057785611E-4</v>
      </c>
      <c r="U401" s="42">
        <f t="shared" si="202"/>
        <v>9.9923453798270973E-2</v>
      </c>
      <c r="V401" s="42">
        <f t="shared" si="203"/>
        <v>0.45725895718616888</v>
      </c>
      <c r="W401" s="42">
        <f t="shared" si="204"/>
        <v>0.45320872667532569</v>
      </c>
      <c r="X401" s="42">
        <f t="shared" si="205"/>
        <v>4.0502305108431891E-3</v>
      </c>
      <c r="Y401" s="42">
        <f t="shared" si="179"/>
        <v>1.9169022425689439E-3</v>
      </c>
      <c r="Z401" s="10">
        <f t="shared" si="206"/>
        <v>15.443601061407072</v>
      </c>
      <c r="AA401">
        <f t="shared" si="184"/>
        <v>5093919.8984506363</v>
      </c>
      <c r="AB401" s="10">
        <f t="shared" si="185"/>
        <v>5.0939198984506362</v>
      </c>
      <c r="AC401" s="10">
        <f t="shared" si="186"/>
        <v>4.9929198984506362</v>
      </c>
      <c r="AD401" s="3">
        <f t="shared" si="187"/>
        <v>724.13631594643016</v>
      </c>
      <c r="AI401" s="94">
        <f t="shared" si="188"/>
        <v>0.45320872667532569</v>
      </c>
    </row>
    <row r="402" spans="2:35">
      <c r="B402" s="39">
        <f t="shared" si="189"/>
        <v>374</v>
      </c>
      <c r="C402" s="42">
        <f t="shared" si="190"/>
        <v>2.4843645083906902</v>
      </c>
      <c r="D402" s="10">
        <f t="shared" si="191"/>
        <v>3.0556354916089781</v>
      </c>
      <c r="E402" s="40">
        <f t="shared" si="192"/>
        <v>24.968729016782042</v>
      </c>
      <c r="F402" s="40">
        <f t="shared" si="193"/>
        <v>31.08</v>
      </c>
      <c r="G402" s="3">
        <f t="shared" si="194"/>
        <v>206.52508393287715</v>
      </c>
      <c r="H402" s="3">
        <f t="shared" si="195"/>
        <v>81.256230789298584</v>
      </c>
      <c r="I402">
        <f t="shared" si="180"/>
        <v>8.1256230789298584E-5</v>
      </c>
      <c r="J402" s="4">
        <f t="shared" si="196"/>
        <v>489.64661150480543</v>
      </c>
      <c r="K402" s="40">
        <f t="shared" si="197"/>
        <v>6.0259577234696406</v>
      </c>
      <c r="L402" s="40">
        <f t="shared" si="181"/>
        <v>0</v>
      </c>
      <c r="M402" s="10">
        <f t="shared" si="198"/>
        <v>5.0939198984506362</v>
      </c>
      <c r="N402" s="10">
        <f t="shared" si="177"/>
        <v>8.26</v>
      </c>
      <c r="O402" s="10">
        <f t="shared" si="178"/>
        <v>0.31900000000000001</v>
      </c>
      <c r="P402" s="10">
        <f t="shared" si="199"/>
        <v>13.884481650435898</v>
      </c>
      <c r="Q402" s="42">
        <f t="shared" si="200"/>
        <v>0.18251949277511578</v>
      </c>
      <c r="R402" s="4">
        <f t="shared" si="201"/>
        <v>55559.713674383296</v>
      </c>
      <c r="S402">
        <f t="shared" si="182"/>
        <v>5.5559713674383297E-5</v>
      </c>
      <c r="T402" s="41">
        <f t="shared" si="183"/>
        <v>1.2424465836750054E-4</v>
      </c>
      <c r="U402" s="42">
        <f t="shared" si="202"/>
        <v>9.9704684174364538E-2</v>
      </c>
      <c r="V402" s="42">
        <f t="shared" si="203"/>
        <v>0.45727028144822418</v>
      </c>
      <c r="W402" s="42">
        <f t="shared" si="204"/>
        <v>0.45322176327688141</v>
      </c>
      <c r="X402" s="42">
        <f t="shared" si="205"/>
        <v>4.0485181713427743E-3</v>
      </c>
      <c r="Y402" s="42">
        <f t="shared" si="179"/>
        <v>1.9188391556675122E-3</v>
      </c>
      <c r="Z402" s="10">
        <f t="shared" si="206"/>
        <v>15.444037440964424</v>
      </c>
      <c r="AA402">
        <f t="shared" si="184"/>
        <v>5094060.9800653784</v>
      </c>
      <c r="AB402" s="10">
        <f t="shared" si="185"/>
        <v>5.094060980065378</v>
      </c>
      <c r="AC402" s="10">
        <f t="shared" si="186"/>
        <v>4.993060980065378</v>
      </c>
      <c r="AD402" s="3">
        <f t="shared" si="187"/>
        <v>724.15677738439138</v>
      </c>
      <c r="AI402" s="94">
        <f t="shared" si="188"/>
        <v>0.45322176327688141</v>
      </c>
    </row>
    <row r="403" spans="2:35">
      <c r="B403" s="39">
        <f t="shared" si="189"/>
        <v>375</v>
      </c>
      <c r="C403" s="42">
        <f t="shared" si="190"/>
        <v>2.4910071942420022</v>
      </c>
      <c r="D403" s="10">
        <f t="shared" si="191"/>
        <v>3.0489928057576652</v>
      </c>
      <c r="E403" s="40">
        <f t="shared" si="192"/>
        <v>24.982014388484668</v>
      </c>
      <c r="F403" s="40">
        <f t="shared" si="193"/>
        <v>31.08</v>
      </c>
      <c r="G403" s="3">
        <f t="shared" si="194"/>
        <v>206.47194244606666</v>
      </c>
      <c r="H403" s="3">
        <f t="shared" si="195"/>
        <v>81.256230789298584</v>
      </c>
      <c r="I403">
        <f t="shared" si="180"/>
        <v>8.1256230789298584E-5</v>
      </c>
      <c r="J403" s="4">
        <f t="shared" si="196"/>
        <v>490.16781287316178</v>
      </c>
      <c r="K403" s="40">
        <f t="shared" si="197"/>
        <v>6.032372017651066</v>
      </c>
      <c r="L403" s="40">
        <f t="shared" si="181"/>
        <v>0</v>
      </c>
      <c r="M403" s="10">
        <f t="shared" si="198"/>
        <v>5.094060980065378</v>
      </c>
      <c r="N403" s="10">
        <f t="shared" si="177"/>
        <v>8.26</v>
      </c>
      <c r="O403" s="10">
        <f t="shared" si="178"/>
        <v>0.31900000000000001</v>
      </c>
      <c r="P403" s="10">
        <f t="shared" si="199"/>
        <v>13.884604319363509</v>
      </c>
      <c r="Q403" s="42">
        <f t="shared" si="200"/>
        <v>0.1829979137440193</v>
      </c>
      <c r="R403" s="4">
        <f t="shared" si="201"/>
        <v>55437.804006318729</v>
      </c>
      <c r="S403">
        <f t="shared" si="182"/>
        <v>5.5437804006318728E-5</v>
      </c>
      <c r="T403" s="41">
        <f t="shared" si="183"/>
        <v>1.2436656803556511E-4</v>
      </c>
      <c r="U403" s="42">
        <f t="shared" si="202"/>
        <v>9.9485911179539269E-2</v>
      </c>
      <c r="V403" s="42">
        <f t="shared" si="203"/>
        <v>0.45728136734196578</v>
      </c>
      <c r="W403" s="42">
        <f t="shared" si="204"/>
        <v>0.45323456966262349</v>
      </c>
      <c r="X403" s="42">
        <f t="shared" si="205"/>
        <v>4.0467976793422955E-3</v>
      </c>
      <c r="Y403" s="42">
        <f t="shared" si="179"/>
        <v>1.9207752285342195E-3</v>
      </c>
      <c r="Z403" s="10">
        <f t="shared" si="206"/>
        <v>15.444465975654611</v>
      </c>
      <c r="AA403">
        <f t="shared" si="184"/>
        <v>5094199.5254326994</v>
      </c>
      <c r="AB403" s="10">
        <f t="shared" si="185"/>
        <v>5.0941995254326997</v>
      </c>
      <c r="AC403" s="10">
        <f t="shared" si="186"/>
        <v>4.9931995254326997</v>
      </c>
      <c r="AD403" s="3">
        <f t="shared" si="187"/>
        <v>724.17687098371277</v>
      </c>
      <c r="AI403" s="94">
        <f t="shared" si="188"/>
        <v>0.45323456966262349</v>
      </c>
    </row>
    <row r="404" spans="2:35">
      <c r="B404" s="39">
        <f t="shared" si="189"/>
        <v>376</v>
      </c>
      <c r="C404" s="42">
        <f t="shared" si="190"/>
        <v>2.4976498800933142</v>
      </c>
      <c r="D404" s="10">
        <f t="shared" si="191"/>
        <v>3.0423501199063523</v>
      </c>
      <c r="E404" s="40">
        <f t="shared" si="192"/>
        <v>24.995299760187294</v>
      </c>
      <c r="F404" s="40">
        <f t="shared" si="193"/>
        <v>31.08</v>
      </c>
      <c r="G404" s="3">
        <f t="shared" si="194"/>
        <v>206.41880095925617</v>
      </c>
      <c r="H404" s="3">
        <f t="shared" si="195"/>
        <v>81.256230789298584</v>
      </c>
      <c r="I404">
        <f t="shared" si="180"/>
        <v>8.1256230789298584E-5</v>
      </c>
      <c r="J404" s="4">
        <f t="shared" si="196"/>
        <v>490.68929148879971</v>
      </c>
      <c r="K404" s="40">
        <f t="shared" si="197"/>
        <v>6.0387897238450705</v>
      </c>
      <c r="L404" s="40">
        <f t="shared" si="181"/>
        <v>0</v>
      </c>
      <c r="M404" s="10">
        <f t="shared" si="198"/>
        <v>5.0941995254326997</v>
      </c>
      <c r="N404" s="10">
        <f t="shared" si="177"/>
        <v>8.26</v>
      </c>
      <c r="O404" s="10">
        <f t="shared" si="178"/>
        <v>0.31900000000000001</v>
      </c>
      <c r="P404" s="10">
        <f t="shared" si="199"/>
        <v>13.884724780800047</v>
      </c>
      <c r="Q404" s="42">
        <f t="shared" si="200"/>
        <v>0.18347633056222643</v>
      </c>
      <c r="R404" s="4">
        <f t="shared" si="201"/>
        <v>55315.892504034011</v>
      </c>
      <c r="S404">
        <f t="shared" si="182"/>
        <v>5.5315892504034011E-5</v>
      </c>
      <c r="T404" s="41">
        <f t="shared" si="183"/>
        <v>1.2448847953784982E-4</v>
      </c>
      <c r="U404" s="42">
        <f t="shared" si="202"/>
        <v>9.9267134893114228E-2</v>
      </c>
      <c r="V404" s="42">
        <f t="shared" si="203"/>
        <v>0.45729221486173766</v>
      </c>
      <c r="W404" s="42">
        <f t="shared" si="204"/>
        <v>0.4532471458258604</v>
      </c>
      <c r="X404" s="42">
        <f t="shared" si="205"/>
        <v>4.0450690358772579E-3</v>
      </c>
      <c r="Y404" s="42">
        <f t="shared" si="179"/>
        <v>1.9227104575917921E-3</v>
      </c>
      <c r="Z404" s="10">
        <f t="shared" si="206"/>
        <v>15.444886665253277</v>
      </c>
      <c r="AA404">
        <f t="shared" si="184"/>
        <v>5094335.5344800651</v>
      </c>
      <c r="AB404" s="10">
        <f t="shared" si="185"/>
        <v>5.0943355344800647</v>
      </c>
      <c r="AC404" s="10">
        <f t="shared" si="186"/>
        <v>4.9933355344800647</v>
      </c>
      <c r="AD404" s="3">
        <f t="shared" si="187"/>
        <v>724.19659673387457</v>
      </c>
      <c r="AI404" s="94">
        <f t="shared" si="188"/>
        <v>0.4532471458258604</v>
      </c>
    </row>
    <row r="405" spans="2:35">
      <c r="B405" s="39">
        <f t="shared" si="189"/>
        <v>377</v>
      </c>
      <c r="C405" s="42">
        <f t="shared" si="190"/>
        <v>2.5042925659446262</v>
      </c>
      <c r="D405" s="10">
        <f t="shared" si="191"/>
        <v>3.0357074340550394</v>
      </c>
      <c r="E405" s="40">
        <f t="shared" si="192"/>
        <v>25.008585131889919</v>
      </c>
      <c r="F405" s="40">
        <f t="shared" si="193"/>
        <v>31.08</v>
      </c>
      <c r="G405" s="3">
        <f t="shared" si="194"/>
        <v>206.36565947244569</v>
      </c>
      <c r="H405" s="3">
        <f t="shared" si="195"/>
        <v>81.256230789298584</v>
      </c>
      <c r="I405">
        <f t="shared" si="180"/>
        <v>8.1256230789298584E-5</v>
      </c>
      <c r="J405" s="4">
        <f t="shared" si="196"/>
        <v>491.21104735171929</v>
      </c>
      <c r="K405" s="40">
        <f t="shared" si="197"/>
        <v>6.045210842051655</v>
      </c>
      <c r="L405" s="40">
        <f t="shared" si="181"/>
        <v>0</v>
      </c>
      <c r="M405" s="10">
        <f t="shared" si="198"/>
        <v>5.0943355344800647</v>
      </c>
      <c r="N405" s="10">
        <f t="shared" si="177"/>
        <v>8.26</v>
      </c>
      <c r="O405" s="10">
        <f t="shared" si="178"/>
        <v>0.31900000000000001</v>
      </c>
      <c r="P405" s="10">
        <f t="shared" si="199"/>
        <v>13.884843034805076</v>
      </c>
      <c r="Q405" s="42">
        <f t="shared" si="200"/>
        <v>0.18395474330586789</v>
      </c>
      <c r="R405" s="4">
        <f t="shared" si="201"/>
        <v>55193.979211729129</v>
      </c>
      <c r="S405">
        <f t="shared" si="182"/>
        <v>5.5193979211729129E-5</v>
      </c>
      <c r="T405" s="41">
        <f t="shared" si="183"/>
        <v>1.246103928301547E-4</v>
      </c>
      <c r="U405" s="42">
        <f t="shared" si="202"/>
        <v>9.9048355394408497E-2</v>
      </c>
      <c r="V405" s="42">
        <f t="shared" si="203"/>
        <v>0.4573028240018846</v>
      </c>
      <c r="W405" s="42">
        <f t="shared" si="204"/>
        <v>0.45325949176000757</v>
      </c>
      <c r="X405" s="42">
        <f t="shared" si="205"/>
        <v>4.043332241877029E-3</v>
      </c>
      <c r="Y405" s="42">
        <f t="shared" si="179"/>
        <v>1.9246448392630825E-3</v>
      </c>
      <c r="Z405" s="10">
        <f t="shared" si="206"/>
        <v>15.445299509539256</v>
      </c>
      <c r="AA405">
        <f t="shared" si="184"/>
        <v>5094469.0071359714</v>
      </c>
      <c r="AB405" s="10">
        <f t="shared" si="185"/>
        <v>5.0944690071359711</v>
      </c>
      <c r="AC405" s="10">
        <f t="shared" si="186"/>
        <v>4.9934690071359711</v>
      </c>
      <c r="AD405" s="3">
        <f t="shared" si="187"/>
        <v>724.21595462450637</v>
      </c>
      <c r="AI405" s="94">
        <f t="shared" si="188"/>
        <v>0.45325949176000757</v>
      </c>
    </row>
    <row r="406" spans="2:35">
      <c r="B406" s="39">
        <f t="shared" si="189"/>
        <v>378</v>
      </c>
      <c r="C406" s="42">
        <f t="shared" si="190"/>
        <v>2.5109352517959382</v>
      </c>
      <c r="D406" s="10">
        <f t="shared" si="191"/>
        <v>3.0290647482037265</v>
      </c>
      <c r="E406" s="40">
        <f t="shared" si="192"/>
        <v>25.021870503592545</v>
      </c>
      <c r="F406" s="40">
        <f t="shared" si="193"/>
        <v>31.08</v>
      </c>
      <c r="G406" s="3">
        <f t="shared" si="194"/>
        <v>206.3125179856352</v>
      </c>
      <c r="H406" s="3">
        <f t="shared" si="195"/>
        <v>81.256230789298584</v>
      </c>
      <c r="I406">
        <f t="shared" si="180"/>
        <v>8.1256230789298584E-5</v>
      </c>
      <c r="J406" s="4">
        <f t="shared" si="196"/>
        <v>491.73308046192039</v>
      </c>
      <c r="K406" s="40">
        <f t="shared" si="197"/>
        <v>6.0516353722708178</v>
      </c>
      <c r="L406" s="40">
        <f t="shared" si="181"/>
        <v>0</v>
      </c>
      <c r="M406" s="10">
        <f t="shared" si="198"/>
        <v>5.0944690071359711</v>
      </c>
      <c r="N406" s="10">
        <f t="shared" si="177"/>
        <v>8.26</v>
      </c>
      <c r="O406" s="10">
        <f t="shared" si="178"/>
        <v>0.31900000000000001</v>
      </c>
      <c r="P406" s="10">
        <f t="shared" si="199"/>
        <v>13.884959081436804</v>
      </c>
      <c r="Q406" s="42">
        <f t="shared" si="200"/>
        <v>0.1844331520510685</v>
      </c>
      <c r="R406" s="4">
        <f t="shared" si="201"/>
        <v>55072.064173604107</v>
      </c>
      <c r="S406">
        <f t="shared" si="182"/>
        <v>5.5072064173604104E-5</v>
      </c>
      <c r="T406" s="41">
        <f t="shared" si="183"/>
        <v>1.2473230786827974E-4</v>
      </c>
      <c r="U406" s="42">
        <f t="shared" si="202"/>
        <v>9.8829572762741236E-2</v>
      </c>
      <c r="V406" s="42">
        <f t="shared" si="203"/>
        <v>0.4573131947567548</v>
      </c>
      <c r="W406" s="42">
        <f t="shared" si="204"/>
        <v>0.45327160745857464</v>
      </c>
      <c r="X406" s="42">
        <f t="shared" si="205"/>
        <v>4.0415872981801604E-3</v>
      </c>
      <c r="Y406" s="42">
        <f t="shared" si="179"/>
        <v>1.9265783699710236E-3</v>
      </c>
      <c r="Z406" s="10">
        <f t="shared" si="206"/>
        <v>15.445704508294162</v>
      </c>
      <c r="AA406">
        <f t="shared" si="184"/>
        <v>5094599.9433298139</v>
      </c>
      <c r="AB406" s="10">
        <f t="shared" si="185"/>
        <v>5.0945999433298139</v>
      </c>
      <c r="AC406" s="10">
        <f t="shared" si="186"/>
        <v>4.9935999433298139</v>
      </c>
      <c r="AD406" s="3">
        <f t="shared" si="187"/>
        <v>724.23494464536827</v>
      </c>
      <c r="AI406" s="94">
        <f t="shared" si="188"/>
        <v>0.45327160745857464</v>
      </c>
    </row>
    <row r="407" spans="2:35">
      <c r="B407" s="39">
        <f t="shared" si="189"/>
        <v>379</v>
      </c>
      <c r="C407" s="42">
        <f t="shared" si="190"/>
        <v>2.5175779376472502</v>
      </c>
      <c r="D407" s="10">
        <f t="shared" si="191"/>
        <v>3.0224220623524136</v>
      </c>
      <c r="E407" s="40">
        <f t="shared" si="192"/>
        <v>25.035155875295171</v>
      </c>
      <c r="F407" s="40">
        <f t="shared" si="193"/>
        <v>31.08</v>
      </c>
      <c r="G407" s="3">
        <f t="shared" si="194"/>
        <v>206.25937649882471</v>
      </c>
      <c r="H407" s="3">
        <f t="shared" si="195"/>
        <v>81.256230789298584</v>
      </c>
      <c r="I407">
        <f t="shared" si="180"/>
        <v>8.1256230789298584E-5</v>
      </c>
      <c r="J407" s="4">
        <f t="shared" si="196"/>
        <v>492.25539081940303</v>
      </c>
      <c r="K407" s="40">
        <f t="shared" si="197"/>
        <v>6.0580633145025589</v>
      </c>
      <c r="L407" s="40">
        <f t="shared" si="181"/>
        <v>0</v>
      </c>
      <c r="M407" s="10">
        <f t="shared" si="198"/>
        <v>5.0945999433298139</v>
      </c>
      <c r="N407" s="10">
        <f t="shared" si="177"/>
        <v>8.26</v>
      </c>
      <c r="O407" s="10">
        <f t="shared" si="178"/>
        <v>0.31900000000000001</v>
      </c>
      <c r="P407" s="10">
        <f t="shared" si="199"/>
        <v>13.885072920751982</v>
      </c>
      <c r="Q407" s="42">
        <f t="shared" si="200"/>
        <v>0.18491155687394734</v>
      </c>
      <c r="R407" s="4">
        <f t="shared" si="201"/>
        <v>54950.147433858932</v>
      </c>
      <c r="S407">
        <f t="shared" si="182"/>
        <v>5.4950147433858932E-5</v>
      </c>
      <c r="T407" s="41">
        <f t="shared" si="183"/>
        <v>1.248542246080249E-4</v>
      </c>
      <c r="U407" s="42">
        <f t="shared" si="202"/>
        <v>9.8610787077431539E-2</v>
      </c>
      <c r="V407" s="42">
        <f t="shared" si="203"/>
        <v>0.45732332712103119</v>
      </c>
      <c r="W407" s="42">
        <f t="shared" si="204"/>
        <v>0.45328349291515252</v>
      </c>
      <c r="X407" s="42">
        <f t="shared" si="205"/>
        <v>4.0398342058786674E-3</v>
      </c>
      <c r="Y407" s="42">
        <f t="shared" si="179"/>
        <v>1.9285110461387468E-3</v>
      </c>
      <c r="Z407" s="10">
        <f t="shared" si="206"/>
        <v>15.446101661303285</v>
      </c>
      <c r="AA407">
        <f t="shared" si="184"/>
        <v>5094728.34299218</v>
      </c>
      <c r="AB407" s="10">
        <f t="shared" si="185"/>
        <v>5.0947283429921804</v>
      </c>
      <c r="AC407" s="10">
        <f t="shared" si="186"/>
        <v>4.9937283429921804</v>
      </c>
      <c r="AD407" s="3">
        <f t="shared" si="187"/>
        <v>724.25356678639309</v>
      </c>
      <c r="AI407" s="94">
        <f t="shared" si="188"/>
        <v>0.45328349291515252</v>
      </c>
    </row>
    <row r="408" spans="2:35">
      <c r="B408" s="39">
        <f t="shared" si="189"/>
        <v>380</v>
      </c>
      <c r="C408" s="42">
        <f t="shared" si="190"/>
        <v>2.5242206234985622</v>
      </c>
      <c r="D408" s="10">
        <f t="shared" si="191"/>
        <v>3.0157793765011007</v>
      </c>
      <c r="E408" s="40">
        <f t="shared" si="192"/>
        <v>25.048441246997797</v>
      </c>
      <c r="F408" s="40">
        <f t="shared" si="193"/>
        <v>31.08</v>
      </c>
      <c r="G408" s="3">
        <f t="shared" si="194"/>
        <v>206.20623501201422</v>
      </c>
      <c r="H408" s="3">
        <f t="shared" si="195"/>
        <v>81.256230789298584</v>
      </c>
      <c r="I408">
        <f t="shared" si="180"/>
        <v>8.1256230789298584E-5</v>
      </c>
      <c r="J408" s="4">
        <f t="shared" si="196"/>
        <v>492.77797842416726</v>
      </c>
      <c r="K408" s="40">
        <f t="shared" si="197"/>
        <v>6.064494668746879</v>
      </c>
      <c r="L408" s="40">
        <f t="shared" si="181"/>
        <v>0</v>
      </c>
      <c r="M408" s="10">
        <f t="shared" si="198"/>
        <v>5.0947283429921804</v>
      </c>
      <c r="N408" s="10">
        <f t="shared" si="177"/>
        <v>8.26</v>
      </c>
      <c r="O408" s="10">
        <f t="shared" si="178"/>
        <v>0.31900000000000001</v>
      </c>
      <c r="P408" s="10">
        <f t="shared" si="199"/>
        <v>13.885184552806138</v>
      </c>
      <c r="Q408" s="42">
        <f t="shared" si="200"/>
        <v>0.18538995785061779</v>
      </c>
      <c r="R408" s="4">
        <f t="shared" si="201"/>
        <v>54828.229036693607</v>
      </c>
      <c r="S408">
        <f t="shared" si="182"/>
        <v>5.4828229036693607E-5</v>
      </c>
      <c r="T408" s="41">
        <f t="shared" si="183"/>
        <v>1.2497614300519021E-4</v>
      </c>
      <c r="U408" s="42">
        <f t="shared" si="202"/>
        <v>9.8391998417798499E-2</v>
      </c>
      <c r="V408" s="42">
        <f t="shared" si="203"/>
        <v>0.45733322108945296</v>
      </c>
      <c r="W408" s="42">
        <f t="shared" si="204"/>
        <v>0.45329514812344052</v>
      </c>
      <c r="X408" s="42">
        <f t="shared" si="205"/>
        <v>4.0380729660124404E-3</v>
      </c>
      <c r="Y408" s="42">
        <f t="shared" si="179"/>
        <v>1.9304428641895538E-3</v>
      </c>
      <c r="Z408" s="10">
        <f t="shared" si="206"/>
        <v>15.446490968355322</v>
      </c>
      <c r="AA408">
        <f t="shared" si="184"/>
        <v>5094854.2060547518</v>
      </c>
      <c r="AB408" s="10">
        <f t="shared" si="185"/>
        <v>5.0948542060547517</v>
      </c>
      <c r="AC408" s="10">
        <f t="shared" si="186"/>
        <v>4.9938542060547517</v>
      </c>
      <c r="AD408" s="3">
        <f t="shared" si="187"/>
        <v>724.27182103767245</v>
      </c>
      <c r="AI408" s="94">
        <f t="shared" si="188"/>
        <v>0.45329514812344052</v>
      </c>
    </row>
    <row r="409" spans="2:35">
      <c r="B409" s="39">
        <f t="shared" si="189"/>
        <v>381</v>
      </c>
      <c r="C409" s="42">
        <f t="shared" si="190"/>
        <v>2.5308633093498742</v>
      </c>
      <c r="D409" s="10">
        <f t="shared" si="191"/>
        <v>3.0091366906497878</v>
      </c>
      <c r="E409" s="40">
        <f t="shared" si="192"/>
        <v>25.061726618700423</v>
      </c>
      <c r="F409" s="40">
        <f t="shared" si="193"/>
        <v>31.08</v>
      </c>
      <c r="G409" s="3">
        <f t="shared" si="194"/>
        <v>206.15309352520373</v>
      </c>
      <c r="H409" s="3">
        <f t="shared" si="195"/>
        <v>81.256230789298584</v>
      </c>
      <c r="I409">
        <f t="shared" si="180"/>
        <v>8.1256230789298584E-5</v>
      </c>
      <c r="J409" s="4">
        <f t="shared" si="196"/>
        <v>493.30084327621302</v>
      </c>
      <c r="K409" s="40">
        <f t="shared" si="197"/>
        <v>6.0709294350037775</v>
      </c>
      <c r="L409" s="40">
        <f t="shared" si="181"/>
        <v>0</v>
      </c>
      <c r="M409" s="10">
        <f t="shared" si="198"/>
        <v>5.0948542060547517</v>
      </c>
      <c r="N409" s="10">
        <f t="shared" si="177"/>
        <v>8.26</v>
      </c>
      <c r="O409" s="10">
        <f t="shared" si="178"/>
        <v>0.31900000000000001</v>
      </c>
      <c r="P409" s="10">
        <f t="shared" si="199"/>
        <v>13.885293977653506</v>
      </c>
      <c r="Q409" s="42">
        <f t="shared" si="200"/>
        <v>0.18586835505718774</v>
      </c>
      <c r="R409" s="4">
        <f t="shared" si="201"/>
        <v>54706.309026308139</v>
      </c>
      <c r="S409">
        <f t="shared" si="182"/>
        <v>5.4706309026308138E-5</v>
      </c>
      <c r="T409" s="41">
        <f t="shared" si="183"/>
        <v>1.250980630155757E-4</v>
      </c>
      <c r="U409" s="42">
        <f t="shared" si="202"/>
        <v>9.8173206863161264E-2</v>
      </c>
      <c r="V409" s="42">
        <f t="shared" si="203"/>
        <v>0.45734287665671197</v>
      </c>
      <c r="W409" s="42">
        <f t="shared" si="204"/>
        <v>0.45330657307723721</v>
      </c>
      <c r="X409" s="42">
        <f t="shared" si="205"/>
        <v>4.0363035794747648E-3</v>
      </c>
      <c r="Y409" s="42">
        <f t="shared" si="179"/>
        <v>1.9323738205468427E-3</v>
      </c>
      <c r="Z409" s="10">
        <f t="shared" si="206"/>
        <v>15.446872429241745</v>
      </c>
      <c r="AA409">
        <f t="shared" si="184"/>
        <v>5094977.5324501125</v>
      </c>
      <c r="AB409" s="10">
        <f t="shared" si="185"/>
        <v>5.0949775324501125</v>
      </c>
      <c r="AC409" s="10">
        <f t="shared" si="186"/>
        <v>4.9939775324501126</v>
      </c>
      <c r="AD409" s="3">
        <f t="shared" si="187"/>
        <v>724.28970738942894</v>
      </c>
      <c r="AI409" s="94">
        <f t="shared" si="188"/>
        <v>0.45330657307723721</v>
      </c>
    </row>
    <row r="410" spans="2:35">
      <c r="B410" s="39">
        <f t="shared" si="189"/>
        <v>382</v>
      </c>
      <c r="C410" s="42">
        <f t="shared" si="190"/>
        <v>2.5375059952011862</v>
      </c>
      <c r="D410" s="10">
        <f t="shared" si="191"/>
        <v>3.0024940047984749</v>
      </c>
      <c r="E410" s="40">
        <f t="shared" si="192"/>
        <v>25.075011990403048</v>
      </c>
      <c r="F410" s="40">
        <f t="shared" si="193"/>
        <v>31.08</v>
      </c>
      <c r="G410" s="3">
        <f t="shared" si="194"/>
        <v>206.09995203839324</v>
      </c>
      <c r="H410" s="3">
        <f t="shared" si="195"/>
        <v>81.256230789298584</v>
      </c>
      <c r="I410">
        <f t="shared" si="180"/>
        <v>8.1256230789298584E-5</v>
      </c>
      <c r="J410" s="4">
        <f t="shared" si="196"/>
        <v>493.82398537554036</v>
      </c>
      <c r="K410" s="40">
        <f t="shared" si="197"/>
        <v>6.0773676132732559</v>
      </c>
      <c r="L410" s="40">
        <f t="shared" si="181"/>
        <v>0</v>
      </c>
      <c r="M410" s="10">
        <f t="shared" si="198"/>
        <v>5.0949775324501125</v>
      </c>
      <c r="N410" s="10">
        <f t="shared" si="177"/>
        <v>8.26</v>
      </c>
      <c r="O410" s="10">
        <f t="shared" si="178"/>
        <v>0.31900000000000001</v>
      </c>
      <c r="P410" s="10">
        <f t="shared" si="199"/>
        <v>13.88540119534686</v>
      </c>
      <c r="Q410" s="42">
        <f t="shared" si="200"/>
        <v>0.18634674856975963</v>
      </c>
      <c r="R410" s="4">
        <f t="shared" si="201"/>
        <v>54584.387446902503</v>
      </c>
      <c r="S410">
        <f t="shared" si="182"/>
        <v>5.4584387446902501E-5</v>
      </c>
      <c r="T410" s="41">
        <f t="shared" si="183"/>
        <v>1.2521998459498132E-4</v>
      </c>
      <c r="U410" s="42">
        <f t="shared" si="202"/>
        <v>9.7954412492838872E-2</v>
      </c>
      <c r="V410" s="42">
        <f t="shared" si="203"/>
        <v>0.45735229381796993</v>
      </c>
      <c r="W410" s="42">
        <f t="shared" si="204"/>
        <v>0.45331776777042287</v>
      </c>
      <c r="X410" s="42">
        <f t="shared" si="205"/>
        <v>4.0345260475470601E-3</v>
      </c>
      <c r="Y410" s="42">
        <f t="shared" si="179"/>
        <v>1.9343039116342916E-3</v>
      </c>
      <c r="Z410" s="10">
        <f t="shared" si="206"/>
        <v>15.447246043758229</v>
      </c>
      <c r="AA410">
        <f t="shared" si="184"/>
        <v>5095098.3221122054</v>
      </c>
      <c r="AB410" s="10">
        <f t="shared" si="185"/>
        <v>5.0950983221122055</v>
      </c>
      <c r="AC410" s="10">
        <f t="shared" si="186"/>
        <v>4.9940983221122055</v>
      </c>
      <c r="AD410" s="3">
        <f t="shared" si="187"/>
        <v>724.30722583208205</v>
      </c>
      <c r="AI410" s="94">
        <f t="shared" si="188"/>
        <v>0.45331776777042287</v>
      </c>
    </row>
    <row r="411" spans="2:35">
      <c r="B411" s="39">
        <f t="shared" si="189"/>
        <v>383</v>
      </c>
      <c r="C411" s="42">
        <f t="shared" si="190"/>
        <v>2.5441486810524983</v>
      </c>
      <c r="D411" s="10">
        <f t="shared" si="191"/>
        <v>2.9958513189471621</v>
      </c>
      <c r="E411" s="40">
        <f t="shared" si="192"/>
        <v>25.088297362105674</v>
      </c>
      <c r="F411" s="40">
        <f t="shared" si="193"/>
        <v>31.08</v>
      </c>
      <c r="G411" s="3">
        <f t="shared" si="194"/>
        <v>206.04681055158275</v>
      </c>
      <c r="H411" s="3">
        <f t="shared" si="195"/>
        <v>81.256230789298584</v>
      </c>
      <c r="I411">
        <f t="shared" si="180"/>
        <v>8.1256230789298584E-5</v>
      </c>
      <c r="J411" s="4">
        <f t="shared" si="196"/>
        <v>494.34740472214924</v>
      </c>
      <c r="K411" s="40">
        <f t="shared" si="197"/>
        <v>6.0838092035553117</v>
      </c>
      <c r="L411" s="40">
        <f t="shared" si="181"/>
        <v>0</v>
      </c>
      <c r="M411" s="10">
        <f t="shared" si="198"/>
        <v>5.0950983221122055</v>
      </c>
      <c r="N411" s="10">
        <f t="shared" si="177"/>
        <v>8.26</v>
      </c>
      <c r="O411" s="10">
        <f t="shared" si="178"/>
        <v>0.31900000000000001</v>
      </c>
      <c r="P411" s="10">
        <f t="shared" si="199"/>
        <v>13.885506205937901</v>
      </c>
      <c r="Q411" s="42">
        <f t="shared" si="200"/>
        <v>0.18682513846443063</v>
      </c>
      <c r="R411" s="4">
        <f t="shared" si="201"/>
        <v>54462.464342676722</v>
      </c>
      <c r="S411">
        <f t="shared" si="182"/>
        <v>5.4462464342676724E-5</v>
      </c>
      <c r="T411" s="41">
        <f t="shared" si="183"/>
        <v>1.2534190769920712E-4</v>
      </c>
      <c r="U411" s="42">
        <f t="shared" si="202"/>
        <v>9.7735615386150498E-2</v>
      </c>
      <c r="V411" s="42">
        <f t="shared" si="203"/>
        <v>0.45736147256798815</v>
      </c>
      <c r="W411" s="42">
        <f t="shared" si="204"/>
        <v>0.45332873219700154</v>
      </c>
      <c r="X411" s="42">
        <f t="shared" si="205"/>
        <v>4.0327403709866094E-3</v>
      </c>
      <c r="Y411" s="42">
        <f t="shared" si="179"/>
        <v>1.9362331338756034E-3</v>
      </c>
      <c r="Z411" s="10">
        <f t="shared" si="206"/>
        <v>15.447611811702556</v>
      </c>
      <c r="AA411">
        <f t="shared" si="184"/>
        <v>5095216.5749756526</v>
      </c>
      <c r="AB411" s="10">
        <f t="shared" si="185"/>
        <v>5.0952165749756526</v>
      </c>
      <c r="AC411" s="10">
        <f t="shared" si="186"/>
        <v>4.9942165749756526</v>
      </c>
      <c r="AD411" s="3">
        <f t="shared" si="187"/>
        <v>724.32437635614974</v>
      </c>
      <c r="AI411" s="94">
        <f t="shared" si="188"/>
        <v>0.45332873219700154</v>
      </c>
    </row>
    <row r="412" spans="2:35">
      <c r="B412" s="39">
        <f t="shared" si="189"/>
        <v>384</v>
      </c>
      <c r="C412" s="42">
        <f t="shared" si="190"/>
        <v>2.5507913669038103</v>
      </c>
      <c r="D412" s="10">
        <f t="shared" si="191"/>
        <v>2.9892086330958492</v>
      </c>
      <c r="E412" s="40">
        <f t="shared" si="192"/>
        <v>25.1015827338083</v>
      </c>
      <c r="F412" s="40">
        <f t="shared" si="193"/>
        <v>31.08</v>
      </c>
      <c r="G412" s="3">
        <f t="shared" si="194"/>
        <v>205.99366906477226</v>
      </c>
      <c r="H412" s="3">
        <f t="shared" si="195"/>
        <v>81.256230789298584</v>
      </c>
      <c r="I412">
        <f t="shared" si="180"/>
        <v>8.1256230789298584E-5</v>
      </c>
      <c r="J412" s="4">
        <f t="shared" si="196"/>
        <v>494.8711013160397</v>
      </c>
      <c r="K412" s="40">
        <f t="shared" si="197"/>
        <v>6.0902542058499476</v>
      </c>
      <c r="L412" s="40">
        <f t="shared" si="181"/>
        <v>0</v>
      </c>
      <c r="M412" s="10">
        <f t="shared" si="198"/>
        <v>5.0952165749756526</v>
      </c>
      <c r="N412" s="10">
        <f t="shared" ref="N412:N475" si="207">IF(fueltype=1,VLOOKUP($M412,kndxbn_,4),IF(fueltype=2,VLOOKUP($M412,knsobn_,4),IF(fueltype=3,VLOOKUP($M412,knsbcobn_,4),IF(fueltype=4,VLOOKUP($M412,knsubn_,4),IF(fueltype=5,am_1,IF(fueltype=6,am_0,IF(fueltype=7,am_3,am_4)))))))</f>
        <v>8.26</v>
      </c>
      <c r="O412" s="10">
        <f t="shared" ref="O412:O475" si="208">IF(fueltype=1,VLOOKUP($M412,kndxbn_,5),IF(fueltype=2,VLOOKUP($M412,knsobn_,5),IF(fueltype=3,VLOOKUP($M412,knsbcobn_,5),IF(fueltype=4,VLOOKUP($M412,knsubn_,5),IF(fueltype=5,nm_1,IF(fueltype=6,an_0,IF(fueltype=7,nm_3,nm_4)))))))</f>
        <v>0.31900000000000001</v>
      </c>
      <c r="P412" s="10">
        <f t="shared" si="199"/>
        <v>13.885609009476676</v>
      </c>
      <c r="Q412" s="42">
        <f t="shared" si="200"/>
        <v>0.18730352481729268</v>
      </c>
      <c r="R412" s="4">
        <f t="shared" si="201"/>
        <v>54340.539757830767</v>
      </c>
      <c r="S412">
        <f t="shared" si="182"/>
        <v>5.4340539757830768E-5</v>
      </c>
      <c r="T412" s="41">
        <f t="shared" si="183"/>
        <v>1.2546383228405307E-4</v>
      </c>
      <c r="U412" s="42">
        <f t="shared" si="202"/>
        <v>9.7516815622415196E-2</v>
      </c>
      <c r="V412" s="42">
        <f t="shared" si="203"/>
        <v>0.45737041290222707</v>
      </c>
      <c r="W412" s="42">
        <f t="shared" si="204"/>
        <v>0.45333946635103839</v>
      </c>
      <c r="X412" s="42">
        <f t="shared" si="205"/>
        <v>4.0309465511886855E-3</v>
      </c>
      <c r="Y412" s="42">
        <f t="shared" si="179"/>
        <v>1.9381614836948085E-3</v>
      </c>
      <c r="Z412" s="10">
        <f t="shared" si="206"/>
        <v>15.447969732877004</v>
      </c>
      <c r="AA412">
        <f t="shared" si="184"/>
        <v>5095332.2909765299</v>
      </c>
      <c r="AB412" s="10">
        <f t="shared" si="185"/>
        <v>5.09533229097653</v>
      </c>
      <c r="AC412" s="10">
        <f t="shared" si="186"/>
        <v>4.99433229097653</v>
      </c>
      <c r="AD412" s="3">
        <f t="shared" si="187"/>
        <v>724.34115895236107</v>
      </c>
      <c r="AI412" s="94">
        <f t="shared" si="188"/>
        <v>0.45333946635103839</v>
      </c>
    </row>
    <row r="413" spans="2:35">
      <c r="B413" s="39">
        <f t="shared" si="189"/>
        <v>385</v>
      </c>
      <c r="C413" s="42">
        <f t="shared" si="190"/>
        <v>2.5574340527551223</v>
      </c>
      <c r="D413" s="10">
        <f t="shared" si="191"/>
        <v>2.9825659472445363</v>
      </c>
      <c r="E413" s="40">
        <f t="shared" si="192"/>
        <v>25.114868105510926</v>
      </c>
      <c r="F413" s="40">
        <f t="shared" si="193"/>
        <v>31.08</v>
      </c>
      <c r="G413" s="3">
        <f t="shared" si="194"/>
        <v>205.94052757796177</v>
      </c>
      <c r="H413" s="3">
        <f t="shared" si="195"/>
        <v>81.256230789298584</v>
      </c>
      <c r="I413">
        <f t="shared" si="180"/>
        <v>8.1256230789298584E-5</v>
      </c>
      <c r="J413" s="4">
        <f t="shared" si="196"/>
        <v>495.39507515721164</v>
      </c>
      <c r="K413" s="40">
        <f t="shared" si="197"/>
        <v>6.0967026201571608</v>
      </c>
      <c r="L413" s="40">
        <f t="shared" si="181"/>
        <v>0</v>
      </c>
      <c r="M413" s="10">
        <f t="shared" si="198"/>
        <v>5.09533229097653</v>
      </c>
      <c r="N413" s="10">
        <f t="shared" si="207"/>
        <v>8.26</v>
      </c>
      <c r="O413" s="10">
        <f t="shared" si="208"/>
        <v>0.31900000000000001</v>
      </c>
      <c r="P413" s="10">
        <f t="shared" si="199"/>
        <v>13.885709606012247</v>
      </c>
      <c r="Q413" s="42">
        <f t="shared" si="200"/>
        <v>0.1877819077044327</v>
      </c>
      <c r="R413" s="4">
        <f t="shared" si="201"/>
        <v>54218.613736564679</v>
      </c>
      <c r="S413">
        <f t="shared" si="182"/>
        <v>5.4218613736564677E-5</v>
      </c>
      <c r="T413" s="41">
        <f t="shared" si="183"/>
        <v>1.2558575830531914E-4</v>
      </c>
      <c r="U413" s="42">
        <f t="shared" si="202"/>
        <v>9.7298013280952125E-2</v>
      </c>
      <c r="V413" s="42">
        <f t="shared" si="203"/>
        <v>0.45737911481566967</v>
      </c>
      <c r="W413" s="42">
        <f t="shared" si="204"/>
        <v>0.45334997022673118</v>
      </c>
      <c r="X413" s="42">
        <f t="shared" si="205"/>
        <v>4.0291445889384936E-3</v>
      </c>
      <c r="Y413" s="42">
        <f t="shared" si="179"/>
        <v>1.9400889575159695E-3</v>
      </c>
      <c r="Z413" s="10">
        <f t="shared" si="206"/>
        <v>15.448319807085941</v>
      </c>
      <c r="AA413">
        <f t="shared" si="184"/>
        <v>5095445.4700515904</v>
      </c>
      <c r="AB413" s="10">
        <f t="shared" si="185"/>
        <v>5.0954454700515903</v>
      </c>
      <c r="AC413" s="10">
        <f t="shared" si="186"/>
        <v>4.9944454700515903</v>
      </c>
      <c r="AD413" s="3">
        <f t="shared" si="187"/>
        <v>724.35757361154322</v>
      </c>
      <c r="AI413" s="94">
        <f t="shared" si="188"/>
        <v>0.45334997022673118</v>
      </c>
    </row>
    <row r="414" spans="2:35">
      <c r="B414" s="39">
        <f t="shared" si="189"/>
        <v>386</v>
      </c>
      <c r="C414" s="42">
        <f t="shared" si="190"/>
        <v>2.5640767386064343</v>
      </c>
      <c r="D414" s="10">
        <f t="shared" si="191"/>
        <v>2.9759232613932234</v>
      </c>
      <c r="E414" s="40">
        <f t="shared" si="192"/>
        <v>25.128153477213552</v>
      </c>
      <c r="F414" s="40">
        <f t="shared" si="193"/>
        <v>31.08</v>
      </c>
      <c r="G414" s="3">
        <f t="shared" si="194"/>
        <v>205.88738609115128</v>
      </c>
      <c r="H414" s="3">
        <f t="shared" si="195"/>
        <v>81.256230789298584</v>
      </c>
      <c r="I414">
        <f t="shared" si="180"/>
        <v>8.1256230789298584E-5</v>
      </c>
      <c r="J414" s="4">
        <f t="shared" si="196"/>
        <v>495.91932624566533</v>
      </c>
      <c r="K414" s="40">
        <f t="shared" si="197"/>
        <v>6.1031544464769549</v>
      </c>
      <c r="L414" s="40">
        <f t="shared" si="181"/>
        <v>0</v>
      </c>
      <c r="M414" s="10">
        <f t="shared" si="198"/>
        <v>5.0954454700515903</v>
      </c>
      <c r="N414" s="10">
        <f t="shared" si="207"/>
        <v>8.26</v>
      </c>
      <c r="O414" s="10">
        <f t="shared" si="208"/>
        <v>0.31900000000000001</v>
      </c>
      <c r="P414" s="10">
        <f t="shared" si="199"/>
        <v>13.885807995592016</v>
      </c>
      <c r="Q414" s="42">
        <f t="shared" si="200"/>
        <v>0.18826028720193264</v>
      </c>
      <c r="R414" s="4">
        <f t="shared" si="201"/>
        <v>54096.686323078386</v>
      </c>
      <c r="S414">
        <f t="shared" si="182"/>
        <v>5.4096686323078385E-5</v>
      </c>
      <c r="T414" s="41">
        <f t="shared" si="183"/>
        <v>1.2570768571880544E-4</v>
      </c>
      <c r="U414" s="42">
        <f t="shared" si="202"/>
        <v>9.7079208441080311E-2</v>
      </c>
      <c r="V414" s="42">
        <f t="shared" si="203"/>
        <v>0.45738757830407539</v>
      </c>
      <c r="W414" s="42">
        <f t="shared" si="204"/>
        <v>0.45336024381833856</v>
      </c>
      <c r="X414" s="42">
        <f t="shared" si="205"/>
        <v>4.0273344857368332E-3</v>
      </c>
      <c r="Y414" s="42">
        <f t="shared" ref="Y414:Y477" si="209">IF((X414*(Q414-Q413)+Y413)&lt;0,0,X414*(Q414-Q413)+Y413)</f>
        <v>1.9420155517635204E-3</v>
      </c>
      <c r="Z414" s="10">
        <f t="shared" si="206"/>
        <v>15.44866203413847</v>
      </c>
      <c r="AA414">
        <f t="shared" si="184"/>
        <v>5095556.1121391179</v>
      </c>
      <c r="AB414" s="10">
        <f t="shared" si="185"/>
        <v>5.0955561121391177</v>
      </c>
      <c r="AC414" s="10">
        <f t="shared" si="186"/>
        <v>4.9945561121391178</v>
      </c>
      <c r="AD414" s="3">
        <f t="shared" si="187"/>
        <v>724.37362032474516</v>
      </c>
      <c r="AI414" s="94">
        <f t="shared" si="188"/>
        <v>0.45336024381833856</v>
      </c>
    </row>
    <row r="415" spans="2:35">
      <c r="B415" s="39">
        <f t="shared" si="189"/>
        <v>387</v>
      </c>
      <c r="C415" s="42">
        <f t="shared" si="190"/>
        <v>2.5707194244577463</v>
      </c>
      <c r="D415" s="10">
        <f t="shared" si="191"/>
        <v>2.9692805755419105</v>
      </c>
      <c r="E415" s="40">
        <f t="shared" si="192"/>
        <v>25.141438848916177</v>
      </c>
      <c r="F415" s="40">
        <f t="shared" si="193"/>
        <v>31.08</v>
      </c>
      <c r="G415" s="3">
        <f t="shared" si="194"/>
        <v>205.8342446043408</v>
      </c>
      <c r="H415" s="3">
        <f t="shared" si="195"/>
        <v>81.256230789298584</v>
      </c>
      <c r="I415">
        <f t="shared" si="180"/>
        <v>8.1256230789298584E-5</v>
      </c>
      <c r="J415" s="4">
        <f t="shared" si="196"/>
        <v>496.44385458140039</v>
      </c>
      <c r="K415" s="40">
        <f t="shared" si="197"/>
        <v>6.1096096848093264</v>
      </c>
      <c r="L415" s="40">
        <f t="shared" si="181"/>
        <v>0</v>
      </c>
      <c r="M415" s="10">
        <f t="shared" si="198"/>
        <v>5.0955561121391177</v>
      </c>
      <c r="N415" s="10">
        <f t="shared" si="207"/>
        <v>8.26</v>
      </c>
      <c r="O415" s="10">
        <f t="shared" si="208"/>
        <v>0.31900000000000001</v>
      </c>
      <c r="P415" s="10">
        <f t="shared" si="199"/>
        <v>13.885904178262466</v>
      </c>
      <c r="Q415" s="42">
        <f t="shared" si="200"/>
        <v>0.18873866338586964</v>
      </c>
      <c r="R415" s="4">
        <f t="shared" si="201"/>
        <v>53974.757561571969</v>
      </c>
      <c r="S415">
        <f t="shared" si="182"/>
        <v>5.3974757561571967E-5</v>
      </c>
      <c r="T415" s="41">
        <f t="shared" si="183"/>
        <v>1.2582961448031187E-4</v>
      </c>
      <c r="U415" s="42">
        <f t="shared" si="202"/>
        <v>9.6860401182118958E-2</v>
      </c>
      <c r="V415" s="42">
        <f t="shared" si="203"/>
        <v>0.45739580336249863</v>
      </c>
      <c r="W415" s="42">
        <f t="shared" si="204"/>
        <v>0.4533702871202584</v>
      </c>
      <c r="X415" s="42">
        <f t="shared" si="205"/>
        <v>4.0255162422402346E-3</v>
      </c>
      <c r="Y415" s="42">
        <f t="shared" si="209"/>
        <v>1.9439412628618597E-3</v>
      </c>
      <c r="Z415" s="10">
        <f t="shared" si="206"/>
        <v>15.448996413845181</v>
      </c>
      <c r="AA415">
        <f t="shared" si="184"/>
        <v>5095664.2171778735</v>
      </c>
      <c r="AB415" s="10">
        <f t="shared" si="185"/>
        <v>5.0956642171778732</v>
      </c>
      <c r="AC415" s="10">
        <f t="shared" si="186"/>
        <v>4.9946642171778732</v>
      </c>
      <c r="AD415" s="3">
        <f t="shared" si="187"/>
        <v>724.38929908308535</v>
      </c>
      <c r="AI415" s="94">
        <f t="shared" si="188"/>
        <v>0.4533702871202584</v>
      </c>
    </row>
    <row r="416" spans="2:35">
      <c r="B416" s="39">
        <f t="shared" si="189"/>
        <v>388</v>
      </c>
      <c r="C416" s="42">
        <f t="shared" si="190"/>
        <v>2.5773621103090583</v>
      </c>
      <c r="D416" s="10">
        <f t="shared" si="191"/>
        <v>2.9626378896905976</v>
      </c>
      <c r="E416" s="40">
        <f t="shared" si="192"/>
        <v>25.154724220618803</v>
      </c>
      <c r="F416" s="40">
        <f t="shared" si="193"/>
        <v>31.08</v>
      </c>
      <c r="G416" s="3">
        <f t="shared" si="194"/>
        <v>205.78110311753031</v>
      </c>
      <c r="H416" s="3">
        <f t="shared" si="195"/>
        <v>81.256230789298584</v>
      </c>
      <c r="I416">
        <f t="shared" si="180"/>
        <v>8.1256230789298584E-5</v>
      </c>
      <c r="J416" s="4">
        <f t="shared" si="196"/>
        <v>496.96866016441709</v>
      </c>
      <c r="K416" s="40">
        <f t="shared" si="197"/>
        <v>6.1160683351542771</v>
      </c>
      <c r="L416" s="40">
        <f t="shared" si="181"/>
        <v>0</v>
      </c>
      <c r="M416" s="10">
        <f t="shared" si="198"/>
        <v>5.0956642171778732</v>
      </c>
      <c r="N416" s="10">
        <f t="shared" si="207"/>
        <v>8.26</v>
      </c>
      <c r="O416" s="10">
        <f t="shared" si="208"/>
        <v>0.31900000000000001</v>
      </c>
      <c r="P416" s="10">
        <f t="shared" si="199"/>
        <v>13.885998154068254</v>
      </c>
      <c r="Q416" s="42">
        <f t="shared" si="200"/>
        <v>0.18921703633231612</v>
      </c>
      <c r="R416" s="4">
        <f t="shared" si="201"/>
        <v>53852.827496245372</v>
      </c>
      <c r="S416">
        <f t="shared" si="182"/>
        <v>5.3852827496245373E-5</v>
      </c>
      <c r="T416" s="41">
        <f t="shared" si="183"/>
        <v>1.2595154454563847E-4</v>
      </c>
      <c r="U416" s="42">
        <f t="shared" si="202"/>
        <v>9.6641591583387129E-2</v>
      </c>
      <c r="V416" s="42">
        <f t="shared" si="203"/>
        <v>0.4574037899869155</v>
      </c>
      <c r="W416" s="42">
        <f t="shared" si="204"/>
        <v>0.45338010012693192</v>
      </c>
      <c r="X416" s="42">
        <f t="shared" si="205"/>
        <v>4.0236898599835813E-3</v>
      </c>
      <c r="Y416" s="42">
        <f t="shared" si="209"/>
        <v>1.9458660872357669E-3</v>
      </c>
      <c r="Z416" s="10">
        <f t="shared" si="206"/>
        <v>15.449322946021384</v>
      </c>
      <c r="AA416">
        <f t="shared" si="184"/>
        <v>5095769.7851081491</v>
      </c>
      <c r="AB416" s="10">
        <f t="shared" si="185"/>
        <v>5.0957697851081489</v>
      </c>
      <c r="AC416" s="10">
        <f t="shared" si="186"/>
        <v>4.994769785108149</v>
      </c>
      <c r="AD416" s="3">
        <f t="shared" si="187"/>
        <v>724.40460987790414</v>
      </c>
      <c r="AI416" s="94">
        <f t="shared" si="188"/>
        <v>0.45338010012693192</v>
      </c>
    </row>
    <row r="417" spans="2:35">
      <c r="B417" s="39">
        <f t="shared" si="189"/>
        <v>389</v>
      </c>
      <c r="C417" s="42">
        <f t="shared" si="190"/>
        <v>2.5840047961603703</v>
      </c>
      <c r="D417" s="10">
        <f t="shared" si="191"/>
        <v>2.9559952038392847</v>
      </c>
      <c r="E417" s="40">
        <f t="shared" si="192"/>
        <v>25.168009592321429</v>
      </c>
      <c r="F417" s="40">
        <f t="shared" si="193"/>
        <v>31.08</v>
      </c>
      <c r="G417" s="3">
        <f t="shared" si="194"/>
        <v>205.72796163071982</v>
      </c>
      <c r="H417" s="3">
        <f t="shared" si="195"/>
        <v>81.256230789298584</v>
      </c>
      <c r="I417">
        <f t="shared" si="180"/>
        <v>8.1256230789298584E-5</v>
      </c>
      <c r="J417" s="4">
        <f t="shared" si="196"/>
        <v>497.49374299471532</v>
      </c>
      <c r="K417" s="40">
        <f t="shared" si="197"/>
        <v>6.1225303975118059</v>
      </c>
      <c r="L417" s="40">
        <f t="shared" si="181"/>
        <v>0</v>
      </c>
      <c r="M417" s="10">
        <f t="shared" si="198"/>
        <v>5.0957697851081489</v>
      </c>
      <c r="N417" s="10">
        <f t="shared" si="207"/>
        <v>8.26</v>
      </c>
      <c r="O417" s="10">
        <f t="shared" si="208"/>
        <v>0.31900000000000001</v>
      </c>
      <c r="P417" s="10">
        <f t="shared" si="199"/>
        <v>13.886089923053111</v>
      </c>
      <c r="Q417" s="42">
        <f t="shared" si="200"/>
        <v>0.18969540611733993</v>
      </c>
      <c r="R417" s="4">
        <f t="shared" si="201"/>
        <v>53730.896171298606</v>
      </c>
      <c r="S417">
        <f t="shared" si="182"/>
        <v>5.3730896171298603E-5</v>
      </c>
      <c r="T417" s="41">
        <f t="shared" si="183"/>
        <v>1.2607347587058522E-4</v>
      </c>
      <c r="U417" s="42">
        <f t="shared" si="202"/>
        <v>9.6422779724203905E-2</v>
      </c>
      <c r="V417" s="42">
        <f t="shared" si="203"/>
        <v>0.45741153817299823</v>
      </c>
      <c r="W417" s="42">
        <f t="shared" si="204"/>
        <v>0.45338968283293929</v>
      </c>
      <c r="X417" s="42">
        <f t="shared" si="205"/>
        <v>4.0218553400589441E-3</v>
      </c>
      <c r="Y417" s="42">
        <f t="shared" si="209"/>
        <v>1.9477900213101878E-3</v>
      </c>
      <c r="Z417" s="10">
        <f t="shared" si="206"/>
        <v>15.449641630485383</v>
      </c>
      <c r="AA417">
        <f t="shared" si="184"/>
        <v>5095872.8158712005</v>
      </c>
      <c r="AB417" s="10">
        <f t="shared" si="185"/>
        <v>5.0958728158712008</v>
      </c>
      <c r="AC417" s="10">
        <f t="shared" si="186"/>
        <v>4.9948728158712008</v>
      </c>
      <c r="AD417" s="3">
        <f t="shared" si="187"/>
        <v>724.41955270068172</v>
      </c>
      <c r="AI417" s="94">
        <f t="shared" si="188"/>
        <v>0.45338968283293929</v>
      </c>
    </row>
    <row r="418" spans="2:35">
      <c r="B418" s="39">
        <f t="shared" si="189"/>
        <v>390</v>
      </c>
      <c r="C418" s="42">
        <f t="shared" si="190"/>
        <v>2.5906474820116823</v>
      </c>
      <c r="D418" s="10">
        <f t="shared" si="191"/>
        <v>2.9493525179879718</v>
      </c>
      <c r="E418" s="40">
        <f t="shared" si="192"/>
        <v>25.181294964024055</v>
      </c>
      <c r="F418" s="40">
        <f t="shared" si="193"/>
        <v>31.08</v>
      </c>
      <c r="G418" s="3">
        <f t="shared" si="194"/>
        <v>205.67482014390933</v>
      </c>
      <c r="H418" s="3">
        <f t="shared" si="195"/>
        <v>81.256230789298584</v>
      </c>
      <c r="I418">
        <f t="shared" si="180"/>
        <v>8.1256230789298584E-5</v>
      </c>
      <c r="J418" s="4">
        <f t="shared" si="196"/>
        <v>498.01910307229514</v>
      </c>
      <c r="K418" s="40">
        <f t="shared" si="197"/>
        <v>6.1289958718819149</v>
      </c>
      <c r="L418" s="40">
        <f t="shared" si="181"/>
        <v>0</v>
      </c>
      <c r="M418" s="10">
        <f t="shared" si="198"/>
        <v>5.0958728158712008</v>
      </c>
      <c r="N418" s="10">
        <f t="shared" si="207"/>
        <v>8.26</v>
      </c>
      <c r="O418" s="10">
        <f t="shared" si="208"/>
        <v>0.31900000000000001</v>
      </c>
      <c r="P418" s="10">
        <f t="shared" si="199"/>
        <v>13.886179485259371</v>
      </c>
      <c r="Q418" s="42">
        <f t="shared" si="200"/>
        <v>0.1901737728170044</v>
      </c>
      <c r="R418" s="4">
        <f t="shared" si="201"/>
        <v>53608.96363093167</v>
      </c>
      <c r="S418">
        <f t="shared" si="182"/>
        <v>5.3608963630931668E-5</v>
      </c>
      <c r="T418" s="41">
        <f t="shared" si="183"/>
        <v>1.2619540841095217E-4</v>
      </c>
      <c r="U418" s="42">
        <f t="shared" si="202"/>
        <v>9.6203965683888421E-2</v>
      </c>
      <c r="V418" s="42">
        <f t="shared" si="203"/>
        <v>0.45741904791650673</v>
      </c>
      <c r="W418" s="42">
        <f t="shared" si="204"/>
        <v>0.453399035232948</v>
      </c>
      <c r="X418" s="42">
        <f t="shared" si="205"/>
        <v>4.0200126835587269E-3</v>
      </c>
      <c r="Y418" s="42">
        <f t="shared" si="209"/>
        <v>1.9497130615102312E-3</v>
      </c>
      <c r="Z418" s="10">
        <f t="shared" si="206"/>
        <v>15.449952467058386</v>
      </c>
      <c r="AA418">
        <f t="shared" si="184"/>
        <v>5095973.3094092263</v>
      </c>
      <c r="AB418" s="10">
        <f t="shared" si="185"/>
        <v>5.0959733094092261</v>
      </c>
      <c r="AC418" s="10">
        <f t="shared" si="186"/>
        <v>4.9949733094092261</v>
      </c>
      <c r="AD418" s="3">
        <f t="shared" si="187"/>
        <v>724.43412754303495</v>
      </c>
      <c r="AI418" s="94">
        <f t="shared" si="188"/>
        <v>0.453399035232948</v>
      </c>
    </row>
    <row r="419" spans="2:35">
      <c r="B419" s="39">
        <f t="shared" si="189"/>
        <v>391</v>
      </c>
      <c r="C419" s="42">
        <f t="shared" si="190"/>
        <v>2.5972901678629943</v>
      </c>
      <c r="D419" s="10">
        <f t="shared" si="191"/>
        <v>2.9427098321366589</v>
      </c>
      <c r="E419" s="40">
        <f t="shared" si="192"/>
        <v>25.19458033572668</v>
      </c>
      <c r="F419" s="40">
        <f t="shared" si="193"/>
        <v>31.08</v>
      </c>
      <c r="G419" s="3">
        <f t="shared" si="194"/>
        <v>205.62167865709884</v>
      </c>
      <c r="H419" s="3">
        <f t="shared" si="195"/>
        <v>81.256230789298584</v>
      </c>
      <c r="I419">
        <f t="shared" si="180"/>
        <v>8.1256230789298584E-5</v>
      </c>
      <c r="J419" s="4">
        <f t="shared" si="196"/>
        <v>498.54474039715654</v>
      </c>
      <c r="K419" s="40">
        <f t="shared" si="197"/>
        <v>6.135464758264602</v>
      </c>
      <c r="L419" s="40">
        <f t="shared" si="181"/>
        <v>0</v>
      </c>
      <c r="M419" s="10">
        <f t="shared" si="198"/>
        <v>5.0959733094092261</v>
      </c>
      <c r="N419" s="10">
        <f t="shared" si="207"/>
        <v>8.26</v>
      </c>
      <c r="O419" s="10">
        <f t="shared" si="208"/>
        <v>0.31900000000000001</v>
      </c>
      <c r="P419" s="10">
        <f t="shared" si="199"/>
        <v>13.886266840727927</v>
      </c>
      <c r="Q419" s="42">
        <f t="shared" si="200"/>
        <v>0.19065213650736856</v>
      </c>
      <c r="R419" s="4">
        <f t="shared" si="201"/>
        <v>53487.029919344561</v>
      </c>
      <c r="S419">
        <f t="shared" si="182"/>
        <v>5.3487029919344561E-5</v>
      </c>
      <c r="T419" s="41">
        <f t="shared" si="183"/>
        <v>1.2631734212253926E-4</v>
      </c>
      <c r="U419" s="42">
        <f t="shared" si="202"/>
        <v>9.5985149541759782E-2</v>
      </c>
      <c r="V419" s="42">
        <f t="shared" si="203"/>
        <v>0.45742631921344323</v>
      </c>
      <c r="W419" s="42">
        <f t="shared" si="204"/>
        <v>0.45340815732171136</v>
      </c>
      <c r="X419" s="42">
        <f t="shared" si="205"/>
        <v>4.0181618917318751E-3</v>
      </c>
      <c r="Y419" s="42">
        <f t="shared" si="209"/>
        <v>1.9516352042612407E-3</v>
      </c>
      <c r="Z419" s="10">
        <f t="shared" si="206"/>
        <v>15.450255455565063</v>
      </c>
      <c r="AA419">
        <f t="shared" si="184"/>
        <v>5096071.2656655395</v>
      </c>
      <c r="AB419" s="10">
        <f t="shared" si="185"/>
        <v>5.0960712656655396</v>
      </c>
      <c r="AC419" s="10">
        <f t="shared" si="186"/>
        <v>4.9950712656655396</v>
      </c>
      <c r="AD419" s="3">
        <f t="shared" si="187"/>
        <v>724.44833439674255</v>
      </c>
      <c r="AI419" s="94">
        <f t="shared" si="188"/>
        <v>0.45340815732171136</v>
      </c>
    </row>
    <row r="420" spans="2:35">
      <c r="B420" s="39">
        <f t="shared" si="189"/>
        <v>392</v>
      </c>
      <c r="C420" s="42">
        <f t="shared" si="190"/>
        <v>2.6039328537143063</v>
      </c>
      <c r="D420" s="10">
        <f t="shared" si="191"/>
        <v>2.936067146285346</v>
      </c>
      <c r="E420" s="40">
        <f t="shared" si="192"/>
        <v>25.207865707429306</v>
      </c>
      <c r="F420" s="40">
        <f t="shared" si="193"/>
        <v>31.08</v>
      </c>
      <c r="G420" s="3">
        <f t="shared" si="194"/>
        <v>205.56853717028835</v>
      </c>
      <c r="H420" s="3">
        <f t="shared" si="195"/>
        <v>81.256230789298584</v>
      </c>
      <c r="I420">
        <f t="shared" si="180"/>
        <v>8.1256230789298584E-5</v>
      </c>
      <c r="J420" s="4">
        <f t="shared" si="196"/>
        <v>499.07065496929954</v>
      </c>
      <c r="K420" s="40">
        <f t="shared" si="197"/>
        <v>6.1419370566598683</v>
      </c>
      <c r="L420" s="40">
        <f t="shared" si="181"/>
        <v>0</v>
      </c>
      <c r="M420" s="10">
        <f t="shared" si="198"/>
        <v>5.0960712656655396</v>
      </c>
      <c r="N420" s="10">
        <f t="shared" si="207"/>
        <v>8.26</v>
      </c>
      <c r="O420" s="10">
        <f t="shared" si="208"/>
        <v>0.31900000000000001</v>
      </c>
      <c r="P420" s="10">
        <f t="shared" si="199"/>
        <v>13.886351989498406</v>
      </c>
      <c r="Q420" s="42">
        <f t="shared" si="200"/>
        <v>0.19113049726448716</v>
      </c>
      <c r="R420" s="4">
        <f t="shared" si="201"/>
        <v>53365.095080737272</v>
      </c>
      <c r="S420">
        <f t="shared" si="182"/>
        <v>5.3365095080737271E-5</v>
      </c>
      <c r="T420" s="41">
        <f t="shared" si="183"/>
        <v>1.2643927696114656E-4</v>
      </c>
      <c r="U420" s="42">
        <f t="shared" si="202"/>
        <v>9.5766331377137054E-2</v>
      </c>
      <c r="V420" s="42">
        <f t="shared" si="203"/>
        <v>0.45743335206001373</v>
      </c>
      <c r="W420" s="42">
        <f t="shared" si="204"/>
        <v>0.45341704909408365</v>
      </c>
      <c r="X420" s="42">
        <f t="shared" si="205"/>
        <v>4.0163029659300853E-3</v>
      </c>
      <c r="Y420" s="42">
        <f t="shared" si="209"/>
        <v>1.9535564459888409E-3</v>
      </c>
      <c r="Z420" s="10">
        <f t="shared" si="206"/>
        <v>15.450550595833823</v>
      </c>
      <c r="AA420">
        <f t="shared" si="184"/>
        <v>5096166.6845846679</v>
      </c>
      <c r="AB420" s="10">
        <f t="shared" si="185"/>
        <v>5.0961666845846683</v>
      </c>
      <c r="AC420" s="10">
        <f t="shared" si="186"/>
        <v>4.9951666845846683</v>
      </c>
      <c r="AD420" s="3">
        <f t="shared" si="187"/>
        <v>724.46217325375892</v>
      </c>
      <c r="AI420" s="94">
        <f t="shared" si="188"/>
        <v>0.45341704909408365</v>
      </c>
    </row>
    <row r="421" spans="2:35">
      <c r="B421" s="39">
        <f t="shared" si="189"/>
        <v>393</v>
      </c>
      <c r="C421" s="42">
        <f t="shared" si="190"/>
        <v>2.6105755395656183</v>
      </c>
      <c r="D421" s="10">
        <f t="shared" si="191"/>
        <v>2.9294244604340332</v>
      </c>
      <c r="E421" s="40">
        <f t="shared" si="192"/>
        <v>25.221151079131932</v>
      </c>
      <c r="F421" s="40">
        <f t="shared" si="193"/>
        <v>31.08</v>
      </c>
      <c r="G421" s="3">
        <f t="shared" si="194"/>
        <v>205.51539568347786</v>
      </c>
      <c r="H421" s="3">
        <f t="shared" si="195"/>
        <v>81.256230789298584</v>
      </c>
      <c r="I421">
        <f t="shared" si="180"/>
        <v>8.1256230789298584E-5</v>
      </c>
      <c r="J421" s="4">
        <f t="shared" si="196"/>
        <v>499.59684678872401</v>
      </c>
      <c r="K421" s="40">
        <f t="shared" si="197"/>
        <v>6.1484127670677129</v>
      </c>
      <c r="L421" s="40">
        <f t="shared" si="181"/>
        <v>0</v>
      </c>
      <c r="M421" s="10">
        <f t="shared" si="198"/>
        <v>5.0961666845846683</v>
      </c>
      <c r="N421" s="10">
        <f t="shared" si="207"/>
        <v>8.26</v>
      </c>
      <c r="O421" s="10">
        <f t="shared" si="208"/>
        <v>0.31900000000000001</v>
      </c>
      <c r="P421" s="10">
        <f t="shared" si="199"/>
        <v>13.886434931609234</v>
      </c>
      <c r="Q421" s="42">
        <f t="shared" si="200"/>
        <v>0.1916088551644109</v>
      </c>
      <c r="R421" s="4">
        <f t="shared" si="201"/>
        <v>53243.159159309827</v>
      </c>
      <c r="S421">
        <f t="shared" si="182"/>
        <v>5.3243159159309828E-5</v>
      </c>
      <c r="T421" s="41">
        <f t="shared" si="183"/>
        <v>1.2656121288257401E-4</v>
      </c>
      <c r="U421" s="42">
        <f t="shared" si="202"/>
        <v>9.5547511269339441E-2</v>
      </c>
      <c r="V421" s="42">
        <f t="shared" si="203"/>
        <v>0.45744014645206221</v>
      </c>
      <c r="W421" s="42">
        <f t="shared" si="204"/>
        <v>0.45342571054502961</v>
      </c>
      <c r="X421" s="42">
        <f t="shared" si="205"/>
        <v>4.0144359070325986E-3</v>
      </c>
      <c r="Y421" s="42">
        <f t="shared" si="209"/>
        <v>1.9554767831187073E-3</v>
      </c>
      <c r="Z421" s="10">
        <f t="shared" si="206"/>
        <v>15.450837887695002</v>
      </c>
      <c r="AA421">
        <f t="shared" si="184"/>
        <v>5096259.5661117574</v>
      </c>
      <c r="AB421" s="10">
        <f t="shared" si="185"/>
        <v>5.0962595661117573</v>
      </c>
      <c r="AC421" s="10">
        <f t="shared" si="186"/>
        <v>4.9952595661117574</v>
      </c>
      <c r="AD421" s="3">
        <f t="shared" si="187"/>
        <v>724.4756441061287</v>
      </c>
      <c r="AI421" s="94">
        <f t="shared" si="188"/>
        <v>0.45342571054502961</v>
      </c>
    </row>
    <row r="422" spans="2:35">
      <c r="B422" s="39">
        <f t="shared" si="189"/>
        <v>394</v>
      </c>
      <c r="C422" s="42">
        <f t="shared" si="190"/>
        <v>2.6172182254169303</v>
      </c>
      <c r="D422" s="10">
        <f t="shared" si="191"/>
        <v>2.9227817745827203</v>
      </c>
      <c r="E422" s="40">
        <f t="shared" si="192"/>
        <v>25.234436450834558</v>
      </c>
      <c r="F422" s="40">
        <f t="shared" si="193"/>
        <v>31.08</v>
      </c>
      <c r="G422" s="3">
        <f t="shared" si="194"/>
        <v>205.46225419666737</v>
      </c>
      <c r="H422" s="3">
        <f t="shared" si="195"/>
        <v>81.256230789298584</v>
      </c>
      <c r="I422">
        <f t="shared" si="180"/>
        <v>8.1256230789298584E-5</v>
      </c>
      <c r="J422" s="4">
        <f t="shared" si="196"/>
        <v>500.12331585543012</v>
      </c>
      <c r="K422" s="40">
        <f t="shared" si="197"/>
        <v>6.1548918894881375</v>
      </c>
      <c r="L422" s="40">
        <f t="shared" si="181"/>
        <v>0</v>
      </c>
      <c r="M422" s="10">
        <f t="shared" si="198"/>
        <v>5.0962595661117573</v>
      </c>
      <c r="N422" s="10">
        <f t="shared" si="207"/>
        <v>8.26</v>
      </c>
      <c r="O422" s="10">
        <f t="shared" si="208"/>
        <v>0.31900000000000001</v>
      </c>
      <c r="P422" s="10">
        <f t="shared" si="199"/>
        <v>13.886515667097132</v>
      </c>
      <c r="Q422" s="42">
        <f t="shared" si="200"/>
        <v>0.1920872102831864</v>
      </c>
      <c r="R422" s="4">
        <f t="shared" si="201"/>
        <v>53121.222199262193</v>
      </c>
      <c r="S422">
        <f t="shared" si="182"/>
        <v>5.3121222199262193E-5</v>
      </c>
      <c r="T422" s="41">
        <f t="shared" si="183"/>
        <v>1.2668314984262165E-4</v>
      </c>
      <c r="U422" s="42">
        <f t="shared" si="202"/>
        <v>9.5328689297685967E-2</v>
      </c>
      <c r="V422" s="42">
        <f t="shared" si="203"/>
        <v>0.45744670238632762</v>
      </c>
      <c r="W422" s="42">
        <f t="shared" si="204"/>
        <v>0.45343414166956986</v>
      </c>
      <c r="X422" s="42">
        <f t="shared" si="205"/>
        <v>4.0125607167577626E-3</v>
      </c>
      <c r="Y422" s="42">
        <f t="shared" si="209"/>
        <v>1.9573962120769659E-3</v>
      </c>
      <c r="Z422" s="10">
        <f t="shared" si="206"/>
        <v>15.451117330983934</v>
      </c>
      <c r="AA422">
        <f t="shared" si="184"/>
        <v>5096349.9101935718</v>
      </c>
      <c r="AB422" s="10">
        <f t="shared" si="185"/>
        <v>5.0963499101935721</v>
      </c>
      <c r="AC422" s="10">
        <f t="shared" si="186"/>
        <v>4.9953499101935721</v>
      </c>
      <c r="AD422" s="3">
        <f t="shared" si="187"/>
        <v>724.48874694613085</v>
      </c>
      <c r="AI422" s="94">
        <f t="shared" si="188"/>
        <v>0.45343414166956986</v>
      </c>
    </row>
    <row r="423" spans="2:35">
      <c r="B423" s="39">
        <f t="shared" si="189"/>
        <v>395</v>
      </c>
      <c r="C423" s="42">
        <f t="shared" si="190"/>
        <v>2.6238609112682423</v>
      </c>
      <c r="D423" s="10">
        <f t="shared" si="191"/>
        <v>2.9161390887314074</v>
      </c>
      <c r="E423" s="40">
        <f t="shared" si="192"/>
        <v>25.247721822537184</v>
      </c>
      <c r="F423" s="40">
        <f t="shared" si="193"/>
        <v>31.08</v>
      </c>
      <c r="G423" s="3">
        <f t="shared" si="194"/>
        <v>205.40911270985688</v>
      </c>
      <c r="H423" s="3">
        <f t="shared" si="195"/>
        <v>81.256230789298584</v>
      </c>
      <c r="I423">
        <f t="shared" ref="I423:I486" si="210">H423/1000^2</f>
        <v>8.1256230789298584E-5</v>
      </c>
      <c r="J423" s="4">
        <f t="shared" si="196"/>
        <v>500.65006216941765</v>
      </c>
      <c r="K423" s="40">
        <f t="shared" si="197"/>
        <v>6.1613744239211385</v>
      </c>
      <c r="L423" s="40">
        <f t="shared" ref="L423:L486" si="211">IF((gstar-K423)&lt;0,0,gstar-K423)</f>
        <v>0</v>
      </c>
      <c r="M423" s="10">
        <f t="shared" si="198"/>
        <v>5.0963499101935721</v>
      </c>
      <c r="N423" s="10">
        <f t="shared" si="207"/>
        <v>8.26</v>
      </c>
      <c r="O423" s="10">
        <f t="shared" si="208"/>
        <v>0.31900000000000001</v>
      </c>
      <c r="P423" s="10">
        <f t="shared" si="199"/>
        <v>13.886594195997988</v>
      </c>
      <c r="Q423" s="42">
        <f t="shared" si="200"/>
        <v>0.19256556269685643</v>
      </c>
      <c r="R423" s="4">
        <f t="shared" si="201"/>
        <v>52999.284244794406</v>
      </c>
      <c r="S423">
        <f t="shared" ref="S423:S486" si="212">R423/1000^3</f>
        <v>5.2999284244794408E-5</v>
      </c>
      <c r="T423" s="41">
        <f t="shared" ref="T423:T486" si="213">(vc/1000^3-S423)</f>
        <v>1.2680508779708944E-4</v>
      </c>
      <c r="U423" s="42">
        <f t="shared" si="202"/>
        <v>9.5109865541495794E-2</v>
      </c>
      <c r="V423" s="42">
        <f t="shared" si="203"/>
        <v>0.45745301985894993</v>
      </c>
      <c r="W423" s="42">
        <f t="shared" si="204"/>
        <v>0.45344234246287202</v>
      </c>
      <c r="X423" s="42">
        <f t="shared" si="205"/>
        <v>4.0106773960779107E-3</v>
      </c>
      <c r="Y423" s="42">
        <f t="shared" si="209"/>
        <v>1.9593147292898318E-3</v>
      </c>
      <c r="Z423" s="10">
        <f t="shared" si="206"/>
        <v>15.451388925538081</v>
      </c>
      <c r="AA423">
        <f t="shared" ref="AA423:AA486" si="214">Z423*rat*to+patm*1000000</f>
        <v>5096437.7167775622</v>
      </c>
      <c r="AB423" s="10">
        <f t="shared" ref="AB423:AB486" si="215">AA423/1000000</f>
        <v>5.0964377167775625</v>
      </c>
      <c r="AC423" s="10">
        <f t="shared" ref="AC423:AC486" si="216">AB423-patm</f>
        <v>4.9954377167775625</v>
      </c>
      <c r="AD423" s="3">
        <f t="shared" ref="AD423:AD486" si="217">AC423*1000000/6895</f>
        <v>724.50148176614391</v>
      </c>
      <c r="AI423" s="94">
        <f t="shared" ref="AI423:AI486" si="218">($M423-patm)*1000000*$I423/SQRT(rat*to)*SQRT(k)*(2/(k+1))^((k+1)/2/(k-1))</f>
        <v>0.45344234246287202</v>
      </c>
    </row>
    <row r="424" spans="2:35">
      <c r="B424" s="39">
        <f t="shared" ref="B424:B487" si="219">1+B423</f>
        <v>396</v>
      </c>
      <c r="C424" s="42">
        <f t="shared" ref="C424:C487" si="220">xincp+C423</f>
        <v>2.6305035971195543</v>
      </c>
      <c r="D424" s="10">
        <f t="shared" ref="D424:D487" si="221">(F424-E424)/2</f>
        <v>2.9094964028800945</v>
      </c>
      <c r="E424" s="40">
        <f t="shared" ref="E424:E487" si="222">E423+ci*2*xincp</f>
        <v>25.261007194239809</v>
      </c>
      <c r="F424" s="40">
        <f t="shared" ref="F424:F487" si="223">F423-osi*2*xincp</f>
        <v>31.08</v>
      </c>
      <c r="G424" s="3">
        <f t="shared" ref="G424:G487" si="224">G423-ei*n*2*xincp</f>
        <v>205.3559712230464</v>
      </c>
      <c r="H424" s="3">
        <f t="shared" ref="H424:H487" si="225">PI()/4*(dto+erate*(two-D424)/two)^2</f>
        <v>81.256230789298584</v>
      </c>
      <c r="I424">
        <f t="shared" si="210"/>
        <v>8.1256230789298584E-5</v>
      </c>
      <c r="J424" s="4">
        <f t="shared" ref="J424:J487" si="226">PI()/4*dc^2-PI()/4*(F424^2-E424^2)</f>
        <v>501.17708573068694</v>
      </c>
      <c r="K424" s="40">
        <f t="shared" ref="K424:K487" si="227">J424/H424</f>
        <v>6.1678603703667214</v>
      </c>
      <c r="L424" s="40">
        <f t="shared" si="211"/>
        <v>0</v>
      </c>
      <c r="M424" s="10">
        <f t="shared" ref="M424:M487" si="228">AB423</f>
        <v>5.0964377167775625</v>
      </c>
      <c r="N424" s="10">
        <f t="shared" si="207"/>
        <v>8.26</v>
      </c>
      <c r="O424" s="10">
        <f t="shared" si="208"/>
        <v>0.31900000000000001</v>
      </c>
      <c r="P424" s="10">
        <f t="shared" ref="P424:P487" si="229">(1+kv*L424)*N424*M424^O424</f>
        <v>13.88667051834603</v>
      </c>
      <c r="Q424" s="42">
        <f t="shared" ref="Q424:Q487" si="230">xincp/P424+Q423</f>
        <v>0.19304391248146002</v>
      </c>
      <c r="R424" s="4">
        <f t="shared" ref="R424:R487" si="231">PI()/4*(F424^2-E424^2)*G424</f>
        <v>52877.345340106396</v>
      </c>
      <c r="S424">
        <f t="shared" si="212"/>
        <v>5.2877345340106394E-5</v>
      </c>
      <c r="T424" s="41">
        <f t="shared" si="213"/>
        <v>1.2692702670177744E-4</v>
      </c>
      <c r="U424" s="42">
        <f t="shared" ref="U424:U487" si="232">rhopgrain*R424/1000^2</f>
        <v>9.4891040080087932E-2</v>
      </c>
      <c r="V424" s="42">
        <f t="shared" ref="V424:V487" si="233">(U423-U424)/(Q424-Q423)</f>
        <v>0.45745909886674668</v>
      </c>
      <c r="W424" s="42">
        <f t="shared" ref="W424:W487" si="234">IF(V424&lt;AI424,IF(AB423&gt;pbd,AI424,0),AI424)</f>
        <v>0.45345031292016619</v>
      </c>
      <c r="X424" s="42">
        <f t="shared" ref="X424:X487" si="235">V424-W424</f>
        <v>4.0087859465804954E-3</v>
      </c>
      <c r="Y424" s="42">
        <f t="shared" si="209"/>
        <v>1.9612323311839004E-3</v>
      </c>
      <c r="Z424" s="10">
        <f t="shared" ref="Z424:Z487" si="236">Y424/T424</f>
        <v>15.45165267119927</v>
      </c>
      <c r="AA424">
        <f t="shared" si="214"/>
        <v>5096522.9858125914</v>
      </c>
      <c r="AB424" s="10">
        <f t="shared" si="215"/>
        <v>5.0965229858125918</v>
      </c>
      <c r="AC424" s="10">
        <f t="shared" si="216"/>
        <v>4.9955229858125918</v>
      </c>
      <c r="AD424" s="3">
        <f t="shared" si="217"/>
        <v>724.51384855875142</v>
      </c>
      <c r="AI424" s="94">
        <f t="shared" si="218"/>
        <v>0.45345031292016619</v>
      </c>
    </row>
    <row r="425" spans="2:35">
      <c r="B425" s="39">
        <f t="shared" si="219"/>
        <v>397</v>
      </c>
      <c r="C425" s="42">
        <f t="shared" si="220"/>
        <v>2.6371462829708663</v>
      </c>
      <c r="D425" s="10">
        <f t="shared" si="221"/>
        <v>2.9028537170287816</v>
      </c>
      <c r="E425" s="40">
        <f t="shared" si="222"/>
        <v>25.274292565942435</v>
      </c>
      <c r="F425" s="40">
        <f t="shared" si="223"/>
        <v>31.08</v>
      </c>
      <c r="G425" s="3">
        <f t="shared" si="224"/>
        <v>205.30282973623591</v>
      </c>
      <c r="H425" s="3">
        <f t="shared" si="225"/>
        <v>81.256230789298584</v>
      </c>
      <c r="I425">
        <f t="shared" si="210"/>
        <v>8.1256230789298584E-5</v>
      </c>
      <c r="J425" s="4">
        <f t="shared" si="226"/>
        <v>501.70438653923765</v>
      </c>
      <c r="K425" s="40">
        <f t="shared" si="227"/>
        <v>6.1743497288248808</v>
      </c>
      <c r="L425" s="40">
        <f t="shared" si="211"/>
        <v>0</v>
      </c>
      <c r="M425" s="10">
        <f t="shared" si="228"/>
        <v>5.0965229858125918</v>
      </c>
      <c r="N425" s="10">
        <f t="shared" si="207"/>
        <v>8.26</v>
      </c>
      <c r="O425" s="10">
        <f t="shared" si="208"/>
        <v>0.31900000000000001</v>
      </c>
      <c r="P425" s="10">
        <f t="shared" si="229"/>
        <v>13.886744634174473</v>
      </c>
      <c r="Q425" s="42">
        <f t="shared" si="230"/>
        <v>0.19352225971303255</v>
      </c>
      <c r="R425" s="4">
        <f t="shared" si="231"/>
        <v>52755.405529398238</v>
      </c>
      <c r="S425">
        <f t="shared" si="212"/>
        <v>5.2755405529398242E-5</v>
      </c>
      <c r="T425" s="41">
        <f t="shared" si="213"/>
        <v>1.270489665124856E-4</v>
      </c>
      <c r="U425" s="42">
        <f t="shared" si="232"/>
        <v>9.4672212992781599E-2</v>
      </c>
      <c r="V425" s="42">
        <f t="shared" si="233"/>
        <v>0.45746493940595562</v>
      </c>
      <c r="W425" s="42">
        <f t="shared" si="234"/>
        <v>0.45345805303681025</v>
      </c>
      <c r="X425" s="42">
        <f t="shared" si="235"/>
        <v>4.0068863691453682E-3</v>
      </c>
      <c r="Y425" s="42">
        <f t="shared" si="209"/>
        <v>1.963149014185807E-3</v>
      </c>
      <c r="Z425" s="10">
        <f t="shared" si="236"/>
        <v>15.451908567810984</v>
      </c>
      <c r="AA425">
        <f t="shared" si="214"/>
        <v>5096605.717248057</v>
      </c>
      <c r="AB425" s="10">
        <f t="shared" si="215"/>
        <v>5.0966057172480568</v>
      </c>
      <c r="AC425" s="10">
        <f t="shared" si="216"/>
        <v>4.9956057172480568</v>
      </c>
      <c r="AD425" s="3">
        <f t="shared" si="217"/>
        <v>724.52584731661454</v>
      </c>
      <c r="AI425" s="94">
        <f t="shared" si="218"/>
        <v>0.45345805303681025</v>
      </c>
    </row>
    <row r="426" spans="2:35">
      <c r="B426" s="39">
        <f t="shared" si="219"/>
        <v>398</v>
      </c>
      <c r="C426" s="42">
        <f t="shared" si="220"/>
        <v>2.6437889688221783</v>
      </c>
      <c r="D426" s="10">
        <f t="shared" si="221"/>
        <v>2.8962110311774687</v>
      </c>
      <c r="E426" s="40">
        <f t="shared" si="222"/>
        <v>25.287577937645061</v>
      </c>
      <c r="F426" s="40">
        <f t="shared" si="223"/>
        <v>31.08</v>
      </c>
      <c r="G426" s="3">
        <f t="shared" si="224"/>
        <v>205.24968824942542</v>
      </c>
      <c r="H426" s="3">
        <f t="shared" si="225"/>
        <v>81.256230789298584</v>
      </c>
      <c r="I426">
        <f t="shared" si="210"/>
        <v>8.1256230789298584E-5</v>
      </c>
      <c r="J426" s="4">
        <f t="shared" si="226"/>
        <v>502.23196459506994</v>
      </c>
      <c r="K426" s="40">
        <f t="shared" si="227"/>
        <v>6.1808424992956192</v>
      </c>
      <c r="L426" s="40">
        <f t="shared" si="211"/>
        <v>0</v>
      </c>
      <c r="M426" s="10">
        <f t="shared" si="228"/>
        <v>5.0966057172480568</v>
      </c>
      <c r="N426" s="10">
        <f t="shared" si="207"/>
        <v>8.26</v>
      </c>
      <c r="O426" s="10">
        <f t="shared" si="208"/>
        <v>0.31900000000000001</v>
      </c>
      <c r="P426" s="10">
        <f t="shared" si="229"/>
        <v>13.886816543514747</v>
      </c>
      <c r="Q426" s="42">
        <f t="shared" si="230"/>
        <v>0.19400060446760586</v>
      </c>
      <c r="R426" s="4">
        <f t="shared" si="231"/>
        <v>52633.46485686989</v>
      </c>
      <c r="S426">
        <f t="shared" si="212"/>
        <v>5.2633464856869892E-5</v>
      </c>
      <c r="T426" s="41">
        <f t="shared" si="213"/>
        <v>1.2717090718501395E-4</v>
      </c>
      <c r="U426" s="42">
        <f t="shared" si="232"/>
        <v>9.4453384358895859E-2</v>
      </c>
      <c r="V426" s="42">
        <f t="shared" si="233"/>
        <v>0.45747054147366356</v>
      </c>
      <c r="W426" s="42">
        <f t="shared" si="234"/>
        <v>0.45346556280821104</v>
      </c>
      <c r="X426" s="42">
        <f t="shared" si="235"/>
        <v>4.0049786654525188E-3</v>
      </c>
      <c r="Y426" s="42">
        <f t="shared" si="209"/>
        <v>1.9650647747226041E-3</v>
      </c>
      <c r="Z426" s="10">
        <f t="shared" si="236"/>
        <v>15.452156615221275</v>
      </c>
      <c r="AA426">
        <f t="shared" si="214"/>
        <v>5096685.9110348355</v>
      </c>
      <c r="AB426" s="10">
        <f t="shared" si="215"/>
        <v>5.0966859110348359</v>
      </c>
      <c r="AC426" s="10">
        <f t="shared" si="216"/>
        <v>4.9956859110348359</v>
      </c>
      <c r="AD426" s="3">
        <f t="shared" si="217"/>
        <v>724.53747803260853</v>
      </c>
      <c r="AI426" s="94">
        <f t="shared" si="218"/>
        <v>0.45346556280821104</v>
      </c>
    </row>
    <row r="427" spans="2:35">
      <c r="B427" s="39">
        <f t="shared" si="219"/>
        <v>399</v>
      </c>
      <c r="C427" s="42">
        <f t="shared" si="220"/>
        <v>2.6504316546734903</v>
      </c>
      <c r="D427" s="10">
        <f t="shared" si="221"/>
        <v>2.8895683453261558</v>
      </c>
      <c r="E427" s="40">
        <f t="shared" si="222"/>
        <v>25.300863309347687</v>
      </c>
      <c r="F427" s="40">
        <f t="shared" si="223"/>
        <v>31.08</v>
      </c>
      <c r="G427" s="3">
        <f t="shared" si="224"/>
        <v>205.19654676261493</v>
      </c>
      <c r="H427" s="3">
        <f t="shared" si="225"/>
        <v>81.256230789298584</v>
      </c>
      <c r="I427">
        <f t="shared" si="210"/>
        <v>8.1256230789298584E-5</v>
      </c>
      <c r="J427" s="4">
        <f t="shared" si="226"/>
        <v>502.75981989818388</v>
      </c>
      <c r="K427" s="40">
        <f t="shared" si="227"/>
        <v>6.1873386817789386</v>
      </c>
      <c r="L427" s="40">
        <f t="shared" si="211"/>
        <v>0</v>
      </c>
      <c r="M427" s="10">
        <f t="shared" si="228"/>
        <v>5.0966859110348359</v>
      </c>
      <c r="N427" s="10">
        <f t="shared" si="207"/>
        <v>8.26</v>
      </c>
      <c r="O427" s="10">
        <f t="shared" si="208"/>
        <v>0.31900000000000001</v>
      </c>
      <c r="P427" s="10">
        <f t="shared" si="229"/>
        <v>13.886886246397328</v>
      </c>
      <c r="Q427" s="42">
        <f t="shared" si="230"/>
        <v>0.19447894682120836</v>
      </c>
      <c r="R427" s="4">
        <f t="shared" si="231"/>
        <v>52511.523366721347</v>
      </c>
      <c r="S427">
        <f t="shared" si="212"/>
        <v>5.2511523366721346E-5</v>
      </c>
      <c r="T427" s="41">
        <f t="shared" si="213"/>
        <v>1.2729284867516249E-4</v>
      </c>
      <c r="U427" s="42">
        <f t="shared" si="232"/>
        <v>9.4234554257749778E-2</v>
      </c>
      <c r="V427" s="42">
        <f t="shared" si="233"/>
        <v>0.45747590506678609</v>
      </c>
      <c r="W427" s="42">
        <f t="shared" si="234"/>
        <v>0.45347284222990958</v>
      </c>
      <c r="X427" s="42">
        <f t="shared" si="235"/>
        <v>4.0030628368765142E-3</v>
      </c>
      <c r="Y427" s="42">
        <f t="shared" si="209"/>
        <v>1.9669796092216143E-3</v>
      </c>
      <c r="Z427" s="10">
        <f t="shared" si="236"/>
        <v>15.452396813281572</v>
      </c>
      <c r="AA427">
        <f t="shared" si="214"/>
        <v>5096763.567124892</v>
      </c>
      <c r="AB427" s="10">
        <f t="shared" si="215"/>
        <v>5.0967635671248921</v>
      </c>
      <c r="AC427" s="10">
        <f t="shared" si="216"/>
        <v>4.9957635671248921</v>
      </c>
      <c r="AD427" s="3">
        <f t="shared" si="217"/>
        <v>724.54874069976677</v>
      </c>
      <c r="AI427" s="94">
        <f t="shared" si="218"/>
        <v>0.45347284222990958</v>
      </c>
    </row>
    <row r="428" spans="2:35">
      <c r="B428" s="39">
        <f t="shared" si="219"/>
        <v>400</v>
      </c>
      <c r="C428" s="42">
        <f t="shared" si="220"/>
        <v>2.6570743405248023</v>
      </c>
      <c r="D428" s="10">
        <f t="shared" si="221"/>
        <v>2.8829256594748429</v>
      </c>
      <c r="E428" s="40">
        <f t="shared" si="222"/>
        <v>25.314148681050312</v>
      </c>
      <c r="F428" s="40">
        <f t="shared" si="223"/>
        <v>31.08</v>
      </c>
      <c r="G428" s="3">
        <f t="shared" si="224"/>
        <v>205.14340527580444</v>
      </c>
      <c r="H428" s="3">
        <f t="shared" si="225"/>
        <v>81.256230789298584</v>
      </c>
      <c r="I428">
        <f t="shared" si="210"/>
        <v>8.1256230789298584E-5</v>
      </c>
      <c r="J428" s="4">
        <f t="shared" si="226"/>
        <v>503.28795244857929</v>
      </c>
      <c r="K428" s="40">
        <f t="shared" si="227"/>
        <v>6.1938382762748345</v>
      </c>
      <c r="L428" s="40">
        <f t="shared" si="211"/>
        <v>0</v>
      </c>
      <c r="M428" s="10">
        <f t="shared" si="228"/>
        <v>5.0967635671248921</v>
      </c>
      <c r="N428" s="10">
        <f t="shared" si="207"/>
        <v>8.26</v>
      </c>
      <c r="O428" s="10">
        <f t="shared" si="208"/>
        <v>0.31900000000000001</v>
      </c>
      <c r="P428" s="10">
        <f t="shared" si="229"/>
        <v>13.886953742851388</v>
      </c>
      <c r="Q428" s="42">
        <f t="shared" si="230"/>
        <v>0.19495728684986521</v>
      </c>
      <c r="R428" s="4">
        <f t="shared" si="231"/>
        <v>52389.581103152632</v>
      </c>
      <c r="S428">
        <f t="shared" si="212"/>
        <v>5.2389581103152633E-5</v>
      </c>
      <c r="T428" s="41">
        <f t="shared" si="213"/>
        <v>1.2741479093873119E-4</v>
      </c>
      <c r="U428" s="42">
        <f t="shared" si="232"/>
        <v>9.401572276866256E-2</v>
      </c>
      <c r="V428" s="42">
        <f t="shared" si="233"/>
        <v>0.45748103018199038</v>
      </c>
      <c r="W428" s="42">
        <f t="shared" si="234"/>
        <v>0.45347989129754551</v>
      </c>
      <c r="X428" s="42">
        <f t="shared" si="235"/>
        <v>4.0011388844448659E-3</v>
      </c>
      <c r="Y428" s="42">
        <f t="shared" si="209"/>
        <v>1.9688935141102598E-3</v>
      </c>
      <c r="Z428" s="10">
        <f t="shared" si="236"/>
        <v>15.4526291618453</v>
      </c>
      <c r="AA428">
        <f t="shared" si="214"/>
        <v>5096838.68547084</v>
      </c>
      <c r="AB428" s="10">
        <f t="shared" si="215"/>
        <v>5.0968386854708401</v>
      </c>
      <c r="AC428" s="10">
        <f t="shared" si="216"/>
        <v>4.9958386854708401</v>
      </c>
      <c r="AD428" s="3">
        <f t="shared" si="217"/>
        <v>724.55963531121677</v>
      </c>
      <c r="AI428" s="94">
        <f t="shared" si="218"/>
        <v>0.45347989129754551</v>
      </c>
    </row>
    <row r="429" spans="2:35">
      <c r="B429" s="39">
        <f t="shared" si="219"/>
        <v>401</v>
      </c>
      <c r="C429" s="42">
        <f t="shared" si="220"/>
        <v>2.6637170263761143</v>
      </c>
      <c r="D429" s="10">
        <f t="shared" si="221"/>
        <v>2.87628297362353</v>
      </c>
      <c r="E429" s="40">
        <f t="shared" si="222"/>
        <v>25.327434052752938</v>
      </c>
      <c r="F429" s="40">
        <f t="shared" si="223"/>
        <v>31.08</v>
      </c>
      <c r="G429" s="3">
        <f t="shared" si="224"/>
        <v>205.09026378899395</v>
      </c>
      <c r="H429" s="3">
        <f t="shared" si="225"/>
        <v>81.256230789298584</v>
      </c>
      <c r="I429">
        <f t="shared" si="210"/>
        <v>8.1256230789298584E-5</v>
      </c>
      <c r="J429" s="4">
        <f t="shared" si="226"/>
        <v>503.81636224625629</v>
      </c>
      <c r="K429" s="40">
        <f t="shared" si="227"/>
        <v>6.2003412827833104</v>
      </c>
      <c r="L429" s="40">
        <f t="shared" si="211"/>
        <v>0</v>
      </c>
      <c r="M429" s="10">
        <f t="shared" si="228"/>
        <v>5.0968386854708401</v>
      </c>
      <c r="N429" s="10">
        <f t="shared" si="207"/>
        <v>8.26</v>
      </c>
      <c r="O429" s="10">
        <f t="shared" si="208"/>
        <v>0.31900000000000001</v>
      </c>
      <c r="P429" s="10">
        <f t="shared" si="229"/>
        <v>13.887019032904416</v>
      </c>
      <c r="Q429" s="42">
        <f t="shared" si="230"/>
        <v>0.1954356246295984</v>
      </c>
      <c r="R429" s="4">
        <f t="shared" si="231"/>
        <v>52267.638110363725</v>
      </c>
      <c r="S429">
        <f t="shared" si="212"/>
        <v>5.2267638110363722E-5</v>
      </c>
      <c r="T429" s="41">
        <f t="shared" si="213"/>
        <v>1.2753673393152011E-4</v>
      </c>
      <c r="U429" s="42">
        <f t="shared" si="232"/>
        <v>9.3796889970953215E-2</v>
      </c>
      <c r="V429" s="42">
        <f t="shared" si="233"/>
        <v>0.45748591681678785</v>
      </c>
      <c r="W429" s="42">
        <f t="shared" si="234"/>
        <v>0.45348671000681723</v>
      </c>
      <c r="X429" s="42">
        <f t="shared" si="235"/>
        <v>3.9992068099706235E-3</v>
      </c>
      <c r="Y429" s="42">
        <f t="shared" si="209"/>
        <v>1.9708064858164351E-3</v>
      </c>
      <c r="Z429" s="10">
        <f t="shared" si="236"/>
        <v>15.452853660770746</v>
      </c>
      <c r="AA429">
        <f t="shared" si="214"/>
        <v>5096911.2660268629</v>
      </c>
      <c r="AB429" s="10">
        <f t="shared" si="215"/>
        <v>5.0969112660268632</v>
      </c>
      <c r="AC429" s="10">
        <f t="shared" si="216"/>
        <v>4.9959112660268632</v>
      </c>
      <c r="AD429" s="3">
        <f t="shared" si="217"/>
        <v>724.57016186031365</v>
      </c>
      <c r="AI429" s="94">
        <f t="shared" si="218"/>
        <v>0.45348671000681723</v>
      </c>
    </row>
    <row r="430" spans="2:35">
      <c r="B430" s="39">
        <f t="shared" si="219"/>
        <v>402</v>
      </c>
      <c r="C430" s="42">
        <f t="shared" si="220"/>
        <v>2.6703597122274263</v>
      </c>
      <c r="D430" s="10">
        <f t="shared" si="221"/>
        <v>2.8696402877722171</v>
      </c>
      <c r="E430" s="40">
        <f t="shared" si="222"/>
        <v>25.340719424455564</v>
      </c>
      <c r="F430" s="40">
        <f t="shared" si="223"/>
        <v>31.08</v>
      </c>
      <c r="G430" s="3">
        <f t="shared" si="224"/>
        <v>205.03712230218346</v>
      </c>
      <c r="H430" s="3">
        <f t="shared" si="225"/>
        <v>81.256230789298584</v>
      </c>
      <c r="I430">
        <f t="shared" si="210"/>
        <v>8.1256230789298584E-5</v>
      </c>
      <c r="J430" s="4">
        <f t="shared" si="226"/>
        <v>504.34504929121476</v>
      </c>
      <c r="K430" s="40">
        <f t="shared" si="227"/>
        <v>6.2068477013043637</v>
      </c>
      <c r="L430" s="40">
        <f t="shared" si="211"/>
        <v>0</v>
      </c>
      <c r="M430" s="10">
        <f t="shared" si="228"/>
        <v>5.0969112660268632</v>
      </c>
      <c r="N430" s="10">
        <f t="shared" si="207"/>
        <v>8.26</v>
      </c>
      <c r="O430" s="10">
        <f t="shared" si="208"/>
        <v>0.31900000000000001</v>
      </c>
      <c r="P430" s="10">
        <f t="shared" si="229"/>
        <v>13.887082116583024</v>
      </c>
      <c r="Q430" s="42">
        <f t="shared" si="230"/>
        <v>0.19591396023642685</v>
      </c>
      <c r="R430" s="4">
        <f t="shared" si="231"/>
        <v>52145.694432554636</v>
      </c>
      <c r="S430">
        <f t="shared" si="212"/>
        <v>5.2145694432554635E-5</v>
      </c>
      <c r="T430" s="41">
        <f t="shared" si="213"/>
        <v>1.2765867760932919E-4</v>
      </c>
      <c r="U430" s="42">
        <f t="shared" si="232"/>
        <v>9.3578055943940905E-2</v>
      </c>
      <c r="V430" s="42">
        <f t="shared" si="233"/>
        <v>0.4574905649681123</v>
      </c>
      <c r="W430" s="42">
        <f t="shared" si="234"/>
        <v>0.45349329835356617</v>
      </c>
      <c r="X430" s="42">
        <f t="shared" si="235"/>
        <v>3.9972666145461355E-3</v>
      </c>
      <c r="Y430" s="42">
        <f t="shared" si="209"/>
        <v>1.9727185207681591E-3</v>
      </c>
      <c r="Z430" s="10">
        <f t="shared" si="236"/>
        <v>15.453070309918317</v>
      </c>
      <c r="AA430">
        <f t="shared" si="214"/>
        <v>5096981.3087478317</v>
      </c>
      <c r="AB430" s="10">
        <f t="shared" si="215"/>
        <v>5.0969813087478322</v>
      </c>
      <c r="AC430" s="10">
        <f t="shared" si="216"/>
        <v>4.9959813087478322</v>
      </c>
      <c r="AD430" s="3">
        <f t="shared" si="217"/>
        <v>724.58032034051223</v>
      </c>
      <c r="AI430" s="94">
        <f t="shared" si="218"/>
        <v>0.45349329835356617</v>
      </c>
    </row>
    <row r="431" spans="2:35">
      <c r="B431" s="39">
        <f t="shared" si="219"/>
        <v>403</v>
      </c>
      <c r="C431" s="42">
        <f t="shared" si="220"/>
        <v>2.6770023980787383</v>
      </c>
      <c r="D431" s="10">
        <f t="shared" si="221"/>
        <v>2.8629976019209042</v>
      </c>
      <c r="E431" s="40">
        <f t="shared" si="222"/>
        <v>25.35400479615819</v>
      </c>
      <c r="F431" s="40">
        <f t="shared" si="223"/>
        <v>31.08</v>
      </c>
      <c r="G431" s="3">
        <f t="shared" si="224"/>
        <v>204.98398081537297</v>
      </c>
      <c r="H431" s="3">
        <f t="shared" si="225"/>
        <v>81.256230789298584</v>
      </c>
      <c r="I431">
        <f t="shared" si="210"/>
        <v>8.1256230789298584E-5</v>
      </c>
      <c r="J431" s="4">
        <f t="shared" si="226"/>
        <v>504.87401358345483</v>
      </c>
      <c r="K431" s="40">
        <f t="shared" si="227"/>
        <v>6.2133575318379961</v>
      </c>
      <c r="L431" s="40">
        <f t="shared" si="211"/>
        <v>0</v>
      </c>
      <c r="M431" s="10">
        <f t="shared" si="228"/>
        <v>5.0969813087478322</v>
      </c>
      <c r="N431" s="10">
        <f t="shared" si="207"/>
        <v>8.26</v>
      </c>
      <c r="O431" s="10">
        <f t="shared" si="208"/>
        <v>0.31900000000000001</v>
      </c>
      <c r="P431" s="10">
        <f t="shared" si="229"/>
        <v>13.887142993912169</v>
      </c>
      <c r="Q431" s="42">
        <f t="shared" si="230"/>
        <v>0.19639229374636652</v>
      </c>
      <c r="R431" s="4">
        <f t="shared" si="231"/>
        <v>52023.750113925351</v>
      </c>
      <c r="S431">
        <f t="shared" si="212"/>
        <v>5.2023750113925353E-5</v>
      </c>
      <c r="T431" s="41">
        <f t="shared" si="213"/>
        <v>1.2778062192795849E-4</v>
      </c>
      <c r="U431" s="42">
        <f t="shared" si="232"/>
        <v>9.3359220766944737E-2</v>
      </c>
      <c r="V431" s="42">
        <f t="shared" si="233"/>
        <v>0.45749497463342753</v>
      </c>
      <c r="W431" s="42">
        <f t="shared" si="234"/>
        <v>0.4534996563336956</v>
      </c>
      <c r="X431" s="42">
        <f t="shared" si="235"/>
        <v>3.9953182997319314E-3</v>
      </c>
      <c r="Y431" s="42">
        <f t="shared" si="209"/>
        <v>1.9746296153937961E-3</v>
      </c>
      <c r="Z431" s="10">
        <f t="shared" si="236"/>
        <v>15.453279109152199</v>
      </c>
      <c r="AA431">
        <f t="shared" si="214"/>
        <v>5097048.8135898355</v>
      </c>
      <c r="AB431" s="10">
        <f t="shared" si="215"/>
        <v>5.0970488135898355</v>
      </c>
      <c r="AC431" s="10">
        <f t="shared" si="216"/>
        <v>4.9960488135898355</v>
      </c>
      <c r="AD431" s="3">
        <f t="shared" si="217"/>
        <v>724.59011074544389</v>
      </c>
      <c r="AI431" s="94">
        <f t="shared" si="218"/>
        <v>0.4534996563336956</v>
      </c>
    </row>
    <row r="432" spans="2:35">
      <c r="B432" s="39">
        <f t="shared" si="219"/>
        <v>404</v>
      </c>
      <c r="C432" s="42">
        <f t="shared" si="220"/>
        <v>2.6836450839300503</v>
      </c>
      <c r="D432" s="10">
        <f t="shared" si="221"/>
        <v>2.8563549160695914</v>
      </c>
      <c r="E432" s="40">
        <f t="shared" si="222"/>
        <v>25.367290167860816</v>
      </c>
      <c r="F432" s="40">
        <f t="shared" si="223"/>
        <v>31.08</v>
      </c>
      <c r="G432" s="3">
        <f t="shared" si="224"/>
        <v>204.93083932856248</v>
      </c>
      <c r="H432" s="3">
        <f t="shared" si="225"/>
        <v>81.256230789298584</v>
      </c>
      <c r="I432">
        <f t="shared" si="210"/>
        <v>8.1256230789298584E-5</v>
      </c>
      <c r="J432" s="4">
        <f t="shared" si="226"/>
        <v>505.40325512297653</v>
      </c>
      <c r="K432" s="40">
        <f t="shared" si="227"/>
        <v>6.2198707743842085</v>
      </c>
      <c r="L432" s="40">
        <f t="shared" si="211"/>
        <v>0</v>
      </c>
      <c r="M432" s="10">
        <f t="shared" si="228"/>
        <v>5.0970488135898355</v>
      </c>
      <c r="N432" s="10">
        <f t="shared" si="207"/>
        <v>8.26</v>
      </c>
      <c r="O432" s="10">
        <f t="shared" si="208"/>
        <v>0.31900000000000001</v>
      </c>
      <c r="P432" s="10">
        <f t="shared" si="229"/>
        <v>13.887201664915631</v>
      </c>
      <c r="Q432" s="42">
        <f t="shared" si="230"/>
        <v>0.19687062523543059</v>
      </c>
      <c r="R432" s="4">
        <f t="shared" si="231"/>
        <v>51901.805198675866</v>
      </c>
      <c r="S432">
        <f t="shared" si="212"/>
        <v>5.1901805198675866E-5</v>
      </c>
      <c r="T432" s="41">
        <f t="shared" si="213"/>
        <v>1.2790256684320797E-4</v>
      </c>
      <c r="U432" s="42">
        <f t="shared" si="232"/>
        <v>9.3140384519283761E-2</v>
      </c>
      <c r="V432" s="42">
        <f t="shared" si="233"/>
        <v>0.45749914581029216</v>
      </c>
      <c r="W432" s="42">
        <f t="shared" si="234"/>
        <v>0.45350578394321966</v>
      </c>
      <c r="X432" s="42">
        <f t="shared" si="235"/>
        <v>3.993361867072498E-3</v>
      </c>
      <c r="Y432" s="42">
        <f t="shared" si="209"/>
        <v>1.9765397661220445E-3</v>
      </c>
      <c r="Z432" s="10">
        <f t="shared" si="236"/>
        <v>15.453480058340244</v>
      </c>
      <c r="AA432">
        <f t="shared" si="214"/>
        <v>5097113.7805101536</v>
      </c>
      <c r="AB432" s="10">
        <f t="shared" si="215"/>
        <v>5.0971137805101536</v>
      </c>
      <c r="AC432" s="10">
        <f t="shared" si="216"/>
        <v>4.9961137805101536</v>
      </c>
      <c r="AD432" s="3">
        <f t="shared" si="217"/>
        <v>724.59953306891282</v>
      </c>
      <c r="AI432" s="94">
        <f t="shared" si="218"/>
        <v>0.45350578394321966</v>
      </c>
    </row>
    <row r="433" spans="2:35">
      <c r="B433" s="39">
        <f t="shared" si="219"/>
        <v>405</v>
      </c>
      <c r="C433" s="42">
        <f t="shared" si="220"/>
        <v>2.6902877697813623</v>
      </c>
      <c r="D433" s="10">
        <f t="shared" si="221"/>
        <v>2.8497122302182785</v>
      </c>
      <c r="E433" s="40">
        <f t="shared" si="222"/>
        <v>25.380575539563441</v>
      </c>
      <c r="F433" s="40">
        <f t="shared" si="223"/>
        <v>31.08</v>
      </c>
      <c r="G433" s="3">
        <f t="shared" si="224"/>
        <v>204.877697841752</v>
      </c>
      <c r="H433" s="3">
        <f t="shared" si="225"/>
        <v>81.256230789298584</v>
      </c>
      <c r="I433">
        <f t="shared" si="210"/>
        <v>8.1256230789298584E-5</v>
      </c>
      <c r="J433" s="4">
        <f t="shared" si="226"/>
        <v>505.93277390977983</v>
      </c>
      <c r="K433" s="40">
        <f t="shared" si="227"/>
        <v>6.2263874289430001</v>
      </c>
      <c r="L433" s="40">
        <f t="shared" si="211"/>
        <v>0</v>
      </c>
      <c r="M433" s="10">
        <f t="shared" si="228"/>
        <v>5.0971137805101536</v>
      </c>
      <c r="N433" s="10">
        <f t="shared" si="207"/>
        <v>8.26</v>
      </c>
      <c r="O433" s="10">
        <f t="shared" si="208"/>
        <v>0.31900000000000001</v>
      </c>
      <c r="P433" s="10">
        <f t="shared" si="229"/>
        <v>13.887258129615974</v>
      </c>
      <c r="Q433" s="42">
        <f t="shared" si="230"/>
        <v>0.19734895477962952</v>
      </c>
      <c r="R433" s="4">
        <f t="shared" si="231"/>
        <v>51779.859731006181</v>
      </c>
      <c r="S433">
        <f t="shared" si="212"/>
        <v>5.1779859731006181E-5</v>
      </c>
      <c r="T433" s="41">
        <f t="shared" si="213"/>
        <v>1.2802451231087766E-4</v>
      </c>
      <c r="U433" s="42">
        <f t="shared" si="232"/>
        <v>9.2921547280277142E-2</v>
      </c>
      <c r="V433" s="42">
        <f t="shared" si="233"/>
        <v>0.45750307849603777</v>
      </c>
      <c r="W433" s="42">
        <f t="shared" si="234"/>
        <v>0.45351168117826052</v>
      </c>
      <c r="X433" s="42">
        <f t="shared" si="235"/>
        <v>3.9913973177772566E-3</v>
      </c>
      <c r="Y433" s="42">
        <f t="shared" si="209"/>
        <v>1.9784489693817739E-3</v>
      </c>
      <c r="Z433" s="10">
        <f t="shared" si="236"/>
        <v>15.45367315735265</v>
      </c>
      <c r="AA433">
        <f t="shared" si="214"/>
        <v>5097176.2094668178</v>
      </c>
      <c r="AB433" s="10">
        <f t="shared" si="215"/>
        <v>5.0971762094668174</v>
      </c>
      <c r="AC433" s="10">
        <f t="shared" si="216"/>
        <v>4.9961762094668174</v>
      </c>
      <c r="AD433" s="3">
        <f t="shared" si="217"/>
        <v>724.60858730483221</v>
      </c>
      <c r="AI433" s="94">
        <f t="shared" si="218"/>
        <v>0.45351168117826052</v>
      </c>
    </row>
    <row r="434" spans="2:35">
      <c r="B434" s="39">
        <f t="shared" si="219"/>
        <v>406</v>
      </c>
      <c r="C434" s="42">
        <f t="shared" si="220"/>
        <v>2.6969304556326743</v>
      </c>
      <c r="D434" s="10">
        <f t="shared" si="221"/>
        <v>2.8430695443669656</v>
      </c>
      <c r="E434" s="40">
        <f t="shared" si="222"/>
        <v>25.393860911266067</v>
      </c>
      <c r="F434" s="40">
        <f t="shared" si="223"/>
        <v>31.08</v>
      </c>
      <c r="G434" s="3">
        <f t="shared" si="224"/>
        <v>204.82455635494151</v>
      </c>
      <c r="H434" s="3">
        <f t="shared" si="225"/>
        <v>81.256230789298584</v>
      </c>
      <c r="I434">
        <f t="shared" si="210"/>
        <v>8.1256230789298584E-5</v>
      </c>
      <c r="J434" s="4">
        <f t="shared" si="226"/>
        <v>506.46256994386454</v>
      </c>
      <c r="K434" s="40">
        <f t="shared" si="227"/>
        <v>6.2329074955143682</v>
      </c>
      <c r="L434" s="40">
        <f t="shared" si="211"/>
        <v>0</v>
      </c>
      <c r="M434" s="10">
        <f t="shared" si="228"/>
        <v>5.0971762094668174</v>
      </c>
      <c r="N434" s="10">
        <f t="shared" si="207"/>
        <v>8.26</v>
      </c>
      <c r="O434" s="10">
        <f t="shared" si="208"/>
        <v>0.31900000000000001</v>
      </c>
      <c r="P434" s="10">
        <f t="shared" si="229"/>
        <v>13.88731238803417</v>
      </c>
      <c r="Q434" s="42">
        <f t="shared" si="230"/>
        <v>0.19782728245497119</v>
      </c>
      <c r="R434" s="4">
        <f t="shared" si="231"/>
        <v>51657.913755116315</v>
      </c>
      <c r="S434">
        <f t="shared" si="212"/>
        <v>5.1657913755116314E-5</v>
      </c>
      <c r="T434" s="41">
        <f t="shared" si="213"/>
        <v>1.2814645828676752E-4</v>
      </c>
      <c r="U434" s="42">
        <f t="shared" si="232"/>
        <v>9.2702709129243971E-2</v>
      </c>
      <c r="V434" s="42">
        <f t="shared" si="233"/>
        <v>0.45750677268852102</v>
      </c>
      <c r="W434" s="42">
        <f t="shared" si="234"/>
        <v>0.45351734803500854</v>
      </c>
      <c r="X434" s="42">
        <f t="shared" si="235"/>
        <v>3.9894246535124855E-3</v>
      </c>
      <c r="Y434" s="42">
        <f t="shared" si="209"/>
        <v>1.9803572216022395E-3</v>
      </c>
      <c r="Z434" s="10">
        <f t="shared" si="236"/>
        <v>15.45385840606359</v>
      </c>
      <c r="AA434">
        <f t="shared" si="214"/>
        <v>5097236.1004191507</v>
      </c>
      <c r="AB434" s="10">
        <f t="shared" si="215"/>
        <v>5.0972361004191509</v>
      </c>
      <c r="AC434" s="10">
        <f t="shared" si="216"/>
        <v>4.9962361004191509</v>
      </c>
      <c r="AD434" s="3">
        <f t="shared" si="217"/>
        <v>724.61727344730252</v>
      </c>
      <c r="AI434" s="94">
        <f t="shared" si="218"/>
        <v>0.45351734803500854</v>
      </c>
    </row>
    <row r="435" spans="2:35">
      <c r="B435" s="39">
        <f t="shared" si="219"/>
        <v>407</v>
      </c>
      <c r="C435" s="42">
        <f t="shared" si="220"/>
        <v>2.7035731414839863</v>
      </c>
      <c r="D435" s="10">
        <f t="shared" si="221"/>
        <v>2.8364268585156527</v>
      </c>
      <c r="E435" s="40">
        <f t="shared" si="222"/>
        <v>25.407146282968693</v>
      </c>
      <c r="F435" s="40">
        <f t="shared" si="223"/>
        <v>31.08</v>
      </c>
      <c r="G435" s="3">
        <f t="shared" si="224"/>
        <v>204.77141486813102</v>
      </c>
      <c r="H435" s="3">
        <f t="shared" si="225"/>
        <v>81.256230789298584</v>
      </c>
      <c r="I435">
        <f t="shared" si="210"/>
        <v>8.1256230789298584E-5</v>
      </c>
      <c r="J435" s="4">
        <f t="shared" si="226"/>
        <v>506.99264322523095</v>
      </c>
      <c r="K435" s="40">
        <f t="shared" si="227"/>
        <v>6.2394309740983172</v>
      </c>
      <c r="L435" s="40">
        <f t="shared" si="211"/>
        <v>0</v>
      </c>
      <c r="M435" s="10">
        <f t="shared" si="228"/>
        <v>5.0972361004191509</v>
      </c>
      <c r="N435" s="10">
        <f t="shared" si="207"/>
        <v>8.26</v>
      </c>
      <c r="O435" s="10">
        <f t="shared" si="208"/>
        <v>0.31900000000000001</v>
      </c>
      <c r="P435" s="10">
        <f t="shared" si="229"/>
        <v>13.887364440190073</v>
      </c>
      <c r="Q435" s="42">
        <f t="shared" si="230"/>
        <v>0.19830560833746103</v>
      </c>
      <c r="R435" s="4">
        <f t="shared" si="231"/>
        <v>51535.967315206239</v>
      </c>
      <c r="S435">
        <f t="shared" si="212"/>
        <v>5.1535967315206241E-5</v>
      </c>
      <c r="T435" s="41">
        <f t="shared" si="213"/>
        <v>1.2826840472667759E-4</v>
      </c>
      <c r="U435" s="42">
        <f t="shared" si="232"/>
        <v>9.2483870145503341E-2</v>
      </c>
      <c r="V435" s="42">
        <f t="shared" si="233"/>
        <v>0.45751022838552158</v>
      </c>
      <c r="W435" s="42">
        <f t="shared" si="234"/>
        <v>0.45352278450977135</v>
      </c>
      <c r="X435" s="42">
        <f t="shared" si="235"/>
        <v>3.9874438757502295E-3</v>
      </c>
      <c r="Y435" s="42">
        <f t="shared" si="209"/>
        <v>1.9822645192129865E-3</v>
      </c>
      <c r="Z435" s="10">
        <f t="shared" si="236"/>
        <v>15.454035804350424</v>
      </c>
      <c r="AA435">
        <f t="shared" si="214"/>
        <v>5097293.4533275021</v>
      </c>
      <c r="AB435" s="10">
        <f t="shared" si="215"/>
        <v>5.0972934533275023</v>
      </c>
      <c r="AC435" s="10">
        <f t="shared" si="216"/>
        <v>4.9962934533275023</v>
      </c>
      <c r="AD435" s="3">
        <f t="shared" si="217"/>
        <v>724.62559149057324</v>
      </c>
      <c r="AI435" s="94">
        <f t="shared" si="218"/>
        <v>0.45352278450977135</v>
      </c>
    </row>
    <row r="436" spans="2:35">
      <c r="B436" s="39">
        <f t="shared" si="219"/>
        <v>408</v>
      </c>
      <c r="C436" s="42">
        <f t="shared" si="220"/>
        <v>2.7102158273352983</v>
      </c>
      <c r="D436" s="10">
        <f t="shared" si="221"/>
        <v>2.8297841726643398</v>
      </c>
      <c r="E436" s="40">
        <f t="shared" si="222"/>
        <v>25.420431654671319</v>
      </c>
      <c r="F436" s="40">
        <f t="shared" si="223"/>
        <v>31.08</v>
      </c>
      <c r="G436" s="3">
        <f t="shared" si="224"/>
        <v>204.71827338132053</v>
      </c>
      <c r="H436" s="3">
        <f t="shared" si="225"/>
        <v>81.256230789298584</v>
      </c>
      <c r="I436">
        <f t="shared" si="210"/>
        <v>8.1256230789298584E-5</v>
      </c>
      <c r="J436" s="4">
        <f t="shared" si="226"/>
        <v>507.52299375387884</v>
      </c>
      <c r="K436" s="40">
        <f t="shared" si="227"/>
        <v>6.2459578646948444</v>
      </c>
      <c r="L436" s="40">
        <f t="shared" si="211"/>
        <v>0</v>
      </c>
      <c r="M436" s="10">
        <f t="shared" si="228"/>
        <v>5.0972934533275023</v>
      </c>
      <c r="N436" s="10">
        <f t="shared" si="207"/>
        <v>8.26</v>
      </c>
      <c r="O436" s="10">
        <f t="shared" si="208"/>
        <v>0.31900000000000001</v>
      </c>
      <c r="P436" s="10">
        <f t="shared" si="229"/>
        <v>13.887414286102176</v>
      </c>
      <c r="Q436" s="42">
        <f t="shared" si="230"/>
        <v>0.19878393250310211</v>
      </c>
      <c r="R436" s="4">
        <f t="shared" si="231"/>
        <v>51414.020455475962</v>
      </c>
      <c r="S436">
        <f t="shared" si="212"/>
        <v>5.1414020455475963E-5</v>
      </c>
      <c r="T436" s="41">
        <f t="shared" si="213"/>
        <v>1.2839035158640786E-4</v>
      </c>
      <c r="U436" s="42">
        <f t="shared" si="232"/>
        <v>9.2265030408374388E-2</v>
      </c>
      <c r="V436" s="42">
        <f t="shared" si="233"/>
        <v>0.45751344558485335</v>
      </c>
      <c r="W436" s="42">
        <f t="shared" si="234"/>
        <v>0.45352799059894972</v>
      </c>
      <c r="X436" s="42">
        <f t="shared" si="235"/>
        <v>3.9854549859036359E-3</v>
      </c>
      <c r="Y436" s="42">
        <f t="shared" si="209"/>
        <v>1.9841708586438188E-3</v>
      </c>
      <c r="Z436" s="10">
        <f t="shared" si="236"/>
        <v>15.454205352093407</v>
      </c>
      <c r="AA436">
        <f t="shared" si="214"/>
        <v>5097348.2681531571</v>
      </c>
      <c r="AB436" s="10">
        <f t="shared" si="215"/>
        <v>5.0973482681531568</v>
      </c>
      <c r="AC436" s="10">
        <f t="shared" si="216"/>
        <v>4.9963482681531568</v>
      </c>
      <c r="AD436" s="3">
        <f t="shared" si="217"/>
        <v>724.63354142902926</v>
      </c>
      <c r="AI436" s="94">
        <f t="shared" si="218"/>
        <v>0.45352799059894972</v>
      </c>
    </row>
    <row r="437" spans="2:35">
      <c r="B437" s="39">
        <f t="shared" si="219"/>
        <v>409</v>
      </c>
      <c r="C437" s="42">
        <f t="shared" si="220"/>
        <v>2.7168585131866103</v>
      </c>
      <c r="D437" s="10">
        <f t="shared" si="221"/>
        <v>2.8231414868130269</v>
      </c>
      <c r="E437" s="40">
        <f t="shared" si="222"/>
        <v>25.433717026373944</v>
      </c>
      <c r="F437" s="40">
        <f t="shared" si="223"/>
        <v>31.08</v>
      </c>
      <c r="G437" s="3">
        <f t="shared" si="224"/>
        <v>204.66513189451004</v>
      </c>
      <c r="H437" s="3">
        <f t="shared" si="225"/>
        <v>81.256230789298584</v>
      </c>
      <c r="I437">
        <f t="shared" si="210"/>
        <v>8.1256230789298584E-5</v>
      </c>
      <c r="J437" s="4">
        <f t="shared" si="226"/>
        <v>508.05362152980842</v>
      </c>
      <c r="K437" s="40">
        <f t="shared" si="227"/>
        <v>6.2524881673039516</v>
      </c>
      <c r="L437" s="40">
        <f t="shared" si="211"/>
        <v>0</v>
      </c>
      <c r="M437" s="10">
        <f t="shared" si="228"/>
        <v>5.0973482681531568</v>
      </c>
      <c r="N437" s="10">
        <f t="shared" si="207"/>
        <v>8.26</v>
      </c>
      <c r="O437" s="10">
        <f t="shared" si="208"/>
        <v>0.31900000000000001</v>
      </c>
      <c r="P437" s="10">
        <f t="shared" si="229"/>
        <v>13.887461925787548</v>
      </c>
      <c r="Q437" s="42">
        <f t="shared" si="230"/>
        <v>0.1992622550278953</v>
      </c>
      <c r="R437" s="4">
        <f t="shared" si="231"/>
        <v>51292.073220125472</v>
      </c>
      <c r="S437">
        <f t="shared" si="212"/>
        <v>5.1292073220125475E-5</v>
      </c>
      <c r="T437" s="41">
        <f t="shared" si="213"/>
        <v>1.2851229882175836E-4</v>
      </c>
      <c r="U437" s="42">
        <f t="shared" si="232"/>
        <v>9.2046189997176162E-2</v>
      </c>
      <c r="V437" s="42">
        <f t="shared" si="233"/>
        <v>0.4575164242847391</v>
      </c>
      <c r="W437" s="42">
        <f t="shared" si="234"/>
        <v>0.45353296629902956</v>
      </c>
      <c r="X437" s="42">
        <f t="shared" si="235"/>
        <v>3.9834579857095376E-3</v>
      </c>
      <c r="Y437" s="42">
        <f t="shared" si="209"/>
        <v>1.9860762363249507E-3</v>
      </c>
      <c r="Z437" s="10">
        <f t="shared" si="236"/>
        <v>15.454367049176845</v>
      </c>
      <c r="AA437">
        <f t="shared" si="214"/>
        <v>5097400.5448587136</v>
      </c>
      <c r="AB437" s="10">
        <f t="shared" si="215"/>
        <v>5.0974005448587141</v>
      </c>
      <c r="AC437" s="10">
        <f t="shared" si="216"/>
        <v>4.9964005448587141</v>
      </c>
      <c r="AD437" s="3">
        <f t="shared" si="217"/>
        <v>724.64112325724636</v>
      </c>
      <c r="AI437" s="94">
        <f t="shared" si="218"/>
        <v>0.45353296629902956</v>
      </c>
    </row>
    <row r="438" spans="2:35">
      <c r="B438" s="39">
        <f t="shared" si="219"/>
        <v>410</v>
      </c>
      <c r="C438" s="42">
        <f t="shared" si="220"/>
        <v>2.7235011990379223</v>
      </c>
      <c r="D438" s="10">
        <f t="shared" si="221"/>
        <v>2.816498800961714</v>
      </c>
      <c r="E438" s="40">
        <f t="shared" si="222"/>
        <v>25.44700239807657</v>
      </c>
      <c r="F438" s="40">
        <f t="shared" si="223"/>
        <v>31.08</v>
      </c>
      <c r="G438" s="3">
        <f t="shared" si="224"/>
        <v>204.61199040769955</v>
      </c>
      <c r="H438" s="3">
        <f t="shared" si="225"/>
        <v>81.256230789298584</v>
      </c>
      <c r="I438">
        <f t="shared" si="210"/>
        <v>8.1256230789298584E-5</v>
      </c>
      <c r="J438" s="4">
        <f t="shared" si="226"/>
        <v>508.58452655301937</v>
      </c>
      <c r="K438" s="40">
        <f t="shared" si="227"/>
        <v>6.2590218819256354</v>
      </c>
      <c r="L438" s="40">
        <f t="shared" si="211"/>
        <v>0</v>
      </c>
      <c r="M438" s="10">
        <f t="shared" si="228"/>
        <v>5.0974005448587141</v>
      </c>
      <c r="N438" s="10">
        <f t="shared" si="207"/>
        <v>8.26</v>
      </c>
      <c r="O438" s="10">
        <f t="shared" si="208"/>
        <v>0.31900000000000001</v>
      </c>
      <c r="P438" s="10">
        <f t="shared" si="229"/>
        <v>13.88750735926215</v>
      </c>
      <c r="Q438" s="42">
        <f t="shared" si="230"/>
        <v>0.19974057598783931</v>
      </c>
      <c r="R438" s="4">
        <f t="shared" si="231"/>
        <v>51170.1256533548</v>
      </c>
      <c r="S438">
        <f t="shared" si="212"/>
        <v>5.11701256533548E-5</v>
      </c>
      <c r="T438" s="41">
        <f t="shared" si="213"/>
        <v>1.2863424638852902E-4</v>
      </c>
      <c r="U438" s="42">
        <f t="shared" si="232"/>
        <v>9.1827348991227839E-2</v>
      </c>
      <c r="V438" s="42">
        <f t="shared" si="233"/>
        <v>0.45751916448306101</v>
      </c>
      <c r="W438" s="42">
        <f t="shared" si="234"/>
        <v>0.45353771160661555</v>
      </c>
      <c r="X438" s="42">
        <f t="shared" si="235"/>
        <v>3.9814528764454682E-3</v>
      </c>
      <c r="Y438" s="42">
        <f t="shared" si="209"/>
        <v>1.9879806486867838E-3</v>
      </c>
      <c r="Z438" s="10">
        <f t="shared" si="236"/>
        <v>15.454520895487303</v>
      </c>
      <c r="AA438">
        <f t="shared" si="214"/>
        <v>5097450.2834074982</v>
      </c>
      <c r="AB438" s="10">
        <f t="shared" si="215"/>
        <v>5.0974502834074977</v>
      </c>
      <c r="AC438" s="10">
        <f t="shared" si="216"/>
        <v>4.9964502834074977</v>
      </c>
      <c r="AD438" s="3">
        <f t="shared" si="217"/>
        <v>724.64833696990547</v>
      </c>
      <c r="AI438" s="94">
        <f t="shared" si="218"/>
        <v>0.45353771160661555</v>
      </c>
    </row>
    <row r="439" spans="2:35">
      <c r="B439" s="39">
        <f t="shared" si="219"/>
        <v>411</v>
      </c>
      <c r="C439" s="42">
        <f t="shared" si="220"/>
        <v>2.7301438848892343</v>
      </c>
      <c r="D439" s="10">
        <f t="shared" si="221"/>
        <v>2.8098561151104011</v>
      </c>
      <c r="E439" s="40">
        <f t="shared" si="222"/>
        <v>25.460287769779196</v>
      </c>
      <c r="F439" s="40">
        <f t="shared" si="223"/>
        <v>31.08</v>
      </c>
      <c r="G439" s="3">
        <f t="shared" si="224"/>
        <v>204.55884892088906</v>
      </c>
      <c r="H439" s="3">
        <f t="shared" si="225"/>
        <v>81.256230789298584</v>
      </c>
      <c r="I439">
        <f t="shared" si="210"/>
        <v>8.1256230789298584E-5</v>
      </c>
      <c r="J439" s="4">
        <f t="shared" si="226"/>
        <v>509.11570882351202</v>
      </c>
      <c r="K439" s="40">
        <f t="shared" si="227"/>
        <v>6.2655590085599</v>
      </c>
      <c r="L439" s="40">
        <f t="shared" si="211"/>
        <v>0</v>
      </c>
      <c r="M439" s="10">
        <f t="shared" si="228"/>
        <v>5.0974502834074977</v>
      </c>
      <c r="N439" s="10">
        <f t="shared" si="207"/>
        <v>8.26</v>
      </c>
      <c r="O439" s="10">
        <f t="shared" si="208"/>
        <v>0.31900000000000001</v>
      </c>
      <c r="P439" s="10">
        <f t="shared" si="229"/>
        <v>13.887550586540337</v>
      </c>
      <c r="Q439" s="42">
        <f t="shared" si="230"/>
        <v>0.20021889545893093</v>
      </c>
      <c r="R439" s="4">
        <f t="shared" si="231"/>
        <v>51048.177799363912</v>
      </c>
      <c r="S439">
        <f t="shared" si="212"/>
        <v>5.1048177799363912E-5</v>
      </c>
      <c r="T439" s="41">
        <f t="shared" si="213"/>
        <v>1.2875619424251991E-4</v>
      </c>
      <c r="U439" s="42">
        <f t="shared" si="232"/>
        <v>9.1608507469848499E-2</v>
      </c>
      <c r="V439" s="42">
        <f t="shared" si="233"/>
        <v>0.45752166617826023</v>
      </c>
      <c r="W439" s="42">
        <f t="shared" si="234"/>
        <v>0.45354222651837889</v>
      </c>
      <c r="X439" s="42">
        <f t="shared" si="235"/>
        <v>3.9794396598813453E-3</v>
      </c>
      <c r="Y439" s="42">
        <f t="shared" si="209"/>
        <v>1.9898840921601393E-3</v>
      </c>
      <c r="Z439" s="10">
        <f t="shared" si="236"/>
        <v>15.454666890915359</v>
      </c>
      <c r="AA439">
        <f t="shared" si="214"/>
        <v>5097497.4837641325</v>
      </c>
      <c r="AB439" s="10">
        <f t="shared" si="215"/>
        <v>5.0974974837641325</v>
      </c>
      <c r="AC439" s="10">
        <f t="shared" si="216"/>
        <v>4.9964974837641325</v>
      </c>
      <c r="AD439" s="3">
        <f t="shared" si="217"/>
        <v>724.65518256187568</v>
      </c>
      <c r="AI439" s="94">
        <f t="shared" si="218"/>
        <v>0.45354222651837889</v>
      </c>
    </row>
    <row r="440" spans="2:35">
      <c r="B440" s="39">
        <f t="shared" si="219"/>
        <v>412</v>
      </c>
      <c r="C440" s="42">
        <f t="shared" si="220"/>
        <v>2.7367865707405463</v>
      </c>
      <c r="D440" s="10">
        <f t="shared" si="221"/>
        <v>2.8032134292590882</v>
      </c>
      <c r="E440" s="40">
        <f t="shared" si="222"/>
        <v>25.473573141481822</v>
      </c>
      <c r="F440" s="40">
        <f t="shared" si="223"/>
        <v>31.08</v>
      </c>
      <c r="G440" s="3">
        <f t="shared" si="224"/>
        <v>204.50570743407857</v>
      </c>
      <c r="H440" s="3">
        <f t="shared" si="225"/>
        <v>81.256230789298584</v>
      </c>
      <c r="I440">
        <f t="shared" si="210"/>
        <v>8.1256230789298584E-5</v>
      </c>
      <c r="J440" s="4">
        <f t="shared" si="226"/>
        <v>509.64716834128615</v>
      </c>
      <c r="K440" s="40">
        <f t="shared" si="227"/>
        <v>6.272099547206742</v>
      </c>
      <c r="L440" s="40">
        <f t="shared" si="211"/>
        <v>0</v>
      </c>
      <c r="M440" s="10">
        <f t="shared" si="228"/>
        <v>5.0974974837641325</v>
      </c>
      <c r="N440" s="10">
        <f t="shared" si="207"/>
        <v>8.26</v>
      </c>
      <c r="O440" s="10">
        <f t="shared" si="208"/>
        <v>0.31900000000000001</v>
      </c>
      <c r="P440" s="10">
        <f t="shared" si="229"/>
        <v>13.887591607635336</v>
      </c>
      <c r="Q440" s="42">
        <f t="shared" si="230"/>
        <v>0.20069721351716502</v>
      </c>
      <c r="R440" s="4">
        <f t="shared" si="231"/>
        <v>50926.229702352837</v>
      </c>
      <c r="S440">
        <f t="shared" si="212"/>
        <v>5.0926229702352835E-5</v>
      </c>
      <c r="T440" s="41">
        <f t="shared" si="213"/>
        <v>1.28878142339531E-4</v>
      </c>
      <c r="U440" s="42">
        <f t="shared" si="232"/>
        <v>9.1389665512357277E-2</v>
      </c>
      <c r="V440" s="42">
        <f t="shared" si="233"/>
        <v>0.45752392936860647</v>
      </c>
      <c r="W440" s="42">
        <f t="shared" si="234"/>
        <v>0.45354651103110821</v>
      </c>
      <c r="X440" s="42">
        <f t="shared" si="235"/>
        <v>3.9774183374982619E-3</v>
      </c>
      <c r="Y440" s="42">
        <f t="shared" si="209"/>
        <v>1.9917865631761161E-3</v>
      </c>
      <c r="Z440" s="10">
        <f t="shared" si="236"/>
        <v>15.454805035354488</v>
      </c>
      <c r="AA440">
        <f t="shared" si="214"/>
        <v>5097542.1458941791</v>
      </c>
      <c r="AB440" s="10">
        <f t="shared" si="215"/>
        <v>5.0975421458941792</v>
      </c>
      <c r="AC440" s="10">
        <f t="shared" si="216"/>
        <v>4.9965421458941792</v>
      </c>
      <c r="AD440" s="3">
        <f t="shared" si="217"/>
        <v>724.66166002816226</v>
      </c>
      <c r="AI440" s="94">
        <f t="shared" si="218"/>
        <v>0.45354651103110821</v>
      </c>
    </row>
    <row r="441" spans="2:35">
      <c r="B441" s="39">
        <f t="shared" si="219"/>
        <v>413</v>
      </c>
      <c r="C441" s="42">
        <f t="shared" si="220"/>
        <v>2.7434292565918583</v>
      </c>
      <c r="D441" s="10">
        <f t="shared" si="221"/>
        <v>2.7965707434077753</v>
      </c>
      <c r="E441" s="40">
        <f t="shared" si="222"/>
        <v>25.486858513184448</v>
      </c>
      <c r="F441" s="40">
        <f t="shared" si="223"/>
        <v>31.08</v>
      </c>
      <c r="G441" s="3">
        <f t="shared" si="224"/>
        <v>204.45256594726808</v>
      </c>
      <c r="H441" s="3">
        <f t="shared" si="225"/>
        <v>81.256230789298584</v>
      </c>
      <c r="I441">
        <f t="shared" si="210"/>
        <v>8.1256230789298584E-5</v>
      </c>
      <c r="J441" s="4">
        <f t="shared" si="226"/>
        <v>510.17890510634192</v>
      </c>
      <c r="K441" s="40">
        <f t="shared" si="227"/>
        <v>6.2786434978661632</v>
      </c>
      <c r="L441" s="40">
        <f t="shared" si="211"/>
        <v>0</v>
      </c>
      <c r="M441" s="10">
        <f t="shared" si="228"/>
        <v>5.0975421458941792</v>
      </c>
      <c r="N441" s="10">
        <f t="shared" si="207"/>
        <v>8.26</v>
      </c>
      <c r="O441" s="10">
        <f t="shared" si="208"/>
        <v>0.31900000000000001</v>
      </c>
      <c r="P441" s="10">
        <f t="shared" si="229"/>
        <v>13.887630422558955</v>
      </c>
      <c r="Q441" s="42">
        <f t="shared" si="230"/>
        <v>0.20117553023853468</v>
      </c>
      <c r="R441" s="4">
        <f t="shared" si="231"/>
        <v>50804.281406521521</v>
      </c>
      <c r="S441">
        <f t="shared" si="212"/>
        <v>5.0804281406521522E-5</v>
      </c>
      <c r="T441" s="41">
        <f t="shared" si="213"/>
        <v>1.2900009063536233E-4</v>
      </c>
      <c r="U441" s="42">
        <f t="shared" si="232"/>
        <v>9.1170823198073195E-2</v>
      </c>
      <c r="V441" s="42">
        <f t="shared" si="233"/>
        <v>0.45752595405283869</v>
      </c>
      <c r="W441" s="42">
        <f t="shared" si="234"/>
        <v>0.45355056514167741</v>
      </c>
      <c r="X441" s="42">
        <f t="shared" si="235"/>
        <v>3.9753889111612817E-3</v>
      </c>
      <c r="Y441" s="42">
        <f t="shared" si="209"/>
        <v>1.9936880581662721E-3</v>
      </c>
      <c r="Z441" s="10">
        <f t="shared" si="236"/>
        <v>15.454935328702394</v>
      </c>
      <c r="AA441">
        <f t="shared" si="214"/>
        <v>5097584.269764564</v>
      </c>
      <c r="AB441" s="10">
        <f t="shared" si="215"/>
        <v>5.0975842697645639</v>
      </c>
      <c r="AC441" s="10">
        <f t="shared" si="216"/>
        <v>4.9965842697645639</v>
      </c>
      <c r="AD441" s="3">
        <f t="shared" si="217"/>
        <v>724.66776936396866</v>
      </c>
      <c r="AI441" s="94">
        <f t="shared" si="218"/>
        <v>0.45355056514167741</v>
      </c>
    </row>
    <row r="442" spans="2:35">
      <c r="B442" s="39">
        <f t="shared" si="219"/>
        <v>414</v>
      </c>
      <c r="C442" s="42">
        <f t="shared" si="220"/>
        <v>2.7500719424431703</v>
      </c>
      <c r="D442" s="10">
        <f t="shared" si="221"/>
        <v>2.7899280575564624</v>
      </c>
      <c r="E442" s="40">
        <f t="shared" si="222"/>
        <v>25.500143884887073</v>
      </c>
      <c r="F442" s="40">
        <f t="shared" si="223"/>
        <v>31.08</v>
      </c>
      <c r="G442" s="3">
        <f t="shared" si="224"/>
        <v>204.3994244604576</v>
      </c>
      <c r="H442" s="3">
        <f t="shared" si="225"/>
        <v>81.256230789298584</v>
      </c>
      <c r="I442">
        <f t="shared" si="210"/>
        <v>8.1256230789298584E-5</v>
      </c>
      <c r="J442" s="4">
        <f t="shared" si="226"/>
        <v>510.71091911867916</v>
      </c>
      <c r="K442" s="40">
        <f t="shared" si="227"/>
        <v>6.2851908605381634</v>
      </c>
      <c r="L442" s="40">
        <f t="shared" si="211"/>
        <v>0</v>
      </c>
      <c r="M442" s="10">
        <f t="shared" si="228"/>
        <v>5.0975842697645639</v>
      </c>
      <c r="N442" s="10">
        <f t="shared" si="207"/>
        <v>8.26</v>
      </c>
      <c r="O442" s="10">
        <f t="shared" si="208"/>
        <v>0.31900000000000001</v>
      </c>
      <c r="P442" s="10">
        <f t="shared" si="229"/>
        <v>13.887667031321937</v>
      </c>
      <c r="Q442" s="42">
        <f t="shared" si="230"/>
        <v>0.20165384569903141</v>
      </c>
      <c r="R442" s="4">
        <f t="shared" si="231"/>
        <v>50682.332956070015</v>
      </c>
      <c r="S442">
        <f t="shared" si="212"/>
        <v>5.0682332956070016E-5</v>
      </c>
      <c r="T442" s="41">
        <f t="shared" si="213"/>
        <v>1.2912203908581381E-4</v>
      </c>
      <c r="U442" s="42">
        <f t="shared" si="232"/>
        <v>9.0951980606315444E-2</v>
      </c>
      <c r="V442" s="42">
        <f t="shared" si="233"/>
        <v>0.4575277402291838</v>
      </c>
      <c r="W442" s="42">
        <f t="shared" si="234"/>
        <v>0.45355438884708432</v>
      </c>
      <c r="X442" s="42">
        <f t="shared" si="235"/>
        <v>3.973351382099477E-3</v>
      </c>
      <c r="Y442" s="42">
        <f t="shared" si="209"/>
        <v>1.9955885735623165E-3</v>
      </c>
      <c r="Z442" s="10">
        <f t="shared" si="236"/>
        <v>15.455057770858614</v>
      </c>
      <c r="AA442">
        <f t="shared" si="214"/>
        <v>5097623.85534281</v>
      </c>
      <c r="AB442" s="10">
        <f t="shared" si="215"/>
        <v>5.0976238553428104</v>
      </c>
      <c r="AC442" s="10">
        <f t="shared" si="216"/>
        <v>4.9966238553428104</v>
      </c>
      <c r="AD442" s="3">
        <f t="shared" si="217"/>
        <v>724.67351056458449</v>
      </c>
      <c r="AI442" s="94">
        <f t="shared" si="218"/>
        <v>0.45355438884708432</v>
      </c>
    </row>
    <row r="443" spans="2:35">
      <c r="B443" s="39">
        <f t="shared" si="219"/>
        <v>415</v>
      </c>
      <c r="C443" s="42">
        <f t="shared" si="220"/>
        <v>2.7567146282944823</v>
      </c>
      <c r="D443" s="10">
        <f t="shared" si="221"/>
        <v>2.7832853717051496</v>
      </c>
      <c r="E443" s="40">
        <f t="shared" si="222"/>
        <v>25.513429256589699</v>
      </c>
      <c r="F443" s="40">
        <f t="shared" si="223"/>
        <v>31.08</v>
      </c>
      <c r="G443" s="3">
        <f t="shared" si="224"/>
        <v>204.34628297364711</v>
      </c>
      <c r="H443" s="3">
        <f t="shared" si="225"/>
        <v>81.256230789298584</v>
      </c>
      <c r="I443">
        <f t="shared" si="210"/>
        <v>8.1256230789298584E-5</v>
      </c>
      <c r="J443" s="4">
        <f t="shared" si="226"/>
        <v>511.24321037829804</v>
      </c>
      <c r="K443" s="40">
        <f t="shared" si="227"/>
        <v>6.2917416352227429</v>
      </c>
      <c r="L443" s="40">
        <f t="shared" si="211"/>
        <v>0</v>
      </c>
      <c r="M443" s="10">
        <f t="shared" si="228"/>
        <v>5.0976238553428104</v>
      </c>
      <c r="N443" s="10">
        <f t="shared" si="207"/>
        <v>8.26</v>
      </c>
      <c r="O443" s="10">
        <f t="shared" si="208"/>
        <v>0.31900000000000001</v>
      </c>
      <c r="P443" s="10">
        <f t="shared" si="229"/>
        <v>13.887701433933303</v>
      </c>
      <c r="Q443" s="42">
        <f t="shared" si="230"/>
        <v>0.20213215997464518</v>
      </c>
      <c r="R443" s="4">
        <f t="shared" si="231"/>
        <v>50560.384395198278</v>
      </c>
      <c r="S443">
        <f t="shared" si="212"/>
        <v>5.0560384395198279E-5</v>
      </c>
      <c r="T443" s="41">
        <f t="shared" si="213"/>
        <v>1.2924398764668554E-4</v>
      </c>
      <c r="U443" s="42">
        <f t="shared" si="232"/>
        <v>9.0733137816403062E-2</v>
      </c>
      <c r="V443" s="42">
        <f t="shared" si="233"/>
        <v>0.45752928789668362</v>
      </c>
      <c r="W443" s="42">
        <f t="shared" si="234"/>
        <v>0.45355798214438087</v>
      </c>
      <c r="X443" s="42">
        <f t="shared" si="235"/>
        <v>3.9713057523027562E-3</v>
      </c>
      <c r="Y443" s="42">
        <f t="shared" si="209"/>
        <v>1.9974881057964701E-3</v>
      </c>
      <c r="Z443" s="10">
        <f t="shared" si="236"/>
        <v>15.455172361727231</v>
      </c>
      <c r="AA443">
        <f t="shared" si="214"/>
        <v>5097660.9025979042</v>
      </c>
      <c r="AB443" s="10">
        <f t="shared" si="215"/>
        <v>5.0976609025979043</v>
      </c>
      <c r="AC443" s="10">
        <f t="shared" si="216"/>
        <v>4.9966609025979043</v>
      </c>
      <c r="AD443" s="3">
        <f t="shared" si="217"/>
        <v>724.67888362551184</v>
      </c>
      <c r="AI443" s="94">
        <f t="shared" si="218"/>
        <v>0.45355798214438087</v>
      </c>
    </row>
    <row r="444" spans="2:35">
      <c r="B444" s="39">
        <f t="shared" si="219"/>
        <v>416</v>
      </c>
      <c r="C444" s="42">
        <f t="shared" si="220"/>
        <v>2.7633573141457943</v>
      </c>
      <c r="D444" s="10">
        <f t="shared" si="221"/>
        <v>2.7766426858538367</v>
      </c>
      <c r="E444" s="40">
        <f t="shared" si="222"/>
        <v>25.526714628292325</v>
      </c>
      <c r="F444" s="40">
        <f t="shared" si="223"/>
        <v>31.08</v>
      </c>
      <c r="G444" s="3">
        <f t="shared" si="224"/>
        <v>204.29314148683662</v>
      </c>
      <c r="H444" s="3">
        <f t="shared" si="225"/>
        <v>81.256230789298584</v>
      </c>
      <c r="I444">
        <f t="shared" si="210"/>
        <v>8.1256230789298584E-5</v>
      </c>
      <c r="J444" s="4">
        <f t="shared" si="226"/>
        <v>511.77577888519841</v>
      </c>
      <c r="K444" s="40">
        <f t="shared" si="227"/>
        <v>6.2982958219198997</v>
      </c>
      <c r="L444" s="40">
        <f t="shared" si="211"/>
        <v>0</v>
      </c>
      <c r="M444" s="10">
        <f t="shared" si="228"/>
        <v>5.0976609025979043</v>
      </c>
      <c r="N444" s="10">
        <f t="shared" si="207"/>
        <v>8.26</v>
      </c>
      <c r="O444" s="10">
        <f t="shared" si="208"/>
        <v>0.31900000000000001</v>
      </c>
      <c r="P444" s="10">
        <f t="shared" si="229"/>
        <v>13.887733630401099</v>
      </c>
      <c r="Q444" s="42">
        <f t="shared" si="230"/>
        <v>0.20261047314136452</v>
      </c>
      <c r="R444" s="4">
        <f t="shared" si="231"/>
        <v>50438.435768106348</v>
      </c>
      <c r="S444">
        <f t="shared" si="212"/>
        <v>5.0438435768106347E-5</v>
      </c>
      <c r="T444" s="41">
        <f t="shared" si="213"/>
        <v>1.2936593627377749E-4</v>
      </c>
      <c r="U444" s="42">
        <f t="shared" si="232"/>
        <v>9.0514294907655252E-2</v>
      </c>
      <c r="V444" s="42">
        <f t="shared" si="233"/>
        <v>0.45753059705383392</v>
      </c>
      <c r="W444" s="42">
        <f t="shared" si="234"/>
        <v>0.45356134503075185</v>
      </c>
      <c r="X444" s="42">
        <f t="shared" si="235"/>
        <v>3.9692520230820705E-3</v>
      </c>
      <c r="Y444" s="42">
        <f t="shared" si="209"/>
        <v>1.9993866513011377E-3</v>
      </c>
      <c r="Z444" s="10">
        <f t="shared" si="236"/>
        <v>15.455279101214327</v>
      </c>
      <c r="AA444">
        <f t="shared" si="214"/>
        <v>5097695.4114994844</v>
      </c>
      <c r="AB444" s="10">
        <f t="shared" si="215"/>
        <v>5.0976954114994841</v>
      </c>
      <c r="AC444" s="10">
        <f t="shared" si="216"/>
        <v>4.9966954114994842</v>
      </c>
      <c r="AD444" s="3">
        <f t="shared" si="217"/>
        <v>724.68388854234729</v>
      </c>
      <c r="AI444" s="94">
        <f t="shared" si="218"/>
        <v>0.45356134503075185</v>
      </c>
    </row>
    <row r="445" spans="2:35">
      <c r="B445" s="39">
        <f t="shared" si="219"/>
        <v>417</v>
      </c>
      <c r="C445" s="42">
        <f t="shared" si="220"/>
        <v>2.7699999999971063</v>
      </c>
      <c r="D445" s="10">
        <f t="shared" si="221"/>
        <v>2.7700000000025238</v>
      </c>
      <c r="E445" s="40">
        <f t="shared" si="222"/>
        <v>25.539999999994951</v>
      </c>
      <c r="F445" s="40">
        <f t="shared" si="223"/>
        <v>31.08</v>
      </c>
      <c r="G445" s="3">
        <f t="shared" si="224"/>
        <v>204.24000000002613</v>
      </c>
      <c r="H445" s="3">
        <f t="shared" si="225"/>
        <v>81.256230789298584</v>
      </c>
      <c r="I445">
        <f t="shared" si="210"/>
        <v>8.1256230789298584E-5</v>
      </c>
      <c r="J445" s="4">
        <f t="shared" si="226"/>
        <v>512.30862463938035</v>
      </c>
      <c r="K445" s="40">
        <f t="shared" si="227"/>
        <v>6.3048534206296365</v>
      </c>
      <c r="L445" s="40">
        <f t="shared" si="211"/>
        <v>0</v>
      </c>
      <c r="M445" s="10">
        <f t="shared" si="228"/>
        <v>5.0976954114994841</v>
      </c>
      <c r="N445" s="10">
        <f t="shared" si="207"/>
        <v>8.26</v>
      </c>
      <c r="O445" s="10">
        <f t="shared" si="208"/>
        <v>0.31900000000000001</v>
      </c>
      <c r="P445" s="10">
        <f t="shared" si="229"/>
        <v>13.887763620731695</v>
      </c>
      <c r="Q445" s="42">
        <f t="shared" si="230"/>
        <v>0.20308878527517674</v>
      </c>
      <c r="R445" s="4">
        <f t="shared" si="231"/>
        <v>50316.487118994199</v>
      </c>
      <c r="S445">
        <f t="shared" si="212"/>
        <v>5.03164871189942E-5</v>
      </c>
      <c r="T445" s="41">
        <f t="shared" si="213"/>
        <v>1.2948788492288965E-4</v>
      </c>
      <c r="U445" s="42">
        <f t="shared" si="232"/>
        <v>9.0295451959391038E-2</v>
      </c>
      <c r="V445" s="42">
        <f t="shared" si="233"/>
        <v>0.45753166769992376</v>
      </c>
      <c r="W445" s="42">
        <f t="shared" si="234"/>
        <v>0.45356447750344148</v>
      </c>
      <c r="X445" s="42">
        <f t="shared" si="235"/>
        <v>3.9671901964822842E-3</v>
      </c>
      <c r="Y445" s="42">
        <f t="shared" si="209"/>
        <v>2.0012842065092562E-3</v>
      </c>
      <c r="Z445" s="10">
        <f t="shared" si="236"/>
        <v>15.455377989230621</v>
      </c>
      <c r="AA445">
        <f t="shared" si="214"/>
        <v>5097727.3820186853</v>
      </c>
      <c r="AB445" s="10">
        <f t="shared" si="215"/>
        <v>5.097727382018685</v>
      </c>
      <c r="AC445" s="10">
        <f t="shared" si="216"/>
        <v>4.996727382018685</v>
      </c>
      <c r="AD445" s="3">
        <f t="shared" si="217"/>
        <v>724.68852531090431</v>
      </c>
      <c r="AI445" s="94">
        <f t="shared" si="218"/>
        <v>0.45356447750344148</v>
      </c>
    </row>
    <row r="446" spans="2:35">
      <c r="B446" s="39">
        <f t="shared" si="219"/>
        <v>418</v>
      </c>
      <c r="C446" s="42">
        <f t="shared" si="220"/>
        <v>2.7766426858484183</v>
      </c>
      <c r="D446" s="10">
        <f t="shared" si="221"/>
        <v>2.7633573141512109</v>
      </c>
      <c r="E446" s="40">
        <f t="shared" si="222"/>
        <v>25.553285371697577</v>
      </c>
      <c r="F446" s="40">
        <f t="shared" si="223"/>
        <v>31.08</v>
      </c>
      <c r="G446" s="3">
        <f t="shared" si="224"/>
        <v>204.18685851321564</v>
      </c>
      <c r="H446" s="3">
        <f t="shared" si="225"/>
        <v>81.256230789298584</v>
      </c>
      <c r="I446">
        <f t="shared" si="210"/>
        <v>8.1256230789298584E-5</v>
      </c>
      <c r="J446" s="4">
        <f t="shared" si="226"/>
        <v>512.84174764084389</v>
      </c>
      <c r="K446" s="40">
        <f t="shared" si="227"/>
        <v>6.3114144313519516</v>
      </c>
      <c r="L446" s="40">
        <f t="shared" si="211"/>
        <v>0</v>
      </c>
      <c r="M446" s="10">
        <f t="shared" si="228"/>
        <v>5.097727382018685</v>
      </c>
      <c r="N446" s="10">
        <f t="shared" si="207"/>
        <v>8.26</v>
      </c>
      <c r="O446" s="10">
        <f t="shared" si="208"/>
        <v>0.31900000000000001</v>
      </c>
      <c r="P446" s="10">
        <f t="shared" si="229"/>
        <v>13.887791404930518</v>
      </c>
      <c r="Q446" s="42">
        <f t="shared" si="230"/>
        <v>0.20356709645206794</v>
      </c>
      <c r="R446" s="4">
        <f t="shared" si="231"/>
        <v>50194.538492061831</v>
      </c>
      <c r="S446">
        <f t="shared" si="212"/>
        <v>5.0194538492061828E-5</v>
      </c>
      <c r="T446" s="41">
        <f t="shared" si="213"/>
        <v>1.2960983354982201E-4</v>
      </c>
      <c r="U446" s="42">
        <f t="shared" si="232"/>
        <v>9.007660905092954E-2</v>
      </c>
      <c r="V446" s="42">
        <f t="shared" si="233"/>
        <v>0.45753249983383626</v>
      </c>
      <c r="W446" s="42">
        <f t="shared" si="234"/>
        <v>0.45356737955982929</v>
      </c>
      <c r="X446" s="42">
        <f t="shared" si="235"/>
        <v>3.9651202740069724E-3</v>
      </c>
      <c r="Y446" s="42">
        <f t="shared" si="209"/>
        <v>2.0031807678540315E-3</v>
      </c>
      <c r="Z446" s="10">
        <f t="shared" si="236"/>
        <v>15.455469025689389</v>
      </c>
      <c r="AA446">
        <f t="shared" si="214"/>
        <v>5097756.8141274704</v>
      </c>
      <c r="AB446" s="10">
        <f t="shared" si="215"/>
        <v>5.0977568141274707</v>
      </c>
      <c r="AC446" s="10">
        <f t="shared" si="216"/>
        <v>4.9967568141274707</v>
      </c>
      <c r="AD446" s="3">
        <f t="shared" si="217"/>
        <v>724.69279392711678</v>
      </c>
      <c r="AI446" s="94">
        <f t="shared" si="218"/>
        <v>0.45356737955982929</v>
      </c>
    </row>
    <row r="447" spans="2:35">
      <c r="B447" s="39">
        <f t="shared" si="219"/>
        <v>419</v>
      </c>
      <c r="C447" s="42">
        <f t="shared" si="220"/>
        <v>2.7832853716997303</v>
      </c>
      <c r="D447" s="10">
        <f t="shared" si="221"/>
        <v>2.756714628299898</v>
      </c>
      <c r="E447" s="40">
        <f t="shared" si="222"/>
        <v>25.566570743400202</v>
      </c>
      <c r="F447" s="40">
        <f t="shared" si="223"/>
        <v>31.08</v>
      </c>
      <c r="G447" s="3">
        <f t="shared" si="224"/>
        <v>204.13371702640515</v>
      </c>
      <c r="H447" s="3">
        <f t="shared" si="225"/>
        <v>81.256230789298584</v>
      </c>
      <c r="I447">
        <f t="shared" si="210"/>
        <v>8.1256230789298584E-5</v>
      </c>
      <c r="J447" s="4">
        <f t="shared" si="226"/>
        <v>513.37514788958902</v>
      </c>
      <c r="K447" s="40">
        <f t="shared" si="227"/>
        <v>6.3179788540868467</v>
      </c>
      <c r="L447" s="40">
        <f t="shared" si="211"/>
        <v>0</v>
      </c>
      <c r="M447" s="10">
        <f t="shared" si="228"/>
        <v>5.0977568141274707</v>
      </c>
      <c r="N447" s="10">
        <f t="shared" si="207"/>
        <v>8.26</v>
      </c>
      <c r="O447" s="10">
        <f t="shared" si="208"/>
        <v>0.31900000000000001</v>
      </c>
      <c r="P447" s="10">
        <f t="shared" si="229"/>
        <v>13.887816983001464</v>
      </c>
      <c r="Q447" s="42">
        <f t="shared" si="230"/>
        <v>0.20404540674802321</v>
      </c>
      <c r="R447" s="4">
        <f t="shared" si="231"/>
        <v>50072.589931509232</v>
      </c>
      <c r="S447">
        <f t="shared" si="212"/>
        <v>5.0072589931509233E-5</v>
      </c>
      <c r="T447" s="41">
        <f t="shared" si="213"/>
        <v>1.297317821103746E-4</v>
      </c>
      <c r="U447" s="42">
        <f t="shared" si="232"/>
        <v>8.9857766261589894E-2</v>
      </c>
      <c r="V447" s="42">
        <f t="shared" si="233"/>
        <v>0.45753309345469662</v>
      </c>
      <c r="W447" s="42">
        <f t="shared" si="234"/>
        <v>0.45357005119737037</v>
      </c>
      <c r="X447" s="42">
        <f t="shared" si="235"/>
        <v>3.9630422573262436E-3</v>
      </c>
      <c r="Y447" s="42">
        <f t="shared" si="209"/>
        <v>2.0050763317690165E-3</v>
      </c>
      <c r="Z447" s="10">
        <f t="shared" si="236"/>
        <v>15.45555221050703</v>
      </c>
      <c r="AA447">
        <f t="shared" si="214"/>
        <v>5097783.7077988097</v>
      </c>
      <c r="AB447" s="10">
        <f t="shared" si="215"/>
        <v>5.0977837077988095</v>
      </c>
      <c r="AC447" s="10">
        <f t="shared" si="216"/>
        <v>4.9967837077988095</v>
      </c>
      <c r="AD447" s="3">
        <f t="shared" si="217"/>
        <v>724.69669438706455</v>
      </c>
      <c r="AI447" s="94">
        <f t="shared" si="218"/>
        <v>0.45357005119737037</v>
      </c>
    </row>
    <row r="448" spans="2:35">
      <c r="B448" s="39">
        <f t="shared" si="219"/>
        <v>420</v>
      </c>
      <c r="C448" s="42">
        <f t="shared" si="220"/>
        <v>2.7899280575510423</v>
      </c>
      <c r="D448" s="10">
        <f t="shared" si="221"/>
        <v>2.7500719424485851</v>
      </c>
      <c r="E448" s="40">
        <f t="shared" si="222"/>
        <v>25.579856115102828</v>
      </c>
      <c r="F448" s="40">
        <f t="shared" si="223"/>
        <v>31.08</v>
      </c>
      <c r="G448" s="3">
        <f t="shared" si="224"/>
        <v>204.08057553959466</v>
      </c>
      <c r="H448" s="3">
        <f t="shared" si="225"/>
        <v>81.256230789298584</v>
      </c>
      <c r="I448">
        <f t="shared" si="210"/>
        <v>8.1256230789298584E-5</v>
      </c>
      <c r="J448" s="4">
        <f t="shared" si="226"/>
        <v>513.90882538561573</v>
      </c>
      <c r="K448" s="40">
        <f t="shared" si="227"/>
        <v>6.3245466888343209</v>
      </c>
      <c r="L448" s="40">
        <f t="shared" si="211"/>
        <v>0</v>
      </c>
      <c r="M448" s="10">
        <f t="shared" si="228"/>
        <v>5.0977837077988095</v>
      </c>
      <c r="N448" s="10">
        <f t="shared" si="207"/>
        <v>8.26</v>
      </c>
      <c r="O448" s="10">
        <f t="shared" si="208"/>
        <v>0.31900000000000001</v>
      </c>
      <c r="P448" s="10">
        <f t="shared" si="229"/>
        <v>13.887840354947071</v>
      </c>
      <c r="Q448" s="42">
        <f t="shared" si="230"/>
        <v>0.20452371623902668</v>
      </c>
      <c r="R448" s="4">
        <f t="shared" si="231"/>
        <v>49950.641481536426</v>
      </c>
      <c r="S448">
        <f t="shared" si="212"/>
        <v>4.9950641481536429E-5</v>
      </c>
      <c r="T448" s="41">
        <f t="shared" si="213"/>
        <v>1.2985373056034741E-4</v>
      </c>
      <c r="U448" s="42">
        <f t="shared" si="232"/>
        <v>8.9638923670691192E-2</v>
      </c>
      <c r="V448" s="42">
        <f t="shared" si="233"/>
        <v>0.45753344856189382</v>
      </c>
      <c r="W448" s="42">
        <f t="shared" si="234"/>
        <v>0.45357249241361125</v>
      </c>
      <c r="X448" s="42">
        <f t="shared" si="235"/>
        <v>3.9609561482825684E-3</v>
      </c>
      <c r="Y448" s="42">
        <f t="shared" si="209"/>
        <v>2.0069708946881884E-3</v>
      </c>
      <c r="Z448" s="10">
        <f t="shared" si="236"/>
        <v>15.455627543603619</v>
      </c>
      <c r="AA448">
        <f t="shared" si="214"/>
        <v>5097808.0630068649</v>
      </c>
      <c r="AB448" s="10">
        <f t="shared" si="215"/>
        <v>5.0978080630068652</v>
      </c>
      <c r="AC448" s="10">
        <f t="shared" si="216"/>
        <v>4.9968080630068652</v>
      </c>
      <c r="AD448" s="3">
        <f t="shared" si="217"/>
        <v>724.70022668699994</v>
      </c>
      <c r="AI448" s="94">
        <f t="shared" si="218"/>
        <v>0.45357249241361125</v>
      </c>
    </row>
    <row r="449" spans="2:35">
      <c r="B449" s="39">
        <f t="shared" si="219"/>
        <v>421</v>
      </c>
      <c r="C449" s="42">
        <f t="shared" si="220"/>
        <v>2.7965707434023543</v>
      </c>
      <c r="D449" s="10">
        <f t="shared" si="221"/>
        <v>2.7434292565972722</v>
      </c>
      <c r="E449" s="40">
        <f t="shared" si="222"/>
        <v>25.593141486805454</v>
      </c>
      <c r="F449" s="40">
        <f t="shared" si="223"/>
        <v>31.08</v>
      </c>
      <c r="G449" s="3">
        <f t="shared" si="224"/>
        <v>204.02743405278417</v>
      </c>
      <c r="H449" s="3">
        <f t="shared" si="225"/>
        <v>81.256230789298584</v>
      </c>
      <c r="I449">
        <f t="shared" si="210"/>
        <v>8.1256230789298584E-5</v>
      </c>
      <c r="J449" s="4">
        <f t="shared" si="226"/>
        <v>514.44278012892391</v>
      </c>
      <c r="K449" s="40">
        <f t="shared" si="227"/>
        <v>6.3311179355943725</v>
      </c>
      <c r="L449" s="40">
        <f t="shared" si="211"/>
        <v>0</v>
      </c>
      <c r="M449" s="10">
        <f t="shared" si="228"/>
        <v>5.0978080630068652</v>
      </c>
      <c r="N449" s="10">
        <f t="shared" si="207"/>
        <v>8.26</v>
      </c>
      <c r="O449" s="10">
        <f t="shared" si="208"/>
        <v>0.31900000000000001</v>
      </c>
      <c r="P449" s="10">
        <f t="shared" si="229"/>
        <v>13.887861520768658</v>
      </c>
      <c r="Q449" s="42">
        <f t="shared" si="230"/>
        <v>0.20500202500106166</v>
      </c>
      <c r="R449" s="4">
        <f t="shared" si="231"/>
        <v>49828.693186343393</v>
      </c>
      <c r="S449">
        <f t="shared" si="212"/>
        <v>4.9828693186343393E-5</v>
      </c>
      <c r="T449" s="41">
        <f t="shared" si="213"/>
        <v>1.2997567885554044E-4</v>
      </c>
      <c r="U449" s="42">
        <f t="shared" si="232"/>
        <v>8.9420081357552528E-2</v>
      </c>
      <c r="V449" s="42">
        <f t="shared" si="233"/>
        <v>0.45753356515485094</v>
      </c>
      <c r="W449" s="42">
        <f t="shared" si="234"/>
        <v>0.45357470320620635</v>
      </c>
      <c r="X449" s="42">
        <f t="shared" si="235"/>
        <v>3.9588619486445875E-3</v>
      </c>
      <c r="Y449" s="42">
        <f t="shared" si="209"/>
        <v>2.0088644530459119E-3</v>
      </c>
      <c r="Z449" s="10">
        <f t="shared" si="236"/>
        <v>15.45569502490258</v>
      </c>
      <c r="AA449">
        <f t="shared" si="214"/>
        <v>5097829.8797268784</v>
      </c>
      <c r="AB449" s="10">
        <f t="shared" si="215"/>
        <v>5.097829879726878</v>
      </c>
      <c r="AC449" s="10">
        <f t="shared" si="216"/>
        <v>4.996829879726878</v>
      </c>
      <c r="AD449" s="3">
        <f t="shared" si="217"/>
        <v>724.7033908233326</v>
      </c>
      <c r="AI449" s="94">
        <f t="shared" si="218"/>
        <v>0.45357470320620635</v>
      </c>
    </row>
    <row r="450" spans="2:35">
      <c r="B450" s="39">
        <f t="shared" si="219"/>
        <v>422</v>
      </c>
      <c r="C450" s="42">
        <f t="shared" si="220"/>
        <v>2.8032134292536663</v>
      </c>
      <c r="D450" s="10">
        <f t="shared" si="221"/>
        <v>2.7367865707459593</v>
      </c>
      <c r="E450" s="40">
        <f t="shared" si="222"/>
        <v>25.60642685850808</v>
      </c>
      <c r="F450" s="40">
        <f t="shared" si="223"/>
        <v>31.08</v>
      </c>
      <c r="G450" s="3">
        <f t="shared" si="224"/>
        <v>203.97429256597368</v>
      </c>
      <c r="H450" s="3">
        <f t="shared" si="225"/>
        <v>81.256230789298584</v>
      </c>
      <c r="I450">
        <f t="shared" si="210"/>
        <v>8.1256230789298584E-5</v>
      </c>
      <c r="J450" s="4">
        <f t="shared" si="226"/>
        <v>514.97701211951369</v>
      </c>
      <c r="K450" s="40">
        <f t="shared" si="227"/>
        <v>6.3376925943670033</v>
      </c>
      <c r="L450" s="40">
        <f t="shared" si="211"/>
        <v>0</v>
      </c>
      <c r="M450" s="10">
        <f t="shared" si="228"/>
        <v>5.097829879726878</v>
      </c>
      <c r="N450" s="10">
        <f t="shared" si="207"/>
        <v>8.26</v>
      </c>
      <c r="O450" s="10">
        <f t="shared" si="208"/>
        <v>0.31900000000000001</v>
      </c>
      <c r="P450" s="10">
        <f t="shared" si="229"/>
        <v>13.88788048046624</v>
      </c>
      <c r="Q450" s="42">
        <f t="shared" si="230"/>
        <v>0.20548033311011077</v>
      </c>
      <c r="R450" s="4">
        <f t="shared" si="231"/>
        <v>49706.745090130127</v>
      </c>
      <c r="S450">
        <f t="shared" si="212"/>
        <v>4.9706745090130126E-5</v>
      </c>
      <c r="T450" s="41">
        <f t="shared" si="213"/>
        <v>1.3009762695175372E-4</v>
      </c>
      <c r="U450" s="42">
        <f t="shared" si="232"/>
        <v>8.9201239401493021E-2</v>
      </c>
      <c r="V450" s="42">
        <f t="shared" si="233"/>
        <v>0.45753344323300105</v>
      </c>
      <c r="W450" s="42">
        <f t="shared" si="234"/>
        <v>0.45357668357290853</v>
      </c>
      <c r="X450" s="42">
        <f t="shared" si="235"/>
        <v>3.9567596600925126E-3</v>
      </c>
      <c r="Y450" s="42">
        <f t="shared" si="209"/>
        <v>2.0107570032768928E-3</v>
      </c>
      <c r="Z450" s="10">
        <f t="shared" si="236"/>
        <v>15.455754654330287</v>
      </c>
      <c r="AA450">
        <f t="shared" si="214"/>
        <v>5097849.1579350466</v>
      </c>
      <c r="AB450" s="10">
        <f t="shared" si="215"/>
        <v>5.0978491579350464</v>
      </c>
      <c r="AC450" s="10">
        <f t="shared" si="216"/>
        <v>4.9968491579350465</v>
      </c>
      <c r="AD450" s="3">
        <f t="shared" si="217"/>
        <v>724.70618679261008</v>
      </c>
      <c r="AI450" s="94">
        <f t="shared" si="218"/>
        <v>0.45357668357290853</v>
      </c>
    </row>
    <row r="451" spans="2:35">
      <c r="B451" s="39">
        <f t="shared" si="219"/>
        <v>423</v>
      </c>
      <c r="C451" s="42">
        <f t="shared" si="220"/>
        <v>2.8098561151049783</v>
      </c>
      <c r="D451" s="10">
        <f t="shared" si="221"/>
        <v>2.7301438848946464</v>
      </c>
      <c r="E451" s="40">
        <f t="shared" si="222"/>
        <v>25.619712230210705</v>
      </c>
      <c r="F451" s="40">
        <f t="shared" si="223"/>
        <v>31.08</v>
      </c>
      <c r="G451" s="3">
        <f t="shared" si="224"/>
        <v>203.9211510791632</v>
      </c>
      <c r="H451" s="3">
        <f t="shared" si="225"/>
        <v>81.256230789298584</v>
      </c>
      <c r="I451">
        <f t="shared" si="210"/>
        <v>8.1256230789298584E-5</v>
      </c>
      <c r="J451" s="4">
        <f t="shared" si="226"/>
        <v>515.51152135738494</v>
      </c>
      <c r="K451" s="40">
        <f t="shared" si="227"/>
        <v>6.3442706651522114</v>
      </c>
      <c r="L451" s="40">
        <f t="shared" si="211"/>
        <v>0</v>
      </c>
      <c r="M451" s="10">
        <f t="shared" si="228"/>
        <v>5.0978491579350464</v>
      </c>
      <c r="N451" s="10">
        <f t="shared" si="207"/>
        <v>8.26</v>
      </c>
      <c r="O451" s="10">
        <f t="shared" si="208"/>
        <v>0.31900000000000001</v>
      </c>
      <c r="P451" s="10">
        <f t="shared" si="229"/>
        <v>13.887897234038425</v>
      </c>
      <c r="Q451" s="42">
        <f t="shared" si="230"/>
        <v>0.2059586406421561</v>
      </c>
      <c r="R451" s="4">
        <f t="shared" si="231"/>
        <v>49584.797237096653</v>
      </c>
      <c r="S451">
        <f t="shared" si="212"/>
        <v>4.958479723709665E-5</v>
      </c>
      <c r="T451" s="41">
        <f t="shared" si="213"/>
        <v>1.3021957480478718E-4</v>
      </c>
      <c r="U451" s="42">
        <f t="shared" si="232"/>
        <v>8.8982397881831779E-2</v>
      </c>
      <c r="V451" s="42">
        <f t="shared" si="233"/>
        <v>0.45753308279598542</v>
      </c>
      <c r="W451" s="42">
        <f t="shared" si="234"/>
        <v>0.45357843351155702</v>
      </c>
      <c r="X451" s="42">
        <f t="shared" si="235"/>
        <v>3.954649284428402E-3</v>
      </c>
      <c r="Y451" s="42">
        <f t="shared" si="209"/>
        <v>2.0126485418162326E-3</v>
      </c>
      <c r="Z451" s="10">
        <f t="shared" si="236"/>
        <v>15.455806431816447</v>
      </c>
      <c r="AA451">
        <f t="shared" si="214"/>
        <v>5097865.8976086443</v>
      </c>
      <c r="AB451" s="10">
        <f t="shared" si="215"/>
        <v>5.0978658976086439</v>
      </c>
      <c r="AC451" s="10">
        <f t="shared" si="216"/>
        <v>4.996865897608644</v>
      </c>
      <c r="AD451" s="3">
        <f t="shared" si="217"/>
        <v>724.7086145915365</v>
      </c>
      <c r="AI451" s="94">
        <f t="shared" si="218"/>
        <v>0.45357843351155702</v>
      </c>
    </row>
    <row r="452" spans="2:35">
      <c r="B452" s="39">
        <f t="shared" si="219"/>
        <v>424</v>
      </c>
      <c r="C452" s="42">
        <f t="shared" si="220"/>
        <v>2.8164988009562903</v>
      </c>
      <c r="D452" s="10">
        <f t="shared" si="221"/>
        <v>2.7235011990433335</v>
      </c>
      <c r="E452" s="40">
        <f t="shared" si="222"/>
        <v>25.632997601913331</v>
      </c>
      <c r="F452" s="40">
        <f t="shared" si="223"/>
        <v>31.08</v>
      </c>
      <c r="G452" s="3">
        <f t="shared" si="224"/>
        <v>203.86800959235271</v>
      </c>
      <c r="H452" s="3">
        <f t="shared" si="225"/>
        <v>81.256230789298584</v>
      </c>
      <c r="I452">
        <f t="shared" si="210"/>
        <v>8.1256230789298584E-5</v>
      </c>
      <c r="J452" s="4">
        <f t="shared" si="226"/>
        <v>516.04630784253789</v>
      </c>
      <c r="K452" s="40">
        <f t="shared" si="227"/>
        <v>6.3508521479500004</v>
      </c>
      <c r="L452" s="40">
        <f t="shared" si="211"/>
        <v>0</v>
      </c>
      <c r="M452" s="10">
        <f t="shared" si="228"/>
        <v>5.0978658976086439</v>
      </c>
      <c r="N452" s="10">
        <f t="shared" si="207"/>
        <v>8.26</v>
      </c>
      <c r="O452" s="10">
        <f t="shared" si="208"/>
        <v>0.31900000000000001</v>
      </c>
      <c r="P452" s="10">
        <f t="shared" si="229"/>
        <v>13.887911781482503</v>
      </c>
      <c r="Q452" s="42">
        <f t="shared" si="230"/>
        <v>0.20643694767317924</v>
      </c>
      <c r="R452" s="4">
        <f t="shared" si="231"/>
        <v>49462.849671442942</v>
      </c>
      <c r="S452">
        <f t="shared" si="212"/>
        <v>4.946284967144294E-5</v>
      </c>
      <c r="T452" s="41">
        <f t="shared" si="213"/>
        <v>1.3034152237044089E-4</v>
      </c>
      <c r="U452" s="42">
        <f t="shared" si="232"/>
        <v>8.8763556877887922E-2</v>
      </c>
      <c r="V452" s="42">
        <f t="shared" si="233"/>
        <v>0.45753248384356154</v>
      </c>
      <c r="W452" s="42">
        <f t="shared" si="234"/>
        <v>0.4535799530200888</v>
      </c>
      <c r="X452" s="42">
        <f t="shared" si="235"/>
        <v>3.9525308234727441E-3</v>
      </c>
      <c r="Y452" s="42">
        <f t="shared" si="209"/>
        <v>2.0145390650994355E-3</v>
      </c>
      <c r="Z452" s="10">
        <f t="shared" si="236"/>
        <v>15.455850357294098</v>
      </c>
      <c r="AA452">
        <f t="shared" si="214"/>
        <v>5097880.098726023</v>
      </c>
      <c r="AB452" s="10">
        <f t="shared" si="215"/>
        <v>5.0978800987260229</v>
      </c>
      <c r="AC452" s="10">
        <f t="shared" si="216"/>
        <v>4.9968800987260229</v>
      </c>
      <c r="AD452" s="3">
        <f t="shared" si="217"/>
        <v>724.71067421697217</v>
      </c>
      <c r="AI452" s="94">
        <f t="shared" si="218"/>
        <v>0.4535799530200888</v>
      </c>
    </row>
    <row r="453" spans="2:35">
      <c r="B453" s="39">
        <f t="shared" si="219"/>
        <v>425</v>
      </c>
      <c r="C453" s="42">
        <f t="shared" si="220"/>
        <v>2.8231414868076024</v>
      </c>
      <c r="D453" s="10">
        <f t="shared" si="221"/>
        <v>2.7168585131920207</v>
      </c>
      <c r="E453" s="40">
        <f t="shared" si="222"/>
        <v>25.646282973615957</v>
      </c>
      <c r="F453" s="40">
        <f t="shared" si="223"/>
        <v>31.08</v>
      </c>
      <c r="G453" s="3">
        <f t="shared" si="224"/>
        <v>203.81486810554222</v>
      </c>
      <c r="H453" s="3">
        <f t="shared" si="225"/>
        <v>81.256230789298584</v>
      </c>
      <c r="I453">
        <f t="shared" si="210"/>
        <v>8.1256230789298584E-5</v>
      </c>
      <c r="J453" s="4">
        <f t="shared" si="226"/>
        <v>516.58137157497231</v>
      </c>
      <c r="K453" s="40">
        <f t="shared" si="227"/>
        <v>6.3574370427603677</v>
      </c>
      <c r="L453" s="40">
        <f t="shared" si="211"/>
        <v>0</v>
      </c>
      <c r="M453" s="10">
        <f t="shared" si="228"/>
        <v>5.0978800987260229</v>
      </c>
      <c r="N453" s="10">
        <f t="shared" si="207"/>
        <v>8.26</v>
      </c>
      <c r="O453" s="10">
        <f t="shared" si="208"/>
        <v>0.31900000000000001</v>
      </c>
      <c r="P453" s="10">
        <f t="shared" si="229"/>
        <v>13.887924122794463</v>
      </c>
      <c r="Q453" s="42">
        <f t="shared" si="230"/>
        <v>0.20691525427916144</v>
      </c>
      <c r="R453" s="4">
        <f t="shared" si="231"/>
        <v>49340.902437368997</v>
      </c>
      <c r="S453">
        <f t="shared" si="212"/>
        <v>4.9340902437368999E-5</v>
      </c>
      <c r="T453" s="41">
        <f t="shared" si="213"/>
        <v>1.3046346960451482E-4</v>
      </c>
      <c r="U453" s="42">
        <f t="shared" si="232"/>
        <v>8.8544716468980517E-2</v>
      </c>
      <c r="V453" s="42">
        <f t="shared" si="233"/>
        <v>0.45753164637569993</v>
      </c>
      <c r="W453" s="42">
        <f t="shared" si="234"/>
        <v>0.45358124209653905</v>
      </c>
      <c r="X453" s="42">
        <f t="shared" si="235"/>
        <v>3.9504042791608796E-3</v>
      </c>
      <c r="Y453" s="42">
        <f t="shared" si="209"/>
        <v>2.0164285695624586E-3</v>
      </c>
      <c r="Z453" s="10">
        <f t="shared" si="236"/>
        <v>15.455886430699969</v>
      </c>
      <c r="AA453">
        <f t="shared" si="214"/>
        <v>5097891.7612667261</v>
      </c>
      <c r="AB453" s="10">
        <f t="shared" si="215"/>
        <v>5.0978917612667258</v>
      </c>
      <c r="AC453" s="10">
        <f t="shared" si="216"/>
        <v>4.9968917612667259</v>
      </c>
      <c r="AD453" s="3">
        <f t="shared" si="217"/>
        <v>724.71236566595007</v>
      </c>
      <c r="AI453" s="94">
        <f t="shared" si="218"/>
        <v>0.45358124209653905</v>
      </c>
    </row>
    <row r="454" spans="2:35">
      <c r="B454" s="39">
        <f t="shared" si="219"/>
        <v>426</v>
      </c>
      <c r="C454" s="42">
        <f t="shared" si="220"/>
        <v>2.8297841726589144</v>
      </c>
      <c r="D454" s="10">
        <f t="shared" si="221"/>
        <v>2.7102158273407078</v>
      </c>
      <c r="E454" s="40">
        <f t="shared" si="222"/>
        <v>25.659568345318583</v>
      </c>
      <c r="F454" s="40">
        <f t="shared" si="223"/>
        <v>31.08</v>
      </c>
      <c r="G454" s="3">
        <f t="shared" si="224"/>
        <v>203.76172661873173</v>
      </c>
      <c r="H454" s="3">
        <f t="shared" si="225"/>
        <v>81.256230789298584</v>
      </c>
      <c r="I454">
        <f t="shared" si="210"/>
        <v>8.1256230789298584E-5</v>
      </c>
      <c r="J454" s="4">
        <f t="shared" si="226"/>
        <v>517.11671255468832</v>
      </c>
      <c r="K454" s="40">
        <f t="shared" si="227"/>
        <v>6.3640253495833132</v>
      </c>
      <c r="L454" s="40">
        <f t="shared" si="211"/>
        <v>0</v>
      </c>
      <c r="M454" s="10">
        <f t="shared" si="228"/>
        <v>5.0978917612667258</v>
      </c>
      <c r="N454" s="10">
        <f t="shared" si="207"/>
        <v>8.26</v>
      </c>
      <c r="O454" s="10">
        <f t="shared" si="208"/>
        <v>0.31900000000000001</v>
      </c>
      <c r="P454" s="10">
        <f t="shared" si="229"/>
        <v>13.887934257969082</v>
      </c>
      <c r="Q454" s="42">
        <f t="shared" si="230"/>
        <v>0.20739356053608374</v>
      </c>
      <c r="R454" s="4">
        <f t="shared" si="231"/>
        <v>49218.955579074835</v>
      </c>
      <c r="S454">
        <f t="shared" si="212"/>
        <v>4.9218955579074834E-5</v>
      </c>
      <c r="T454" s="41">
        <f t="shared" si="213"/>
        <v>1.3058541646280899E-4</v>
      </c>
      <c r="U454" s="42">
        <f t="shared" si="232"/>
        <v>8.8325876734428738E-2</v>
      </c>
      <c r="V454" s="42">
        <f t="shared" si="233"/>
        <v>0.45753057039211759</v>
      </c>
      <c r="W454" s="42">
        <f t="shared" si="234"/>
        <v>0.45358230073905065</v>
      </c>
      <c r="X454" s="42">
        <f t="shared" si="235"/>
        <v>3.9482696530669381E-3</v>
      </c>
      <c r="Y454" s="42">
        <f t="shared" si="209"/>
        <v>2.0183170516415369E-3</v>
      </c>
      <c r="Z454" s="10">
        <f t="shared" si="236"/>
        <v>15.455914651973085</v>
      </c>
      <c r="AA454">
        <f t="shared" si="214"/>
        <v>5097900.8852110403</v>
      </c>
      <c r="AB454" s="10">
        <f t="shared" si="215"/>
        <v>5.0979008852110406</v>
      </c>
      <c r="AC454" s="10">
        <f t="shared" si="216"/>
        <v>4.9969008852110406</v>
      </c>
      <c r="AD454" s="3">
        <f t="shared" si="217"/>
        <v>724.71368893561134</v>
      </c>
      <c r="AI454" s="94">
        <f t="shared" si="218"/>
        <v>0.45358230073905065</v>
      </c>
    </row>
    <row r="455" spans="2:35">
      <c r="B455" s="39">
        <f t="shared" si="219"/>
        <v>427</v>
      </c>
      <c r="C455" s="42">
        <f t="shared" si="220"/>
        <v>2.8364268585102264</v>
      </c>
      <c r="D455" s="10">
        <f t="shared" si="221"/>
        <v>2.7035731414893949</v>
      </c>
      <c r="E455" s="40">
        <f t="shared" si="222"/>
        <v>25.672853717021209</v>
      </c>
      <c r="F455" s="40">
        <f t="shared" si="223"/>
        <v>31.08</v>
      </c>
      <c r="G455" s="3">
        <f t="shared" si="224"/>
        <v>203.70858513192124</v>
      </c>
      <c r="H455" s="3">
        <f t="shared" si="225"/>
        <v>81.256230789298584</v>
      </c>
      <c r="I455">
        <f t="shared" si="210"/>
        <v>8.1256230789298584E-5</v>
      </c>
      <c r="J455" s="4">
        <f t="shared" si="226"/>
        <v>517.65233078168603</v>
      </c>
      <c r="K455" s="40">
        <f t="shared" si="227"/>
        <v>6.3706170684188397</v>
      </c>
      <c r="L455" s="40">
        <f t="shared" si="211"/>
        <v>0</v>
      </c>
      <c r="M455" s="10">
        <f t="shared" si="228"/>
        <v>5.0979008852110406</v>
      </c>
      <c r="N455" s="10">
        <f t="shared" si="207"/>
        <v>8.26</v>
      </c>
      <c r="O455" s="10">
        <f t="shared" si="208"/>
        <v>0.31900000000000001</v>
      </c>
      <c r="P455" s="10">
        <f t="shared" si="229"/>
        <v>13.88794218699954</v>
      </c>
      <c r="Q455" s="42">
        <f t="shared" si="230"/>
        <v>0.20787186651992706</v>
      </c>
      <c r="R455" s="4">
        <f t="shared" si="231"/>
        <v>49097.009140760412</v>
      </c>
      <c r="S455">
        <f t="shared" si="212"/>
        <v>4.9097009140760415E-5</v>
      </c>
      <c r="T455" s="41">
        <f t="shared" si="213"/>
        <v>1.3070736290112341E-4</v>
      </c>
      <c r="U455" s="42">
        <f t="shared" si="232"/>
        <v>8.8107037753551581E-2</v>
      </c>
      <c r="V455" s="42">
        <f t="shared" si="233"/>
        <v>0.45752925589331506</v>
      </c>
      <c r="W455" s="42">
        <f t="shared" si="234"/>
        <v>0.45358312894583436</v>
      </c>
      <c r="X455" s="42">
        <f t="shared" si="235"/>
        <v>3.9461269474806993E-3</v>
      </c>
      <c r="Y455" s="42">
        <f t="shared" si="209"/>
        <v>2.0202045077735223E-3</v>
      </c>
      <c r="Z455" s="10">
        <f t="shared" si="236"/>
        <v>15.455935021057325</v>
      </c>
      <c r="AA455">
        <f t="shared" si="214"/>
        <v>5097907.4705408225</v>
      </c>
      <c r="AB455" s="10">
        <f t="shared" si="215"/>
        <v>5.0979074705408225</v>
      </c>
      <c r="AC455" s="10">
        <f t="shared" si="216"/>
        <v>4.9969074705408225</v>
      </c>
      <c r="AD455" s="3">
        <f t="shared" si="217"/>
        <v>724.71464402332447</v>
      </c>
      <c r="AI455" s="94">
        <f t="shared" si="218"/>
        <v>0.45358312894583436</v>
      </c>
    </row>
    <row r="456" spans="2:35">
      <c r="B456" s="39">
        <f t="shared" si="219"/>
        <v>428</v>
      </c>
      <c r="C456" s="42">
        <f t="shared" si="220"/>
        <v>2.8430695443615384</v>
      </c>
      <c r="D456" s="10">
        <f t="shared" si="221"/>
        <v>2.696930455638082</v>
      </c>
      <c r="E456" s="40">
        <f t="shared" si="222"/>
        <v>25.686139088723834</v>
      </c>
      <c r="F456" s="40">
        <f t="shared" si="223"/>
        <v>31.08</v>
      </c>
      <c r="G456" s="3">
        <f t="shared" si="224"/>
        <v>203.65544364511075</v>
      </c>
      <c r="H456" s="3">
        <f t="shared" si="225"/>
        <v>81.256230789298584</v>
      </c>
      <c r="I456">
        <f t="shared" si="210"/>
        <v>8.1256230789298584E-5</v>
      </c>
      <c r="J456" s="4">
        <f t="shared" si="226"/>
        <v>518.18822625596511</v>
      </c>
      <c r="K456" s="40">
        <f t="shared" si="227"/>
        <v>6.3772121992669426</v>
      </c>
      <c r="L456" s="40">
        <f t="shared" si="211"/>
        <v>0</v>
      </c>
      <c r="M456" s="10">
        <f t="shared" si="228"/>
        <v>5.0979074705408225</v>
      </c>
      <c r="N456" s="10">
        <f t="shared" si="207"/>
        <v>8.26</v>
      </c>
      <c r="O456" s="10">
        <f t="shared" si="208"/>
        <v>0.31900000000000001</v>
      </c>
      <c r="P456" s="10">
        <f t="shared" si="229"/>
        <v>13.887947909878138</v>
      </c>
      <c r="Q456" s="42">
        <f t="shared" si="230"/>
        <v>0.20835017230667235</v>
      </c>
      <c r="R456" s="4">
        <f t="shared" si="231"/>
        <v>48975.063166625769</v>
      </c>
      <c r="S456">
        <f t="shared" si="212"/>
        <v>4.897506316662577E-5</v>
      </c>
      <c r="T456" s="41">
        <f t="shared" si="213"/>
        <v>1.3082930887525806E-4</v>
      </c>
      <c r="U456" s="42">
        <f t="shared" si="232"/>
        <v>8.7888199605668266E-2</v>
      </c>
      <c r="V456" s="42">
        <f t="shared" si="233"/>
        <v>0.45752770287901939</v>
      </c>
      <c r="W456" s="42">
        <f t="shared" si="234"/>
        <v>0.45358372671524311</v>
      </c>
      <c r="X456" s="42">
        <f t="shared" si="235"/>
        <v>3.943976163776286E-3</v>
      </c>
      <c r="Y456" s="42">
        <f t="shared" si="209"/>
        <v>2.0220909343954419E-3</v>
      </c>
      <c r="Z456" s="10">
        <f t="shared" si="236"/>
        <v>15.455947537898002</v>
      </c>
      <c r="AA456">
        <f t="shared" si="214"/>
        <v>5097911.5172383916</v>
      </c>
      <c r="AB456" s="10">
        <f t="shared" si="215"/>
        <v>5.0979115172383915</v>
      </c>
      <c r="AC456" s="10">
        <f t="shared" si="216"/>
        <v>4.9969115172383916</v>
      </c>
      <c r="AD456" s="3">
        <f t="shared" si="217"/>
        <v>724.71523092652524</v>
      </c>
      <c r="AI456" s="94">
        <f t="shared" si="218"/>
        <v>0.45358372671524311</v>
      </c>
    </row>
    <row r="457" spans="2:35">
      <c r="B457" s="39">
        <f t="shared" si="219"/>
        <v>429</v>
      </c>
      <c r="C457" s="42">
        <f t="shared" si="220"/>
        <v>2.8497122302128504</v>
      </c>
      <c r="D457" s="10">
        <f t="shared" si="221"/>
        <v>2.6902877697867691</v>
      </c>
      <c r="E457" s="40">
        <f t="shared" si="222"/>
        <v>25.69942446042646</v>
      </c>
      <c r="F457" s="40">
        <f t="shared" si="223"/>
        <v>31.08</v>
      </c>
      <c r="G457" s="3">
        <f t="shared" si="224"/>
        <v>203.60230215830026</v>
      </c>
      <c r="H457" s="3">
        <f t="shared" si="225"/>
        <v>81.256230789298584</v>
      </c>
      <c r="I457">
        <f t="shared" si="210"/>
        <v>8.1256230789298584E-5</v>
      </c>
      <c r="J457" s="4">
        <f t="shared" si="226"/>
        <v>518.72439897752577</v>
      </c>
      <c r="K457" s="40">
        <f t="shared" si="227"/>
        <v>6.3838107421276247</v>
      </c>
      <c r="L457" s="40">
        <f t="shared" si="211"/>
        <v>0</v>
      </c>
      <c r="M457" s="10">
        <f t="shared" si="228"/>
        <v>5.0979115172383915</v>
      </c>
      <c r="N457" s="10">
        <f t="shared" si="207"/>
        <v>8.26</v>
      </c>
      <c r="O457" s="10">
        <f t="shared" si="208"/>
        <v>0.31900000000000001</v>
      </c>
      <c r="P457" s="10">
        <f t="shared" si="229"/>
        <v>13.887951426595329</v>
      </c>
      <c r="Q457" s="42">
        <f t="shared" si="230"/>
        <v>0.20882847797230072</v>
      </c>
      <c r="R457" s="4">
        <f t="shared" si="231"/>
        <v>48853.117700870898</v>
      </c>
      <c r="S457">
        <f t="shared" si="212"/>
        <v>4.8853117700870902E-5</v>
      </c>
      <c r="T457" s="41">
        <f t="shared" si="213"/>
        <v>1.3095125434101293E-4</v>
      </c>
      <c r="U457" s="42">
        <f t="shared" si="232"/>
        <v>8.766936237009787E-2</v>
      </c>
      <c r="V457" s="42">
        <f t="shared" si="233"/>
        <v>0.4575259113498068</v>
      </c>
      <c r="W457" s="42">
        <f t="shared" si="234"/>
        <v>0.45358409404567201</v>
      </c>
      <c r="X457" s="42">
        <f t="shared" si="235"/>
        <v>3.941817304134787E-3</v>
      </c>
      <c r="Y457" s="42">
        <f t="shared" si="209"/>
        <v>2.0239763279448816E-3</v>
      </c>
      <c r="Z457" s="10">
        <f t="shared" si="236"/>
        <v>15.455952202444751</v>
      </c>
      <c r="AA457">
        <f t="shared" si="214"/>
        <v>5097913.0252874661</v>
      </c>
      <c r="AB457" s="10">
        <f t="shared" si="215"/>
        <v>5.0979130252874665</v>
      </c>
      <c r="AC457" s="10">
        <f t="shared" si="216"/>
        <v>4.9969130252874665</v>
      </c>
      <c r="AD457" s="3">
        <f t="shared" si="217"/>
        <v>724.71544964285226</v>
      </c>
      <c r="AI457" s="94">
        <f t="shared" si="218"/>
        <v>0.45358409404567201</v>
      </c>
    </row>
    <row r="458" spans="2:35">
      <c r="B458" s="39">
        <f t="shared" si="219"/>
        <v>430</v>
      </c>
      <c r="C458" s="42">
        <f t="shared" si="220"/>
        <v>2.8563549160641624</v>
      </c>
      <c r="D458" s="10">
        <f t="shared" si="221"/>
        <v>2.6836450839354562</v>
      </c>
      <c r="E458" s="40">
        <f t="shared" si="222"/>
        <v>25.712709832129086</v>
      </c>
      <c r="F458" s="40">
        <f t="shared" si="223"/>
        <v>31.08</v>
      </c>
      <c r="G458" s="3">
        <f t="shared" si="224"/>
        <v>203.54916067148977</v>
      </c>
      <c r="H458" s="3">
        <f t="shared" si="225"/>
        <v>81.256230789298584</v>
      </c>
      <c r="I458">
        <f t="shared" si="210"/>
        <v>8.1256230789298584E-5</v>
      </c>
      <c r="J458" s="4">
        <f t="shared" si="226"/>
        <v>519.26084894636801</v>
      </c>
      <c r="K458" s="40">
        <f t="shared" si="227"/>
        <v>6.3904126970008859</v>
      </c>
      <c r="L458" s="40">
        <f t="shared" si="211"/>
        <v>0</v>
      </c>
      <c r="M458" s="10">
        <f t="shared" si="228"/>
        <v>5.0979130252874665</v>
      </c>
      <c r="N458" s="10">
        <f t="shared" si="207"/>
        <v>8.26</v>
      </c>
      <c r="O458" s="10">
        <f t="shared" si="208"/>
        <v>0.31900000000000001</v>
      </c>
      <c r="P458" s="10">
        <f t="shared" si="229"/>
        <v>13.887952737140544</v>
      </c>
      <c r="Q458" s="42">
        <f t="shared" si="230"/>
        <v>0.20930678359279348</v>
      </c>
      <c r="R458" s="4">
        <f t="shared" si="231"/>
        <v>48731.172787695774</v>
      </c>
      <c r="S458">
        <f t="shared" si="212"/>
        <v>4.8731172787695771E-5</v>
      </c>
      <c r="T458" s="41">
        <f t="shared" si="213"/>
        <v>1.3107319925418807E-4</v>
      </c>
      <c r="U458" s="42">
        <f t="shared" si="232"/>
        <v>8.7450526126159445E-2</v>
      </c>
      <c r="V458" s="42">
        <f t="shared" si="233"/>
        <v>0.45752388130622196</v>
      </c>
      <c r="W458" s="42">
        <f t="shared" si="234"/>
        <v>0.45358423093564315</v>
      </c>
      <c r="X458" s="42">
        <f t="shared" si="235"/>
        <v>3.9396503705788066E-3</v>
      </c>
      <c r="Y458" s="42">
        <f t="shared" si="209"/>
        <v>2.0258606848599058E-3</v>
      </c>
      <c r="Z458" s="10">
        <f t="shared" si="236"/>
        <v>15.455949014650875</v>
      </c>
      <c r="AA458">
        <f t="shared" si="214"/>
        <v>5097911.9946729476</v>
      </c>
      <c r="AB458" s="10">
        <f t="shared" si="215"/>
        <v>5.0979119946729474</v>
      </c>
      <c r="AC458" s="10">
        <f t="shared" si="216"/>
        <v>4.9969119946729474</v>
      </c>
      <c r="AD458" s="3">
        <f t="shared" si="217"/>
        <v>724.71530017011571</v>
      </c>
      <c r="AI458" s="94">
        <f t="shared" si="218"/>
        <v>0.45358423093564315</v>
      </c>
    </row>
    <row r="459" spans="2:35">
      <c r="B459" s="39">
        <f t="shared" si="219"/>
        <v>431</v>
      </c>
      <c r="C459" s="42">
        <f t="shared" si="220"/>
        <v>2.8629976019154744</v>
      </c>
      <c r="D459" s="10">
        <f t="shared" si="221"/>
        <v>2.6770023980841433</v>
      </c>
      <c r="E459" s="40">
        <f t="shared" si="222"/>
        <v>25.725995203831712</v>
      </c>
      <c r="F459" s="40">
        <f t="shared" si="223"/>
        <v>31.08</v>
      </c>
      <c r="G459" s="3">
        <f t="shared" si="224"/>
        <v>203.49601918467928</v>
      </c>
      <c r="H459" s="3">
        <f t="shared" si="225"/>
        <v>81.256230789298584</v>
      </c>
      <c r="I459">
        <f t="shared" si="210"/>
        <v>8.1256230789298584E-5</v>
      </c>
      <c r="J459" s="4">
        <f t="shared" si="226"/>
        <v>519.79757616249185</v>
      </c>
      <c r="K459" s="40">
        <f t="shared" si="227"/>
        <v>6.3970180638867262</v>
      </c>
      <c r="L459" s="40">
        <f t="shared" si="211"/>
        <v>0</v>
      </c>
      <c r="M459" s="10">
        <f t="shared" si="228"/>
        <v>5.0979119946729474</v>
      </c>
      <c r="N459" s="10">
        <f t="shared" si="207"/>
        <v>8.26</v>
      </c>
      <c r="O459" s="10">
        <f t="shared" si="208"/>
        <v>0.31900000000000001</v>
      </c>
      <c r="P459" s="10">
        <f t="shared" si="229"/>
        <v>13.887951841501996</v>
      </c>
      <c r="Q459" s="42">
        <f t="shared" si="230"/>
        <v>0.20978508924413231</v>
      </c>
      <c r="R459" s="4">
        <f t="shared" si="231"/>
        <v>48609.228471300426</v>
      </c>
      <c r="S459">
        <f t="shared" si="212"/>
        <v>4.8609228471300427E-5</v>
      </c>
      <c r="T459" s="41">
        <f t="shared" si="213"/>
        <v>1.3119514357058339E-4</v>
      </c>
      <c r="U459" s="42">
        <f t="shared" si="232"/>
        <v>8.7231690953172181E-2</v>
      </c>
      <c r="V459" s="42">
        <f t="shared" si="233"/>
        <v>0.457521612748503</v>
      </c>
      <c r="W459" s="42">
        <f t="shared" si="234"/>
        <v>0.45358413738378595</v>
      </c>
      <c r="X459" s="42">
        <f t="shared" si="235"/>
        <v>3.9374753647170579E-3</v>
      </c>
      <c r="Y459" s="42">
        <f t="shared" si="209"/>
        <v>2.0277440015788574E-3</v>
      </c>
      <c r="Z459" s="10">
        <f t="shared" si="236"/>
        <v>15.455937974471782</v>
      </c>
      <c r="AA459">
        <f t="shared" si="214"/>
        <v>5097908.425380419</v>
      </c>
      <c r="AB459" s="10">
        <f t="shared" si="215"/>
        <v>5.0979084253804192</v>
      </c>
      <c r="AC459" s="10">
        <f t="shared" si="216"/>
        <v>4.9969084253804192</v>
      </c>
      <c r="AD459" s="3">
        <f t="shared" si="217"/>
        <v>724.71478250622465</v>
      </c>
      <c r="AI459" s="94">
        <f t="shared" si="218"/>
        <v>0.45358413738378595</v>
      </c>
    </row>
    <row r="460" spans="2:35">
      <c r="B460" s="39">
        <f t="shared" si="219"/>
        <v>432</v>
      </c>
      <c r="C460" s="42">
        <f t="shared" si="220"/>
        <v>2.8696402877667864</v>
      </c>
      <c r="D460" s="10">
        <f t="shared" si="221"/>
        <v>2.6703597122328304</v>
      </c>
      <c r="E460" s="40">
        <f t="shared" si="222"/>
        <v>25.739280575534337</v>
      </c>
      <c r="F460" s="40">
        <f t="shared" si="223"/>
        <v>31.08</v>
      </c>
      <c r="G460" s="3">
        <f t="shared" si="224"/>
        <v>203.44287769786879</v>
      </c>
      <c r="H460" s="3">
        <f t="shared" si="225"/>
        <v>81.256230789298584</v>
      </c>
      <c r="I460">
        <f t="shared" si="210"/>
        <v>8.1256230789298584E-5</v>
      </c>
      <c r="J460" s="4">
        <f t="shared" si="226"/>
        <v>520.33458062589727</v>
      </c>
      <c r="K460" s="40">
        <f t="shared" si="227"/>
        <v>6.4036268427851457</v>
      </c>
      <c r="L460" s="40">
        <f t="shared" si="211"/>
        <v>0</v>
      </c>
      <c r="M460" s="10">
        <f t="shared" si="228"/>
        <v>5.0979084253804192</v>
      </c>
      <c r="N460" s="10">
        <f t="shared" si="207"/>
        <v>8.26</v>
      </c>
      <c r="O460" s="10">
        <f t="shared" si="208"/>
        <v>0.31900000000000001</v>
      </c>
      <c r="P460" s="10">
        <f t="shared" si="229"/>
        <v>13.887948739666244</v>
      </c>
      <c r="Q460" s="42">
        <f t="shared" si="230"/>
        <v>0.2102633950022994</v>
      </c>
      <c r="R460" s="4">
        <f t="shared" si="231"/>
        <v>48487.284795884814</v>
      </c>
      <c r="S460">
        <f t="shared" si="212"/>
        <v>4.8487284795884817E-5</v>
      </c>
      <c r="T460" s="41">
        <f t="shared" si="213"/>
        <v>1.3131708724599902E-4</v>
      </c>
      <c r="U460" s="42">
        <f t="shared" si="232"/>
        <v>8.7012856930455088E-2</v>
      </c>
      <c r="V460" s="42">
        <f t="shared" si="233"/>
        <v>0.45751910567767651</v>
      </c>
      <c r="W460" s="42">
        <f t="shared" si="234"/>
        <v>0.45358381338879178</v>
      </c>
      <c r="X460" s="42">
        <f t="shared" si="235"/>
        <v>3.9352922888847286E-3</v>
      </c>
      <c r="Y460" s="42">
        <f t="shared" si="209"/>
        <v>2.0296262745407015E-3</v>
      </c>
      <c r="Z460" s="10">
        <f t="shared" si="236"/>
        <v>15.455919081867545</v>
      </c>
      <c r="AA460">
        <f t="shared" si="214"/>
        <v>5097902.3173969733</v>
      </c>
      <c r="AB460" s="10">
        <f t="shared" si="215"/>
        <v>5.0979023173969731</v>
      </c>
      <c r="AC460" s="10">
        <f t="shared" si="216"/>
        <v>4.9969023173969731</v>
      </c>
      <c r="AD460" s="3">
        <f t="shared" si="217"/>
        <v>724.71389664930723</v>
      </c>
      <c r="AI460" s="94">
        <f t="shared" si="218"/>
        <v>0.45358381338879178</v>
      </c>
    </row>
    <row r="461" spans="2:35">
      <c r="B461" s="39">
        <f t="shared" si="219"/>
        <v>433</v>
      </c>
      <c r="C461" s="42">
        <f t="shared" si="220"/>
        <v>2.8762829736180984</v>
      </c>
      <c r="D461" s="10">
        <f t="shared" si="221"/>
        <v>2.6637170263815175</v>
      </c>
      <c r="E461" s="40">
        <f t="shared" si="222"/>
        <v>25.752565947236963</v>
      </c>
      <c r="F461" s="40">
        <f t="shared" si="223"/>
        <v>31.08</v>
      </c>
      <c r="G461" s="3">
        <f t="shared" si="224"/>
        <v>203.38973621105831</v>
      </c>
      <c r="H461" s="3">
        <f t="shared" si="225"/>
        <v>81.256230789298584</v>
      </c>
      <c r="I461">
        <f t="shared" si="210"/>
        <v>8.1256230789298584E-5</v>
      </c>
      <c r="J461" s="4">
        <f t="shared" si="226"/>
        <v>520.87186233658417</v>
      </c>
      <c r="K461" s="40">
        <f t="shared" si="227"/>
        <v>6.4102390336961435</v>
      </c>
      <c r="L461" s="40">
        <f t="shared" si="211"/>
        <v>0</v>
      </c>
      <c r="M461" s="10">
        <f t="shared" si="228"/>
        <v>5.0979023173969731</v>
      </c>
      <c r="N461" s="10">
        <f t="shared" si="207"/>
        <v>8.26</v>
      </c>
      <c r="O461" s="10">
        <f t="shared" si="208"/>
        <v>0.31900000000000001</v>
      </c>
      <c r="P461" s="10">
        <f t="shared" si="229"/>
        <v>13.887943431618915</v>
      </c>
      <c r="Q461" s="42">
        <f t="shared" si="230"/>
        <v>0.21074170094327757</v>
      </c>
      <c r="R461" s="4">
        <f t="shared" si="231"/>
        <v>48365.341805648983</v>
      </c>
      <c r="S461">
        <f t="shared" si="212"/>
        <v>4.8365341805648986E-5</v>
      </c>
      <c r="T461" s="41">
        <f t="shared" si="213"/>
        <v>1.3143903023623486E-4</v>
      </c>
      <c r="U461" s="42">
        <f t="shared" si="232"/>
        <v>8.6794024137327369E-2</v>
      </c>
      <c r="V461" s="42">
        <f t="shared" si="233"/>
        <v>0.45751636009410679</v>
      </c>
      <c r="W461" s="42">
        <f t="shared" si="234"/>
        <v>0.45358325894948887</v>
      </c>
      <c r="X461" s="42">
        <f t="shared" si="235"/>
        <v>3.9331011446179232E-3</v>
      </c>
      <c r="Y461" s="42">
        <f t="shared" si="209"/>
        <v>2.0315075001846403E-3</v>
      </c>
      <c r="Z461" s="10">
        <f t="shared" si="236"/>
        <v>15.455892336799957</v>
      </c>
      <c r="AA461">
        <f t="shared" si="214"/>
        <v>5097893.6707102573</v>
      </c>
      <c r="AB461" s="10">
        <f t="shared" si="215"/>
        <v>5.0978936707102571</v>
      </c>
      <c r="AC461" s="10">
        <f t="shared" si="216"/>
        <v>4.9968936707102571</v>
      </c>
      <c r="AD461" s="3">
        <f t="shared" si="217"/>
        <v>724.71264259757174</v>
      </c>
      <c r="AI461" s="94">
        <f t="shared" si="218"/>
        <v>0.45358325894948887</v>
      </c>
    </row>
    <row r="462" spans="2:35">
      <c r="B462" s="39">
        <f t="shared" si="219"/>
        <v>434</v>
      </c>
      <c r="C462" s="42">
        <f t="shared" si="220"/>
        <v>2.8829256594694104</v>
      </c>
      <c r="D462" s="10">
        <f t="shared" si="221"/>
        <v>2.6570743405302046</v>
      </c>
      <c r="E462" s="40">
        <f t="shared" si="222"/>
        <v>25.765851318939589</v>
      </c>
      <c r="F462" s="40">
        <f t="shared" si="223"/>
        <v>31.08</v>
      </c>
      <c r="G462" s="3">
        <f t="shared" si="224"/>
        <v>203.33659472424782</v>
      </c>
      <c r="H462" s="3">
        <f t="shared" si="225"/>
        <v>81.256230789298584</v>
      </c>
      <c r="I462">
        <f t="shared" si="210"/>
        <v>8.1256230789298584E-5</v>
      </c>
      <c r="J462" s="4">
        <f t="shared" si="226"/>
        <v>521.40942129455266</v>
      </c>
      <c r="K462" s="40">
        <f t="shared" si="227"/>
        <v>6.4168546366197194</v>
      </c>
      <c r="L462" s="40">
        <f t="shared" si="211"/>
        <v>0</v>
      </c>
      <c r="M462" s="10">
        <f t="shared" si="228"/>
        <v>5.0978936707102571</v>
      </c>
      <c r="N462" s="10">
        <f t="shared" si="207"/>
        <v>8.26</v>
      </c>
      <c r="O462" s="10">
        <f t="shared" si="208"/>
        <v>0.31900000000000001</v>
      </c>
      <c r="P462" s="10">
        <f t="shared" si="229"/>
        <v>13.887935917343876</v>
      </c>
      <c r="Q462" s="42">
        <f t="shared" si="230"/>
        <v>0.21122000714305031</v>
      </c>
      <c r="R462" s="4">
        <f t="shared" si="231"/>
        <v>48243.399544792905</v>
      </c>
      <c r="S462">
        <f t="shared" si="212"/>
        <v>4.8243399544792906E-5</v>
      </c>
      <c r="T462" s="41">
        <f t="shared" si="213"/>
        <v>1.3156097249709093E-4</v>
      </c>
      <c r="U462" s="42">
        <f t="shared" si="232"/>
        <v>8.6575192653108091E-2</v>
      </c>
      <c r="V462" s="42">
        <f t="shared" si="233"/>
        <v>0.45751337599900221</v>
      </c>
      <c r="W462" s="42">
        <f t="shared" si="234"/>
        <v>0.45358247406475627</v>
      </c>
      <c r="X462" s="42">
        <f t="shared" si="235"/>
        <v>3.930901934245945E-3</v>
      </c>
      <c r="Y462" s="42">
        <f t="shared" si="209"/>
        <v>2.0333876749504889E-3</v>
      </c>
      <c r="Z462" s="10">
        <f t="shared" si="236"/>
        <v>15.455857739235327</v>
      </c>
      <c r="AA462">
        <f t="shared" si="214"/>
        <v>5097882.4853093792</v>
      </c>
      <c r="AB462" s="10">
        <f t="shared" si="215"/>
        <v>5.0978824853093796</v>
      </c>
      <c r="AC462" s="10">
        <f t="shared" si="216"/>
        <v>4.9968824853093796</v>
      </c>
      <c r="AD462" s="3">
        <f t="shared" si="217"/>
        <v>724.71102034943863</v>
      </c>
      <c r="AI462" s="94">
        <f t="shared" si="218"/>
        <v>0.45358247406475627</v>
      </c>
    </row>
    <row r="463" spans="2:35">
      <c r="B463" s="39">
        <f t="shared" si="219"/>
        <v>435</v>
      </c>
      <c r="C463" s="42">
        <f t="shared" si="220"/>
        <v>2.8895683453207224</v>
      </c>
      <c r="D463" s="10">
        <f t="shared" si="221"/>
        <v>2.6504316546788917</v>
      </c>
      <c r="E463" s="40">
        <f t="shared" si="222"/>
        <v>25.779136690642215</v>
      </c>
      <c r="F463" s="40">
        <f t="shared" si="223"/>
        <v>31.08</v>
      </c>
      <c r="G463" s="3">
        <f t="shared" si="224"/>
        <v>203.28345323743733</v>
      </c>
      <c r="H463" s="3">
        <f t="shared" si="225"/>
        <v>81.256230789298584</v>
      </c>
      <c r="I463">
        <f t="shared" si="210"/>
        <v>8.1256230789298584E-5</v>
      </c>
      <c r="J463" s="4">
        <f t="shared" si="226"/>
        <v>521.94725749980273</v>
      </c>
      <c r="K463" s="40">
        <f t="shared" si="227"/>
        <v>6.4234736515558755</v>
      </c>
      <c r="L463" s="40">
        <f t="shared" si="211"/>
        <v>0</v>
      </c>
      <c r="M463" s="10">
        <f t="shared" si="228"/>
        <v>5.0978824853093796</v>
      </c>
      <c r="N463" s="10">
        <f t="shared" si="207"/>
        <v>8.26</v>
      </c>
      <c r="O463" s="10">
        <f t="shared" si="208"/>
        <v>0.31900000000000001</v>
      </c>
      <c r="P463" s="10">
        <f t="shared" si="229"/>
        <v>13.887926196824012</v>
      </c>
      <c r="Q463" s="42">
        <f t="shared" si="230"/>
        <v>0.21169831367760197</v>
      </c>
      <c r="R463" s="4">
        <f t="shared" si="231"/>
        <v>48121.458057516567</v>
      </c>
      <c r="S463">
        <f t="shared" si="212"/>
        <v>4.8121458057516568E-5</v>
      </c>
      <c r="T463" s="41">
        <f t="shared" si="213"/>
        <v>1.3168291398436727E-4</v>
      </c>
      <c r="U463" s="42">
        <f t="shared" si="232"/>
        <v>8.6356362557116345E-2</v>
      </c>
      <c r="V463" s="42">
        <f t="shared" si="233"/>
        <v>0.45751015339329099</v>
      </c>
      <c r="W463" s="42">
        <f t="shared" si="234"/>
        <v>0.453581458733605</v>
      </c>
      <c r="X463" s="42">
        <f t="shared" si="235"/>
        <v>3.9286946596859829E-3</v>
      </c>
      <c r="Y463" s="42">
        <f t="shared" si="209"/>
        <v>2.035266795278475E-3</v>
      </c>
      <c r="Z463" s="10">
        <f t="shared" si="236"/>
        <v>15.455815289142915</v>
      </c>
      <c r="AA463">
        <f t="shared" si="214"/>
        <v>5097868.761184399</v>
      </c>
      <c r="AB463" s="10">
        <f t="shared" si="215"/>
        <v>5.0978687611843991</v>
      </c>
      <c r="AC463" s="10">
        <f t="shared" si="216"/>
        <v>4.9968687611843992</v>
      </c>
      <c r="AD463" s="3">
        <f t="shared" si="217"/>
        <v>724.7090299034661</v>
      </c>
      <c r="AI463" s="94">
        <f t="shared" si="218"/>
        <v>0.453581458733605</v>
      </c>
    </row>
    <row r="464" spans="2:35">
      <c r="B464" s="39">
        <f t="shared" si="219"/>
        <v>436</v>
      </c>
      <c r="C464" s="42">
        <f t="shared" si="220"/>
        <v>2.8962110311720344</v>
      </c>
      <c r="D464" s="10">
        <f t="shared" si="221"/>
        <v>2.6437889688275789</v>
      </c>
      <c r="E464" s="40">
        <f t="shared" si="222"/>
        <v>25.792422062344841</v>
      </c>
      <c r="F464" s="40">
        <f t="shared" si="223"/>
        <v>31.08</v>
      </c>
      <c r="G464" s="3">
        <f t="shared" si="224"/>
        <v>203.23031175062684</v>
      </c>
      <c r="H464" s="3">
        <f t="shared" si="225"/>
        <v>81.256230789298584</v>
      </c>
      <c r="I464">
        <f t="shared" si="210"/>
        <v>8.1256230789298584E-5</v>
      </c>
      <c r="J464" s="4">
        <f t="shared" si="226"/>
        <v>522.48537095233439</v>
      </c>
      <c r="K464" s="40">
        <f t="shared" si="227"/>
        <v>6.4300960785046106</v>
      </c>
      <c r="L464" s="40">
        <f t="shared" si="211"/>
        <v>0</v>
      </c>
      <c r="M464" s="10">
        <f t="shared" si="228"/>
        <v>5.0978687611843991</v>
      </c>
      <c r="N464" s="10">
        <f t="shared" si="207"/>
        <v>8.26</v>
      </c>
      <c r="O464" s="10">
        <f t="shared" si="208"/>
        <v>0.31900000000000001</v>
      </c>
      <c r="P464" s="10">
        <f t="shared" si="229"/>
        <v>13.887914270040799</v>
      </c>
      <c r="Q464" s="42">
        <f t="shared" si="230"/>
        <v>0.21217662062291787</v>
      </c>
      <c r="R464" s="4">
        <f t="shared" si="231"/>
        <v>47999.51738801998</v>
      </c>
      <c r="S464">
        <f t="shared" si="212"/>
        <v>4.7999517388019979E-5</v>
      </c>
      <c r="T464" s="41">
        <f t="shared" si="213"/>
        <v>1.3180485465386386E-4</v>
      </c>
      <c r="U464" s="42">
        <f t="shared" si="232"/>
        <v>8.6137533928671253E-2</v>
      </c>
      <c r="V464" s="42">
        <f t="shared" si="233"/>
        <v>0.45750669227804919</v>
      </c>
      <c r="W464" s="42">
        <f t="shared" si="234"/>
        <v>0.45358021295513273</v>
      </c>
      <c r="X464" s="42">
        <f t="shared" si="235"/>
        <v>3.9264793229164541E-3</v>
      </c>
      <c r="Y464" s="42">
        <f t="shared" si="209"/>
        <v>2.0371448576092651E-3</v>
      </c>
      <c r="Z464" s="10">
        <f t="shared" si="236"/>
        <v>15.455764986495103</v>
      </c>
      <c r="AA464">
        <f t="shared" si="214"/>
        <v>5097852.498326391</v>
      </c>
      <c r="AB464" s="10">
        <f t="shared" si="215"/>
        <v>5.0978524983263913</v>
      </c>
      <c r="AC464" s="10">
        <f t="shared" si="216"/>
        <v>4.9968524983263913</v>
      </c>
      <c r="AD464" s="3">
        <f t="shared" si="217"/>
        <v>724.70667125835985</v>
      </c>
      <c r="AI464" s="94">
        <f t="shared" si="218"/>
        <v>0.45358021295513273</v>
      </c>
    </row>
    <row r="465" spans="2:35">
      <c r="B465" s="39">
        <f t="shared" si="219"/>
        <v>437</v>
      </c>
      <c r="C465" s="42">
        <f t="shared" si="220"/>
        <v>2.9028537170233464</v>
      </c>
      <c r="D465" s="10">
        <f t="shared" si="221"/>
        <v>2.637146282976266</v>
      </c>
      <c r="E465" s="40">
        <f t="shared" si="222"/>
        <v>25.805707434047466</v>
      </c>
      <c r="F465" s="40">
        <f t="shared" si="223"/>
        <v>31.08</v>
      </c>
      <c r="G465" s="3">
        <f t="shared" si="224"/>
        <v>203.17717026381635</v>
      </c>
      <c r="H465" s="3">
        <f t="shared" si="225"/>
        <v>81.256230789298584</v>
      </c>
      <c r="I465">
        <f t="shared" si="210"/>
        <v>8.1256230789298584E-5</v>
      </c>
      <c r="J465" s="4">
        <f t="shared" si="226"/>
        <v>523.02376165214764</v>
      </c>
      <c r="K465" s="40">
        <f t="shared" si="227"/>
        <v>6.436721917465924</v>
      </c>
      <c r="L465" s="40">
        <f t="shared" si="211"/>
        <v>0</v>
      </c>
      <c r="M465" s="10">
        <f t="shared" si="228"/>
        <v>5.0978524983263913</v>
      </c>
      <c r="N465" s="10">
        <f t="shared" si="207"/>
        <v>8.26</v>
      </c>
      <c r="O465" s="10">
        <f t="shared" si="208"/>
        <v>0.31900000000000001</v>
      </c>
      <c r="P465" s="10">
        <f t="shared" si="229"/>
        <v>13.887900136974345</v>
      </c>
      <c r="Q465" s="42">
        <f t="shared" si="230"/>
        <v>0.21265492805498434</v>
      </c>
      <c r="R465" s="4">
        <f t="shared" si="231"/>
        <v>47877.577580503152</v>
      </c>
      <c r="S465">
        <f t="shared" si="212"/>
        <v>4.7877577580503149E-5</v>
      </c>
      <c r="T465" s="41">
        <f t="shared" si="213"/>
        <v>1.3192679446138067E-4</v>
      </c>
      <c r="U465" s="42">
        <f t="shared" si="232"/>
        <v>8.5918706847091922E-2</v>
      </c>
      <c r="V465" s="42">
        <f t="shared" si="233"/>
        <v>0.45750299265456101</v>
      </c>
      <c r="W465" s="42">
        <f t="shared" si="234"/>
        <v>0.45357873672852939</v>
      </c>
      <c r="X465" s="42">
        <f t="shared" si="235"/>
        <v>3.9242559260316279E-3</v>
      </c>
      <c r="Y465" s="42">
        <f t="shared" si="209"/>
        <v>2.0390218583840169E-3</v>
      </c>
      <c r="Z465" s="10">
        <f t="shared" si="236"/>
        <v>15.455706831267744</v>
      </c>
      <c r="AA465">
        <f t="shared" si="214"/>
        <v>5097833.6967275459</v>
      </c>
      <c r="AB465" s="10">
        <f t="shared" si="215"/>
        <v>5.0978336967275455</v>
      </c>
      <c r="AC465" s="10">
        <f t="shared" si="216"/>
        <v>4.9968336967275455</v>
      </c>
      <c r="AD465" s="3">
        <f t="shared" si="217"/>
        <v>724.70394441298708</v>
      </c>
      <c r="AI465" s="94">
        <f t="shared" si="218"/>
        <v>0.45357873672852939</v>
      </c>
    </row>
    <row r="466" spans="2:35">
      <c r="B466" s="39">
        <f t="shared" si="219"/>
        <v>438</v>
      </c>
      <c r="C466" s="42">
        <f t="shared" si="220"/>
        <v>2.9094964028746584</v>
      </c>
      <c r="D466" s="10">
        <f t="shared" si="221"/>
        <v>2.6305035971249531</v>
      </c>
      <c r="E466" s="40">
        <f t="shared" si="222"/>
        <v>25.818992805750092</v>
      </c>
      <c r="F466" s="40">
        <f t="shared" si="223"/>
        <v>31.08</v>
      </c>
      <c r="G466" s="3">
        <f t="shared" si="224"/>
        <v>203.12402877700586</v>
      </c>
      <c r="H466" s="3">
        <f t="shared" si="225"/>
        <v>81.256230789298584</v>
      </c>
      <c r="I466">
        <f t="shared" si="210"/>
        <v>8.1256230789298584E-5</v>
      </c>
      <c r="J466" s="4">
        <f t="shared" si="226"/>
        <v>523.56242959924236</v>
      </c>
      <c r="K466" s="40">
        <f t="shared" si="227"/>
        <v>6.4433511684398157</v>
      </c>
      <c r="L466" s="40">
        <f t="shared" si="211"/>
        <v>0</v>
      </c>
      <c r="M466" s="10">
        <f t="shared" si="228"/>
        <v>5.0978336967275455</v>
      </c>
      <c r="N466" s="10">
        <f t="shared" si="207"/>
        <v>8.26</v>
      </c>
      <c r="O466" s="10">
        <f t="shared" si="208"/>
        <v>0.31900000000000001</v>
      </c>
      <c r="P466" s="10">
        <f t="shared" si="229"/>
        <v>13.887883797603482</v>
      </c>
      <c r="Q466" s="42">
        <f t="shared" si="230"/>
        <v>0.21313323604978901</v>
      </c>
      <c r="R466" s="4">
        <f t="shared" si="231"/>
        <v>47755.63867916607</v>
      </c>
      <c r="S466">
        <f t="shared" si="212"/>
        <v>4.7755638679166072E-5</v>
      </c>
      <c r="T466" s="41">
        <f t="shared" si="213"/>
        <v>1.3204873336271776E-4</v>
      </c>
      <c r="U466" s="42">
        <f t="shared" si="232"/>
        <v>8.5699881391697458E-2</v>
      </c>
      <c r="V466" s="42">
        <f t="shared" si="233"/>
        <v>0.45749905452412309</v>
      </c>
      <c r="W466" s="42">
        <f t="shared" si="234"/>
        <v>0.45357703005308614</v>
      </c>
      <c r="X466" s="42">
        <f t="shared" si="235"/>
        <v>3.9220244710369556E-3</v>
      </c>
      <c r="Y466" s="42">
        <f t="shared" si="209"/>
        <v>2.0408977940443336E-3</v>
      </c>
      <c r="Z466" s="10">
        <f t="shared" si="236"/>
        <v>15.455640823439769</v>
      </c>
      <c r="AA466">
        <f t="shared" si="214"/>
        <v>5097812.3563810531</v>
      </c>
      <c r="AB466" s="10">
        <f t="shared" si="215"/>
        <v>5.0978123563810529</v>
      </c>
      <c r="AC466" s="10">
        <f t="shared" si="216"/>
        <v>4.9968123563810529</v>
      </c>
      <c r="AD466" s="3">
        <f t="shared" si="217"/>
        <v>724.7008493663601</v>
      </c>
      <c r="AI466" s="94">
        <f t="shared" si="218"/>
        <v>0.45357703005308614</v>
      </c>
    </row>
    <row r="467" spans="2:35">
      <c r="B467" s="39">
        <f t="shared" si="219"/>
        <v>439</v>
      </c>
      <c r="C467" s="42">
        <f t="shared" si="220"/>
        <v>2.9161390887259704</v>
      </c>
      <c r="D467" s="10">
        <f t="shared" si="221"/>
        <v>2.6238609112736402</v>
      </c>
      <c r="E467" s="40">
        <f t="shared" si="222"/>
        <v>25.832278177452718</v>
      </c>
      <c r="F467" s="40">
        <f t="shared" si="223"/>
        <v>31.08</v>
      </c>
      <c r="G467" s="3">
        <f t="shared" si="224"/>
        <v>203.07088729019537</v>
      </c>
      <c r="H467" s="3">
        <f t="shared" si="225"/>
        <v>81.256230789298584</v>
      </c>
      <c r="I467">
        <f t="shared" si="210"/>
        <v>8.1256230789298584E-5</v>
      </c>
      <c r="J467" s="4">
        <f t="shared" si="226"/>
        <v>524.10137479361867</v>
      </c>
      <c r="K467" s="40">
        <f t="shared" si="227"/>
        <v>6.4499838314262865</v>
      </c>
      <c r="L467" s="40">
        <f t="shared" si="211"/>
        <v>0</v>
      </c>
      <c r="M467" s="10">
        <f t="shared" si="228"/>
        <v>5.0978123563810529</v>
      </c>
      <c r="N467" s="10">
        <f t="shared" si="207"/>
        <v>8.26</v>
      </c>
      <c r="O467" s="10">
        <f t="shared" si="208"/>
        <v>0.31900000000000001</v>
      </c>
      <c r="P467" s="10">
        <f t="shared" si="229"/>
        <v>13.887865251905668</v>
      </c>
      <c r="Q467" s="42">
        <f t="shared" si="230"/>
        <v>0.21361154468332075</v>
      </c>
      <c r="R467" s="4">
        <f t="shared" si="231"/>
        <v>47633.700728208722</v>
      </c>
      <c r="S467">
        <f t="shared" si="212"/>
        <v>4.7633700728208724E-5</v>
      </c>
      <c r="T467" s="41">
        <f t="shared" si="213"/>
        <v>1.3217067131367512E-4</v>
      </c>
      <c r="U467" s="42">
        <f t="shared" si="232"/>
        <v>8.5481057641806954E-2</v>
      </c>
      <c r="V467" s="42">
        <f t="shared" si="233"/>
        <v>0.45749487788826199</v>
      </c>
      <c r="W467" s="42">
        <f t="shared" si="234"/>
        <v>0.45357509292818471</v>
      </c>
      <c r="X467" s="42">
        <f t="shared" si="235"/>
        <v>3.9197849600772772E-3</v>
      </c>
      <c r="Y467" s="42">
        <f t="shared" si="209"/>
        <v>2.0427726610323265E-3</v>
      </c>
      <c r="Z467" s="10">
        <f t="shared" si="236"/>
        <v>15.455566962993625</v>
      </c>
      <c r="AA467">
        <f t="shared" si="214"/>
        <v>5097788.477281237</v>
      </c>
      <c r="AB467" s="10">
        <f t="shared" si="215"/>
        <v>5.0977884772812372</v>
      </c>
      <c r="AC467" s="10">
        <f t="shared" si="216"/>
        <v>4.9967884772812372</v>
      </c>
      <c r="AD467" s="3">
        <f t="shared" si="217"/>
        <v>724.69738611765581</v>
      </c>
      <c r="AI467" s="94">
        <f t="shared" si="218"/>
        <v>0.45357509292818471</v>
      </c>
    </row>
    <row r="468" spans="2:35">
      <c r="B468" s="39">
        <f t="shared" si="219"/>
        <v>440</v>
      </c>
      <c r="C468" s="42">
        <f t="shared" si="220"/>
        <v>2.9227817745772824</v>
      </c>
      <c r="D468" s="10">
        <f t="shared" si="221"/>
        <v>2.6172182254223273</v>
      </c>
      <c r="E468" s="40">
        <f t="shared" si="222"/>
        <v>25.845563549155344</v>
      </c>
      <c r="F468" s="40">
        <f t="shared" si="223"/>
        <v>31.08</v>
      </c>
      <c r="G468" s="3">
        <f t="shared" si="224"/>
        <v>203.01774580338488</v>
      </c>
      <c r="H468" s="3">
        <f t="shared" si="225"/>
        <v>81.256230789298584</v>
      </c>
      <c r="I468">
        <f t="shared" si="210"/>
        <v>8.1256230789298584E-5</v>
      </c>
      <c r="J468" s="4">
        <f t="shared" si="226"/>
        <v>524.64059723527646</v>
      </c>
      <c r="K468" s="40">
        <f t="shared" si="227"/>
        <v>6.4566199064253347</v>
      </c>
      <c r="L468" s="40">
        <f t="shared" si="211"/>
        <v>0</v>
      </c>
      <c r="M468" s="10">
        <f t="shared" si="228"/>
        <v>5.0977884772812372</v>
      </c>
      <c r="N468" s="10">
        <f t="shared" si="207"/>
        <v>8.26</v>
      </c>
      <c r="O468" s="10">
        <f t="shared" si="208"/>
        <v>0.31900000000000001</v>
      </c>
      <c r="P468" s="10">
        <f t="shared" si="229"/>
        <v>13.887844499857103</v>
      </c>
      <c r="Q468" s="42">
        <f t="shared" si="230"/>
        <v>0.21408985403156988</v>
      </c>
      <c r="R468" s="4">
        <f t="shared" si="231"/>
        <v>47511.763771831145</v>
      </c>
      <c r="S468">
        <f t="shared" si="212"/>
        <v>4.7511763771831147E-5</v>
      </c>
      <c r="T468" s="41">
        <f t="shared" si="213"/>
        <v>1.3229260827005268E-4</v>
      </c>
      <c r="U468" s="42">
        <f t="shared" si="232"/>
        <v>8.5262235676739573E-2</v>
      </c>
      <c r="V468" s="42">
        <f t="shared" si="233"/>
        <v>0.45749046274839833</v>
      </c>
      <c r="W468" s="42">
        <f t="shared" si="234"/>
        <v>0.45357292535330979</v>
      </c>
      <c r="X468" s="42">
        <f t="shared" si="235"/>
        <v>3.9175373950885439E-3</v>
      </c>
      <c r="Y468" s="42">
        <f t="shared" si="209"/>
        <v>2.0446464557905128E-3</v>
      </c>
      <c r="Z468" s="10">
        <f t="shared" si="236"/>
        <v>15.455485249914474</v>
      </c>
      <c r="AA468">
        <f t="shared" si="214"/>
        <v>5097762.0594233014</v>
      </c>
      <c r="AB468" s="10">
        <f t="shared" si="215"/>
        <v>5.0977620594233013</v>
      </c>
      <c r="AC468" s="10">
        <f t="shared" si="216"/>
        <v>4.9967620594233013</v>
      </c>
      <c r="AD468" s="3">
        <f t="shared" si="217"/>
        <v>724.69355466617856</v>
      </c>
      <c r="AI468" s="94">
        <f t="shared" si="218"/>
        <v>0.45357292535330979</v>
      </c>
    </row>
    <row r="469" spans="2:35">
      <c r="B469" s="39">
        <f t="shared" si="219"/>
        <v>441</v>
      </c>
      <c r="C469" s="42">
        <f t="shared" si="220"/>
        <v>2.9294244604285944</v>
      </c>
      <c r="D469" s="10">
        <f t="shared" si="221"/>
        <v>2.6105755395710144</v>
      </c>
      <c r="E469" s="40">
        <f t="shared" si="222"/>
        <v>25.858848920857969</v>
      </c>
      <c r="F469" s="40">
        <f t="shared" si="223"/>
        <v>31.08</v>
      </c>
      <c r="G469" s="3">
        <f t="shared" si="224"/>
        <v>202.96460431657439</v>
      </c>
      <c r="H469" s="3">
        <f t="shared" si="225"/>
        <v>81.256230789298584</v>
      </c>
      <c r="I469">
        <f t="shared" si="210"/>
        <v>8.1256230789298584E-5</v>
      </c>
      <c r="J469" s="4">
        <f t="shared" si="226"/>
        <v>525.18009692421595</v>
      </c>
      <c r="K469" s="40">
        <f t="shared" si="227"/>
        <v>6.4632593934369647</v>
      </c>
      <c r="L469" s="40">
        <f t="shared" si="211"/>
        <v>0</v>
      </c>
      <c r="M469" s="10">
        <f t="shared" si="228"/>
        <v>5.0977620594233013</v>
      </c>
      <c r="N469" s="10">
        <f t="shared" si="207"/>
        <v>8.26</v>
      </c>
      <c r="O469" s="10">
        <f t="shared" si="208"/>
        <v>0.31900000000000001</v>
      </c>
      <c r="P469" s="10">
        <f t="shared" si="229"/>
        <v>13.887821541432503</v>
      </c>
      <c r="Q469" s="42">
        <f t="shared" si="230"/>
        <v>0.21456816417052829</v>
      </c>
      <c r="R469" s="4">
        <f t="shared" si="231"/>
        <v>47389.827854233292</v>
      </c>
      <c r="S469">
        <f t="shared" si="212"/>
        <v>4.7389827854233295E-5</v>
      </c>
      <c r="T469" s="41">
        <f t="shared" si="213"/>
        <v>1.3241454418765053E-4</v>
      </c>
      <c r="U469" s="42">
        <f t="shared" si="232"/>
        <v>8.5043415575814352E-2</v>
      </c>
      <c r="V469" s="42">
        <f t="shared" si="233"/>
        <v>0.45748580910648012</v>
      </c>
      <c r="W469" s="42">
        <f t="shared" si="234"/>
        <v>0.45357052732802611</v>
      </c>
      <c r="X469" s="42">
        <f t="shared" si="235"/>
        <v>3.9152817784540161E-3</v>
      </c>
      <c r="Y469" s="42">
        <f t="shared" si="209"/>
        <v>2.0465191747620266E-3</v>
      </c>
      <c r="Z469" s="10">
        <f t="shared" si="236"/>
        <v>15.455395684191711</v>
      </c>
      <c r="AA469">
        <f t="shared" si="214"/>
        <v>5097733.102803817</v>
      </c>
      <c r="AB469" s="10">
        <f t="shared" si="215"/>
        <v>5.0977331028038169</v>
      </c>
      <c r="AC469" s="10">
        <f t="shared" si="216"/>
        <v>4.9967331028038169</v>
      </c>
      <c r="AD469" s="3">
        <f t="shared" si="217"/>
        <v>724.68935501143108</v>
      </c>
      <c r="AI469" s="94">
        <f t="shared" si="218"/>
        <v>0.45357052732802611</v>
      </c>
    </row>
    <row r="470" spans="2:35">
      <c r="B470" s="39">
        <f t="shared" si="219"/>
        <v>442</v>
      </c>
      <c r="C470" s="42">
        <f t="shared" si="220"/>
        <v>2.9360671462799064</v>
      </c>
      <c r="D470" s="10">
        <f t="shared" si="221"/>
        <v>2.6039328537197015</v>
      </c>
      <c r="E470" s="40">
        <f t="shared" si="222"/>
        <v>25.872134292560595</v>
      </c>
      <c r="F470" s="40">
        <f t="shared" si="223"/>
        <v>31.08</v>
      </c>
      <c r="G470" s="3">
        <f t="shared" si="224"/>
        <v>202.91146282976391</v>
      </c>
      <c r="H470" s="3">
        <f t="shared" si="225"/>
        <v>81.256230789298584</v>
      </c>
      <c r="I470">
        <f t="shared" si="210"/>
        <v>8.1256230789298584E-5</v>
      </c>
      <c r="J470" s="4">
        <f t="shared" si="226"/>
        <v>525.71987386043691</v>
      </c>
      <c r="K470" s="40">
        <f t="shared" si="227"/>
        <v>6.4699022924611711</v>
      </c>
      <c r="L470" s="40">
        <f t="shared" si="211"/>
        <v>0</v>
      </c>
      <c r="M470" s="10">
        <f t="shared" si="228"/>
        <v>5.0977331028038169</v>
      </c>
      <c r="N470" s="10">
        <f t="shared" si="207"/>
        <v>8.26</v>
      </c>
      <c r="O470" s="10">
        <f t="shared" si="208"/>
        <v>0.31900000000000001</v>
      </c>
      <c r="P470" s="10">
        <f t="shared" si="229"/>
        <v>13.887796376605527</v>
      </c>
      <c r="Q470" s="42">
        <f t="shared" si="230"/>
        <v>0.21504647517618949</v>
      </c>
      <c r="R470" s="4">
        <f t="shared" si="231"/>
        <v>47267.893019615178</v>
      </c>
      <c r="S470">
        <f t="shared" si="212"/>
        <v>4.7267893019615178E-5</v>
      </c>
      <c r="T470" s="41">
        <f t="shared" si="213"/>
        <v>1.3253647902226865E-4</v>
      </c>
      <c r="U470" s="42">
        <f t="shared" si="232"/>
        <v>8.4824597418350411E-2</v>
      </c>
      <c r="V470" s="42">
        <f t="shared" si="233"/>
        <v>0.45748091696416776</v>
      </c>
      <c r="W470" s="42">
        <f t="shared" si="234"/>
        <v>0.45356789885202242</v>
      </c>
      <c r="X470" s="42">
        <f t="shared" si="235"/>
        <v>3.9130181121453389E-3</v>
      </c>
      <c r="Y470" s="42">
        <f t="shared" si="209"/>
        <v>2.0483908143904173E-3</v>
      </c>
      <c r="Z470" s="10">
        <f t="shared" si="236"/>
        <v>15.455298265817433</v>
      </c>
      <c r="AA470">
        <f t="shared" si="214"/>
        <v>5097701.6074202294</v>
      </c>
      <c r="AB470" s="10">
        <f t="shared" si="215"/>
        <v>5.0977016074202295</v>
      </c>
      <c r="AC470" s="10">
        <f t="shared" si="216"/>
        <v>4.9967016074202295</v>
      </c>
      <c r="AD470" s="3">
        <f t="shared" si="217"/>
        <v>724.68478715304263</v>
      </c>
      <c r="AI470" s="94">
        <f t="shared" si="218"/>
        <v>0.45356789885202242</v>
      </c>
    </row>
    <row r="471" spans="2:35">
      <c r="B471" s="39">
        <f t="shared" si="219"/>
        <v>443</v>
      </c>
      <c r="C471" s="42">
        <f t="shared" si="220"/>
        <v>2.9427098321312184</v>
      </c>
      <c r="D471" s="10">
        <f t="shared" si="221"/>
        <v>2.5972901678683886</v>
      </c>
      <c r="E471" s="40">
        <f t="shared" si="222"/>
        <v>25.885419664263221</v>
      </c>
      <c r="F471" s="40">
        <f t="shared" si="223"/>
        <v>31.08</v>
      </c>
      <c r="G471" s="3">
        <f t="shared" si="224"/>
        <v>202.85832134295342</v>
      </c>
      <c r="H471" s="3">
        <f t="shared" si="225"/>
        <v>81.256230789298584</v>
      </c>
      <c r="I471">
        <f t="shared" si="210"/>
        <v>8.1256230789298584E-5</v>
      </c>
      <c r="J471" s="4">
        <f t="shared" si="226"/>
        <v>526.25992804393945</v>
      </c>
      <c r="K471" s="40">
        <f t="shared" si="227"/>
        <v>6.4765486034979576</v>
      </c>
      <c r="L471" s="40">
        <f t="shared" si="211"/>
        <v>0</v>
      </c>
      <c r="M471" s="10">
        <f t="shared" si="228"/>
        <v>5.0977016074202295</v>
      </c>
      <c r="N471" s="10">
        <f t="shared" si="207"/>
        <v>8.26</v>
      </c>
      <c r="O471" s="10">
        <f t="shared" si="208"/>
        <v>0.31900000000000001</v>
      </c>
      <c r="P471" s="10">
        <f t="shared" si="229"/>
        <v>13.887769005348353</v>
      </c>
      <c r="Q471" s="42">
        <f t="shared" si="230"/>
        <v>0.21552478712454878</v>
      </c>
      <c r="R471" s="4">
        <f t="shared" si="231"/>
        <v>47145.959312176805</v>
      </c>
      <c r="S471">
        <f t="shared" si="212"/>
        <v>4.7145959312176805E-5</v>
      </c>
      <c r="T471" s="41">
        <f t="shared" si="213"/>
        <v>1.3265841272970704E-4</v>
      </c>
      <c r="U471" s="42">
        <f t="shared" si="232"/>
        <v>8.4605781283666873E-2</v>
      </c>
      <c r="V471" s="42">
        <f t="shared" si="233"/>
        <v>0.45747578632339064</v>
      </c>
      <c r="W471" s="42">
        <f t="shared" si="234"/>
        <v>0.45356503992506686</v>
      </c>
      <c r="X471" s="42">
        <f t="shared" si="235"/>
        <v>3.9107463983237833E-3</v>
      </c>
      <c r="Y471" s="42">
        <f t="shared" si="209"/>
        <v>2.0502613711197385E-3</v>
      </c>
      <c r="Z471" s="10">
        <f t="shared" si="236"/>
        <v>15.455192994787058</v>
      </c>
      <c r="AA471">
        <f t="shared" si="214"/>
        <v>5097667.5732710557</v>
      </c>
      <c r="AB471" s="10">
        <f t="shared" si="215"/>
        <v>5.0976675732710559</v>
      </c>
      <c r="AC471" s="10">
        <f t="shared" si="216"/>
        <v>4.9966675732710559</v>
      </c>
      <c r="AD471" s="3">
        <f t="shared" si="217"/>
        <v>724.67985109079848</v>
      </c>
      <c r="AI471" s="94">
        <f t="shared" si="218"/>
        <v>0.45356503992506686</v>
      </c>
    </row>
    <row r="472" spans="2:35">
      <c r="B472" s="39">
        <f t="shared" si="219"/>
        <v>444</v>
      </c>
      <c r="C472" s="42">
        <f t="shared" si="220"/>
        <v>2.9493525179825304</v>
      </c>
      <c r="D472" s="10">
        <f t="shared" si="221"/>
        <v>2.5906474820170757</v>
      </c>
      <c r="E472" s="40">
        <f t="shared" si="222"/>
        <v>25.898705035965847</v>
      </c>
      <c r="F472" s="40">
        <f t="shared" si="223"/>
        <v>31.08</v>
      </c>
      <c r="G472" s="3">
        <f t="shared" si="224"/>
        <v>202.80517985614293</v>
      </c>
      <c r="H472" s="3">
        <f t="shared" si="225"/>
        <v>81.256230789298584</v>
      </c>
      <c r="I472">
        <f t="shared" si="210"/>
        <v>8.1256230789298584E-5</v>
      </c>
      <c r="J472" s="4">
        <f t="shared" si="226"/>
        <v>526.80025947472359</v>
      </c>
      <c r="K472" s="40">
        <f t="shared" si="227"/>
        <v>6.4831983265473223</v>
      </c>
      <c r="L472" s="40">
        <f t="shared" si="211"/>
        <v>0</v>
      </c>
      <c r="M472" s="10">
        <f t="shared" si="228"/>
        <v>5.0976675732710559</v>
      </c>
      <c r="N472" s="10">
        <f t="shared" si="207"/>
        <v>8.26</v>
      </c>
      <c r="O472" s="10">
        <f t="shared" si="208"/>
        <v>0.31900000000000001</v>
      </c>
      <c r="P472" s="10">
        <f t="shared" si="229"/>
        <v>13.887739427631841</v>
      </c>
      <c r="Q472" s="42">
        <f t="shared" si="230"/>
        <v>0.21600310009160339</v>
      </c>
      <c r="R472" s="4">
        <f t="shared" si="231"/>
        <v>47024.026776118168</v>
      </c>
      <c r="S472">
        <f t="shared" si="212"/>
        <v>4.702402677611817E-5</v>
      </c>
      <c r="T472" s="41">
        <f t="shared" si="213"/>
        <v>1.3278034526576567E-4</v>
      </c>
      <c r="U472" s="42">
        <f t="shared" si="232"/>
        <v>8.4386967251082856E-2</v>
      </c>
      <c r="V472" s="42">
        <f t="shared" si="233"/>
        <v>0.45747041718614617</v>
      </c>
      <c r="W472" s="42">
        <f t="shared" si="234"/>
        <v>0.45356195054702475</v>
      </c>
      <c r="X472" s="42">
        <f t="shared" si="235"/>
        <v>3.9084666391214218E-3</v>
      </c>
      <c r="Y472" s="42">
        <f t="shared" si="209"/>
        <v>2.0521308413945305E-3</v>
      </c>
      <c r="Z472" s="10">
        <f t="shared" si="236"/>
        <v>15.455079871099151</v>
      </c>
      <c r="AA472">
        <f t="shared" si="214"/>
        <v>5097631.0003558351</v>
      </c>
      <c r="AB472" s="10">
        <f t="shared" si="215"/>
        <v>5.0976310003558352</v>
      </c>
      <c r="AC472" s="10">
        <f t="shared" si="216"/>
        <v>4.9966310003558352</v>
      </c>
      <c r="AD472" s="3">
        <f t="shared" si="217"/>
        <v>724.67454682463165</v>
      </c>
      <c r="AI472" s="94">
        <f t="shared" si="218"/>
        <v>0.45356195054702475</v>
      </c>
    </row>
    <row r="473" spans="2:35">
      <c r="B473" s="39">
        <f t="shared" si="219"/>
        <v>445</v>
      </c>
      <c r="C473" s="42">
        <f t="shared" si="220"/>
        <v>2.9559952038338424</v>
      </c>
      <c r="D473" s="10">
        <f t="shared" si="221"/>
        <v>2.5840047961657628</v>
      </c>
      <c r="E473" s="40">
        <f t="shared" si="222"/>
        <v>25.911990407668473</v>
      </c>
      <c r="F473" s="40">
        <f t="shared" si="223"/>
        <v>31.08</v>
      </c>
      <c r="G473" s="3">
        <f t="shared" si="224"/>
        <v>202.75203836933244</v>
      </c>
      <c r="H473" s="3">
        <f t="shared" si="225"/>
        <v>81.256230789298584</v>
      </c>
      <c r="I473">
        <f t="shared" si="210"/>
        <v>8.1256230789298584E-5</v>
      </c>
      <c r="J473" s="4">
        <f t="shared" si="226"/>
        <v>527.34086815278931</v>
      </c>
      <c r="K473" s="40">
        <f t="shared" si="227"/>
        <v>6.4898514616092671</v>
      </c>
      <c r="L473" s="40">
        <f t="shared" si="211"/>
        <v>0</v>
      </c>
      <c r="M473" s="10">
        <f t="shared" si="228"/>
        <v>5.0976310003558352</v>
      </c>
      <c r="N473" s="10">
        <f t="shared" si="207"/>
        <v>8.26</v>
      </c>
      <c r="O473" s="10">
        <f t="shared" si="208"/>
        <v>0.31900000000000001</v>
      </c>
      <c r="P473" s="10">
        <f t="shared" si="229"/>
        <v>13.887707643425493</v>
      </c>
      <c r="Q473" s="42">
        <f t="shared" si="230"/>
        <v>0.21648141415335259</v>
      </c>
      <c r="R473" s="4">
        <f t="shared" si="231"/>
        <v>46902.095455639275</v>
      </c>
      <c r="S473">
        <f t="shared" si="212"/>
        <v>4.6902095455639276E-5</v>
      </c>
      <c r="T473" s="41">
        <f t="shared" si="213"/>
        <v>1.3290227658624456E-4</v>
      </c>
      <c r="U473" s="42">
        <f t="shared" si="232"/>
        <v>8.4168155399917455E-2</v>
      </c>
      <c r="V473" s="42">
        <f t="shared" si="233"/>
        <v>0.45746480955463759</v>
      </c>
      <c r="W473" s="42">
        <f t="shared" si="234"/>
        <v>0.45355863071785441</v>
      </c>
      <c r="X473" s="42">
        <f t="shared" si="235"/>
        <v>3.9061788367831807E-3</v>
      </c>
      <c r="Y473" s="42">
        <f t="shared" si="209"/>
        <v>2.0539992216598709E-3</v>
      </c>
      <c r="Z473" s="10">
        <f t="shared" si="236"/>
        <v>15.454958894755762</v>
      </c>
      <c r="AA473">
        <f t="shared" si="214"/>
        <v>5097591.8886752268</v>
      </c>
      <c r="AB473" s="10">
        <f t="shared" si="215"/>
        <v>5.0975918886752272</v>
      </c>
      <c r="AC473" s="10">
        <f t="shared" si="216"/>
        <v>4.9965918886752272</v>
      </c>
      <c r="AD473" s="3">
        <f t="shared" si="217"/>
        <v>724.66887435463764</v>
      </c>
      <c r="AI473" s="94">
        <f t="shared" si="218"/>
        <v>0.45355863071785441</v>
      </c>
    </row>
    <row r="474" spans="2:35">
      <c r="B474" s="39">
        <f t="shared" si="219"/>
        <v>446</v>
      </c>
      <c r="C474" s="42">
        <f t="shared" si="220"/>
        <v>2.9626378896851544</v>
      </c>
      <c r="D474" s="10">
        <f t="shared" si="221"/>
        <v>2.57736211031445</v>
      </c>
      <c r="E474" s="40">
        <f t="shared" si="222"/>
        <v>25.925275779371098</v>
      </c>
      <c r="F474" s="40">
        <f t="shared" si="223"/>
        <v>31.08</v>
      </c>
      <c r="G474" s="3">
        <f t="shared" si="224"/>
        <v>202.69889688252195</v>
      </c>
      <c r="H474" s="3">
        <f t="shared" si="225"/>
        <v>81.256230789298584</v>
      </c>
      <c r="I474">
        <f t="shared" si="210"/>
        <v>8.1256230789298584E-5</v>
      </c>
      <c r="J474" s="4">
        <f t="shared" si="226"/>
        <v>527.88175407813651</v>
      </c>
      <c r="K474" s="40">
        <f t="shared" si="227"/>
        <v>6.4965080086837892</v>
      </c>
      <c r="L474" s="40">
        <f t="shared" si="211"/>
        <v>0</v>
      </c>
      <c r="M474" s="10">
        <f t="shared" si="228"/>
        <v>5.0975918886752272</v>
      </c>
      <c r="N474" s="10">
        <f t="shared" si="207"/>
        <v>8.26</v>
      </c>
      <c r="O474" s="10">
        <f t="shared" si="208"/>
        <v>0.31900000000000001</v>
      </c>
      <c r="P474" s="10">
        <f t="shared" si="229"/>
        <v>13.887673652697544</v>
      </c>
      <c r="Q474" s="42">
        <f t="shared" si="230"/>
        <v>0.21695972938579772</v>
      </c>
      <c r="R474" s="4">
        <f t="shared" si="231"/>
        <v>46780.165394940101</v>
      </c>
      <c r="S474">
        <f t="shared" si="212"/>
        <v>4.6780165394940103E-5</v>
      </c>
      <c r="T474" s="41">
        <f t="shared" si="213"/>
        <v>1.3302420664694373E-4</v>
      </c>
      <c r="U474" s="42">
        <f t="shared" si="232"/>
        <v>8.3949345809489748E-2</v>
      </c>
      <c r="V474" s="42">
        <f t="shared" si="233"/>
        <v>0.45745896343121345</v>
      </c>
      <c r="W474" s="42">
        <f t="shared" si="234"/>
        <v>0.45355508043761544</v>
      </c>
      <c r="X474" s="42">
        <f t="shared" si="235"/>
        <v>3.9038829935980068E-3</v>
      </c>
      <c r="Y474" s="42">
        <f t="shared" si="209"/>
        <v>2.0558665083613924E-3</v>
      </c>
      <c r="Z474" s="10">
        <f t="shared" si="236"/>
        <v>15.45483006576252</v>
      </c>
      <c r="AA474">
        <f t="shared" si="214"/>
        <v>5097550.2382310526</v>
      </c>
      <c r="AB474" s="10">
        <f t="shared" si="215"/>
        <v>5.0975502382310527</v>
      </c>
      <c r="AC474" s="10">
        <f t="shared" si="216"/>
        <v>4.9965502382310527</v>
      </c>
      <c r="AD474" s="3">
        <f t="shared" si="217"/>
        <v>724.66283368108088</v>
      </c>
      <c r="AI474" s="94">
        <f t="shared" si="218"/>
        <v>0.45355508043761544</v>
      </c>
    </row>
    <row r="475" spans="2:35">
      <c r="B475" s="39">
        <f t="shared" si="219"/>
        <v>447</v>
      </c>
      <c r="C475" s="42">
        <f t="shared" si="220"/>
        <v>2.9692805755364664</v>
      </c>
      <c r="D475" s="10">
        <f t="shared" si="221"/>
        <v>2.5707194244631371</v>
      </c>
      <c r="E475" s="40">
        <f t="shared" si="222"/>
        <v>25.938561151073724</v>
      </c>
      <c r="F475" s="40">
        <f t="shared" si="223"/>
        <v>31.08</v>
      </c>
      <c r="G475" s="3">
        <f t="shared" si="224"/>
        <v>202.64575539571146</v>
      </c>
      <c r="H475" s="3">
        <f t="shared" si="225"/>
        <v>81.256230789298584</v>
      </c>
      <c r="I475">
        <f t="shared" si="210"/>
        <v>8.1256230789298584E-5</v>
      </c>
      <c r="J475" s="4">
        <f t="shared" si="226"/>
        <v>528.42291725076529</v>
      </c>
      <c r="K475" s="40">
        <f t="shared" si="227"/>
        <v>6.5031679677708896</v>
      </c>
      <c r="L475" s="40">
        <f t="shared" si="211"/>
        <v>0</v>
      </c>
      <c r="M475" s="10">
        <f t="shared" si="228"/>
        <v>5.0975502382310527</v>
      </c>
      <c r="N475" s="10">
        <f t="shared" si="207"/>
        <v>8.26</v>
      </c>
      <c r="O475" s="10">
        <f t="shared" si="208"/>
        <v>0.31900000000000001</v>
      </c>
      <c r="P475" s="10">
        <f t="shared" si="229"/>
        <v>13.887637455414987</v>
      </c>
      <c r="Q475" s="42">
        <f t="shared" si="230"/>
        <v>0.21743804586494242</v>
      </c>
      <c r="R475" s="4">
        <f t="shared" si="231"/>
        <v>46658.236638220682</v>
      </c>
      <c r="S475">
        <f t="shared" si="212"/>
        <v>4.6658236638220683E-5</v>
      </c>
      <c r="T475" s="41">
        <f t="shared" si="213"/>
        <v>1.3314613540366316E-4</v>
      </c>
      <c r="U475" s="42">
        <f t="shared" si="232"/>
        <v>8.3730538559118911E-2</v>
      </c>
      <c r="V475" s="42">
        <f t="shared" si="233"/>
        <v>0.45745287881800534</v>
      </c>
      <c r="W475" s="42">
        <f t="shared" si="234"/>
        <v>0.45355129970647345</v>
      </c>
      <c r="X475" s="42">
        <f t="shared" si="235"/>
        <v>3.9015791115318832E-3</v>
      </c>
      <c r="Y475" s="42">
        <f t="shared" si="209"/>
        <v>2.0577326979451249E-3</v>
      </c>
      <c r="Z475" s="10">
        <f t="shared" si="236"/>
        <v>15.454693384127406</v>
      </c>
      <c r="AA475">
        <f t="shared" si="214"/>
        <v>5097506.0490258923</v>
      </c>
      <c r="AB475" s="10">
        <f t="shared" si="215"/>
        <v>5.0975060490258919</v>
      </c>
      <c r="AC475" s="10">
        <f t="shared" si="216"/>
        <v>4.9965060490258919</v>
      </c>
      <c r="AD475" s="3">
        <f t="shared" si="217"/>
        <v>724.6564248043353</v>
      </c>
      <c r="AI475" s="94">
        <f t="shared" si="218"/>
        <v>0.45355129970647345</v>
      </c>
    </row>
    <row r="476" spans="2:35">
      <c r="B476" s="39">
        <f t="shared" si="219"/>
        <v>448</v>
      </c>
      <c r="C476" s="42">
        <f t="shared" si="220"/>
        <v>2.9759232613877784</v>
      </c>
      <c r="D476" s="10">
        <f t="shared" si="221"/>
        <v>2.5640767386118242</v>
      </c>
      <c r="E476" s="40">
        <f t="shared" si="222"/>
        <v>25.95184652277635</v>
      </c>
      <c r="F476" s="40">
        <f t="shared" si="223"/>
        <v>31.08</v>
      </c>
      <c r="G476" s="3">
        <f t="shared" si="224"/>
        <v>202.59261390890097</v>
      </c>
      <c r="H476" s="3">
        <f t="shared" si="225"/>
        <v>81.256230789298584</v>
      </c>
      <c r="I476">
        <f t="shared" si="210"/>
        <v>8.1256230789298584E-5</v>
      </c>
      <c r="J476" s="4">
        <f t="shared" si="226"/>
        <v>528.96435767067567</v>
      </c>
      <c r="K476" s="40">
        <f t="shared" si="227"/>
        <v>6.50983133887057</v>
      </c>
      <c r="L476" s="40">
        <f t="shared" si="211"/>
        <v>0</v>
      </c>
      <c r="M476" s="10">
        <f t="shared" si="228"/>
        <v>5.0975060490258919</v>
      </c>
      <c r="N476" s="10">
        <f t="shared" ref="N476:N539" si="237">IF(fueltype=1,VLOOKUP($M476,kndxbn_,4),IF(fueltype=2,VLOOKUP($M476,knsobn_,4),IF(fueltype=3,VLOOKUP($M476,knsbcobn_,4),IF(fueltype=4,VLOOKUP($M476,knsubn_,4),IF(fueltype=5,am_1,IF(fueltype=6,am_0,IF(fueltype=7,am_3,am_4)))))))</f>
        <v>8.26</v>
      </c>
      <c r="O476" s="10">
        <f t="shared" ref="O476:O539" si="238">IF(fueltype=1,VLOOKUP($M476,kndxbn_,5),IF(fueltype=2,VLOOKUP($M476,knsobn_,5),IF(fueltype=3,VLOOKUP($M476,knsbcobn_,5),IF(fueltype=4,VLOOKUP($M476,knsubn_,5),IF(fueltype=5,nm_1,IF(fueltype=6,an_0,IF(fueltype=7,nm_3,nm_4)))))))</f>
        <v>0.31900000000000001</v>
      </c>
      <c r="P476" s="10">
        <f t="shared" si="229"/>
        <v>13.887599051543233</v>
      </c>
      <c r="Q476" s="42">
        <f t="shared" si="230"/>
        <v>0.21791636366679268</v>
      </c>
      <c r="R476" s="4">
        <f t="shared" si="231"/>
        <v>46536.309229680985</v>
      </c>
      <c r="S476">
        <f t="shared" si="212"/>
        <v>4.6536309229680981E-5</v>
      </c>
      <c r="T476" s="41">
        <f t="shared" si="213"/>
        <v>1.3326806281220284E-4</v>
      </c>
      <c r="U476" s="42">
        <f t="shared" si="232"/>
        <v>8.351173372812401E-2</v>
      </c>
      <c r="V476" s="42">
        <f t="shared" si="233"/>
        <v>0.45744655571778092</v>
      </c>
      <c r="W476" s="42">
        <f t="shared" si="234"/>
        <v>0.45354728852466236</v>
      </c>
      <c r="X476" s="42">
        <f t="shared" si="235"/>
        <v>3.8992671931185607E-3</v>
      </c>
      <c r="Y476" s="42">
        <f t="shared" si="209"/>
        <v>2.0595977868577641E-3</v>
      </c>
      <c r="Z476" s="10">
        <f t="shared" si="236"/>
        <v>15.454548849862736</v>
      </c>
      <c r="AA476">
        <f t="shared" si="214"/>
        <v>5097459.3210637281</v>
      </c>
      <c r="AB476" s="10">
        <f t="shared" si="215"/>
        <v>5.0974593210637282</v>
      </c>
      <c r="AC476" s="10">
        <f t="shared" si="216"/>
        <v>4.9964593210637283</v>
      </c>
      <c r="AD476" s="3">
        <f t="shared" si="217"/>
        <v>724.64964772497865</v>
      </c>
      <c r="AI476" s="94">
        <f t="shared" si="218"/>
        <v>0.45354728852466236</v>
      </c>
    </row>
    <row r="477" spans="2:35">
      <c r="B477" s="39">
        <f t="shared" si="219"/>
        <v>449</v>
      </c>
      <c r="C477" s="42">
        <f t="shared" si="220"/>
        <v>2.9825659472390904</v>
      </c>
      <c r="D477" s="10">
        <f t="shared" si="221"/>
        <v>2.5574340527605113</v>
      </c>
      <c r="E477" s="40">
        <f t="shared" si="222"/>
        <v>25.965131894478976</v>
      </c>
      <c r="F477" s="40">
        <f t="shared" si="223"/>
        <v>31.08</v>
      </c>
      <c r="G477" s="3">
        <f t="shared" si="224"/>
        <v>202.53947242209048</v>
      </c>
      <c r="H477" s="3">
        <f t="shared" si="225"/>
        <v>81.256230789298584</v>
      </c>
      <c r="I477">
        <f t="shared" si="210"/>
        <v>8.1256230789298584E-5</v>
      </c>
      <c r="J477" s="4">
        <f t="shared" si="226"/>
        <v>529.50607533786763</v>
      </c>
      <c r="K477" s="40">
        <f t="shared" si="227"/>
        <v>6.5164981219828295</v>
      </c>
      <c r="L477" s="40">
        <f t="shared" si="211"/>
        <v>0</v>
      </c>
      <c r="M477" s="10">
        <f t="shared" si="228"/>
        <v>5.0974593210637282</v>
      </c>
      <c r="N477" s="10">
        <f t="shared" si="237"/>
        <v>8.26</v>
      </c>
      <c r="O477" s="10">
        <f t="shared" si="238"/>
        <v>0.31900000000000001</v>
      </c>
      <c r="P477" s="10">
        <f t="shared" si="229"/>
        <v>13.887558441046663</v>
      </c>
      <c r="Q477" s="42">
        <f t="shared" si="230"/>
        <v>0.21839468286735703</v>
      </c>
      <c r="R477" s="4">
        <f t="shared" si="231"/>
        <v>46414.383213521003</v>
      </c>
      <c r="S477">
        <f t="shared" si="212"/>
        <v>4.6414383213521001E-5</v>
      </c>
      <c r="T477" s="41">
        <f t="shared" si="213"/>
        <v>1.3338998882836284E-4</v>
      </c>
      <c r="U477" s="42">
        <f t="shared" si="232"/>
        <v>8.329293139582411E-2</v>
      </c>
      <c r="V477" s="42">
        <f t="shared" si="233"/>
        <v>0.45743999413309094</v>
      </c>
      <c r="W477" s="42">
        <f t="shared" si="234"/>
        <v>0.45354304689254382</v>
      </c>
      <c r="X477" s="42">
        <f t="shared" si="235"/>
        <v>3.8969472405471217E-3</v>
      </c>
      <c r="Y477" s="42">
        <f t="shared" si="209"/>
        <v>2.0614617715465039E-3</v>
      </c>
      <c r="Z477" s="10">
        <f t="shared" si="236"/>
        <v>15.454396462983835</v>
      </c>
      <c r="AA477">
        <f t="shared" si="214"/>
        <v>5097410.0543495137</v>
      </c>
      <c r="AB477" s="10">
        <f t="shared" si="215"/>
        <v>5.0974100543495133</v>
      </c>
      <c r="AC477" s="10">
        <f t="shared" si="216"/>
        <v>4.9964100543495134</v>
      </c>
      <c r="AD477" s="3">
        <f t="shared" si="217"/>
        <v>724.64250244372931</v>
      </c>
      <c r="AI477" s="94">
        <f t="shared" si="218"/>
        <v>0.45354304689254382</v>
      </c>
    </row>
    <row r="478" spans="2:35">
      <c r="B478" s="39">
        <f t="shared" si="219"/>
        <v>450</v>
      </c>
      <c r="C478" s="42">
        <f t="shared" si="220"/>
        <v>2.9892086330904024</v>
      </c>
      <c r="D478" s="10">
        <f t="shared" si="221"/>
        <v>2.5507913669091984</v>
      </c>
      <c r="E478" s="40">
        <f t="shared" si="222"/>
        <v>25.978417266181602</v>
      </c>
      <c r="F478" s="40">
        <f t="shared" si="223"/>
        <v>31.08</v>
      </c>
      <c r="G478" s="3">
        <f t="shared" si="224"/>
        <v>202.48633093527999</v>
      </c>
      <c r="H478" s="3">
        <f t="shared" si="225"/>
        <v>81.256230789298584</v>
      </c>
      <c r="I478">
        <f t="shared" si="210"/>
        <v>8.1256230789298584E-5</v>
      </c>
      <c r="J478" s="4">
        <f t="shared" si="226"/>
        <v>530.04807025234118</v>
      </c>
      <c r="K478" s="40">
        <f t="shared" si="227"/>
        <v>6.5231683171076691</v>
      </c>
      <c r="L478" s="40">
        <f t="shared" si="211"/>
        <v>0</v>
      </c>
      <c r="M478" s="10">
        <f t="shared" si="228"/>
        <v>5.0974100543495133</v>
      </c>
      <c r="N478" s="10">
        <f t="shared" si="237"/>
        <v>8.26</v>
      </c>
      <c r="O478" s="10">
        <f t="shared" si="238"/>
        <v>0.31900000000000001</v>
      </c>
      <c r="P478" s="10">
        <f t="shared" si="229"/>
        <v>13.887515623888259</v>
      </c>
      <c r="Q478" s="42">
        <f t="shared" si="230"/>
        <v>0.21887300354264655</v>
      </c>
      <c r="R478" s="4">
        <f t="shared" si="231"/>
        <v>46292.458633940747</v>
      </c>
      <c r="S478">
        <f t="shared" si="212"/>
        <v>4.6292458633940745E-5</v>
      </c>
      <c r="T478" s="41">
        <f t="shared" si="213"/>
        <v>1.3351191340794309E-4</v>
      </c>
      <c r="U478" s="42">
        <f t="shared" si="232"/>
        <v>8.307413164153836E-2</v>
      </c>
      <c r="V478" s="42">
        <f t="shared" si="233"/>
        <v>0.45743319406653948</v>
      </c>
      <c r="W478" s="42">
        <f t="shared" si="234"/>
        <v>0.45353857481056759</v>
      </c>
      <c r="X478" s="42">
        <f t="shared" si="235"/>
        <v>3.8946192559718984E-3</v>
      </c>
      <c r="Y478" s="42">
        <f t="shared" ref="Y478:Y541" si="239">IF((X478*(Q478-Q477)+Y477)&lt;0,0,X478*(Q478-Q477)+Y477)</f>
        <v>2.0633246484590161E-3</v>
      </c>
      <c r="Z478" s="10">
        <f t="shared" si="236"/>
        <v>15.454236223508888</v>
      </c>
      <c r="AA478">
        <f t="shared" si="214"/>
        <v>5097358.2488891296</v>
      </c>
      <c r="AB478" s="10">
        <f t="shared" si="215"/>
        <v>5.0973582488891296</v>
      </c>
      <c r="AC478" s="10">
        <f t="shared" si="216"/>
        <v>4.9963582488891296</v>
      </c>
      <c r="AD478" s="3">
        <f t="shared" si="217"/>
        <v>724.63498896144017</v>
      </c>
      <c r="AI478" s="94">
        <f t="shared" si="218"/>
        <v>0.45353857481056759</v>
      </c>
    </row>
    <row r="479" spans="2:35">
      <c r="B479" s="39">
        <f t="shared" si="219"/>
        <v>451</v>
      </c>
      <c r="C479" s="42">
        <f t="shared" si="220"/>
        <v>2.9958513189417144</v>
      </c>
      <c r="D479" s="10">
        <f t="shared" si="221"/>
        <v>2.5441486810578855</v>
      </c>
      <c r="E479" s="40">
        <f t="shared" si="222"/>
        <v>25.991702637884227</v>
      </c>
      <c r="F479" s="40">
        <f t="shared" si="223"/>
        <v>31.08</v>
      </c>
      <c r="G479" s="3">
        <f t="shared" si="224"/>
        <v>202.43318944846951</v>
      </c>
      <c r="H479" s="3">
        <f t="shared" si="225"/>
        <v>81.256230789298584</v>
      </c>
      <c r="I479">
        <f t="shared" si="210"/>
        <v>8.1256230789298584E-5</v>
      </c>
      <c r="J479" s="4">
        <f t="shared" si="226"/>
        <v>530.5903424140962</v>
      </c>
      <c r="K479" s="40">
        <f t="shared" si="227"/>
        <v>6.5298419242450851</v>
      </c>
      <c r="L479" s="40">
        <f t="shared" si="211"/>
        <v>0</v>
      </c>
      <c r="M479" s="10">
        <f t="shared" si="228"/>
        <v>5.0973582488891296</v>
      </c>
      <c r="N479" s="10">
        <f t="shared" si="237"/>
        <v>8.26</v>
      </c>
      <c r="O479" s="10">
        <f t="shared" si="238"/>
        <v>0.31900000000000001</v>
      </c>
      <c r="P479" s="10">
        <f t="shared" si="229"/>
        <v>13.887470600029559</v>
      </c>
      <c r="Q479" s="42">
        <f t="shared" si="230"/>
        <v>0.21935132576867508</v>
      </c>
      <c r="R479" s="4">
        <f t="shared" si="231"/>
        <v>46170.535535140232</v>
      </c>
      <c r="S479">
        <f t="shared" si="212"/>
        <v>4.6170535535140234E-5</v>
      </c>
      <c r="T479" s="41">
        <f t="shared" si="213"/>
        <v>1.3363383650674359E-4</v>
      </c>
      <c r="U479" s="42">
        <f t="shared" si="232"/>
        <v>8.2855334544585907E-2</v>
      </c>
      <c r="V479" s="42">
        <f t="shared" si="233"/>
        <v>0.45742615552094634</v>
      </c>
      <c r="W479" s="42">
        <f t="shared" si="234"/>
        <v>0.45353387227926717</v>
      </c>
      <c r="X479" s="42">
        <f t="shared" si="235"/>
        <v>3.8922832416791731E-3</v>
      </c>
      <c r="Y479" s="42">
        <f t="shared" si="239"/>
        <v>2.0651864140435097E-3</v>
      </c>
      <c r="Z479" s="10">
        <f t="shared" si="236"/>
        <v>15.454068131459309</v>
      </c>
      <c r="AA479">
        <f t="shared" si="214"/>
        <v>5097303.9046894973</v>
      </c>
      <c r="AB479" s="10">
        <f t="shared" si="215"/>
        <v>5.0973039046894977</v>
      </c>
      <c r="AC479" s="10">
        <f t="shared" si="216"/>
        <v>4.9963039046894977</v>
      </c>
      <c r="AD479" s="3">
        <f t="shared" si="217"/>
        <v>724.62710727911497</v>
      </c>
      <c r="AI479" s="94">
        <f t="shared" si="218"/>
        <v>0.45353387227926717</v>
      </c>
    </row>
    <row r="480" spans="2:35">
      <c r="B480" s="39">
        <f t="shared" si="219"/>
        <v>452</v>
      </c>
      <c r="C480" s="42">
        <f t="shared" si="220"/>
        <v>3.0024940047930264</v>
      </c>
      <c r="D480" s="10">
        <f t="shared" si="221"/>
        <v>2.5375059952065726</v>
      </c>
      <c r="E480" s="40">
        <f t="shared" si="222"/>
        <v>26.004988009586853</v>
      </c>
      <c r="F480" s="40">
        <f t="shared" si="223"/>
        <v>31.08</v>
      </c>
      <c r="G480" s="3">
        <f t="shared" si="224"/>
        <v>202.38004796165902</v>
      </c>
      <c r="H480" s="3">
        <f t="shared" si="225"/>
        <v>81.256230789298584</v>
      </c>
      <c r="I480">
        <f t="shared" si="210"/>
        <v>8.1256230789298584E-5</v>
      </c>
      <c r="J480" s="4">
        <f t="shared" si="226"/>
        <v>531.13289182313281</v>
      </c>
      <c r="K480" s="40">
        <f t="shared" si="227"/>
        <v>6.5365189433950803</v>
      </c>
      <c r="L480" s="40">
        <f t="shared" si="211"/>
        <v>0</v>
      </c>
      <c r="M480" s="10">
        <f t="shared" si="228"/>
        <v>5.0973039046894977</v>
      </c>
      <c r="N480" s="10">
        <f t="shared" si="237"/>
        <v>8.26</v>
      </c>
      <c r="O480" s="10">
        <f t="shared" si="238"/>
        <v>0.31900000000000001</v>
      </c>
      <c r="P480" s="10">
        <f t="shared" si="229"/>
        <v>13.88742336943076</v>
      </c>
      <c r="Q480" s="42">
        <f t="shared" si="230"/>
        <v>0.21982964962145932</v>
      </c>
      <c r="R480" s="4">
        <f t="shared" si="231"/>
        <v>46048.613961319439</v>
      </c>
      <c r="S480">
        <f t="shared" si="212"/>
        <v>4.6048613961319437E-5</v>
      </c>
      <c r="T480" s="41">
        <f t="shared" si="213"/>
        <v>1.3375575808056441E-4</v>
      </c>
      <c r="U480" s="42">
        <f t="shared" si="232"/>
        <v>8.2636540184285803E-2</v>
      </c>
      <c r="V480" s="42">
        <f t="shared" si="233"/>
        <v>0.45741887849945595</v>
      </c>
      <c r="W480" s="42">
        <f t="shared" si="234"/>
        <v>0.45352893929927107</v>
      </c>
      <c r="X480" s="42">
        <f t="shared" si="235"/>
        <v>3.8899392001848776E-3</v>
      </c>
      <c r="Y480" s="42">
        <f t="shared" si="239"/>
        <v>2.0670470647488385E-3</v>
      </c>
      <c r="Z480" s="10">
        <f t="shared" si="236"/>
        <v>15.453892186860507</v>
      </c>
      <c r="AA480">
        <f t="shared" si="214"/>
        <v>5097247.0217588339</v>
      </c>
      <c r="AB480" s="10">
        <f t="shared" si="215"/>
        <v>5.0972470217588342</v>
      </c>
      <c r="AC480" s="10">
        <f t="shared" si="216"/>
        <v>4.9962470217588342</v>
      </c>
      <c r="AD480" s="3">
        <f t="shared" si="217"/>
        <v>724.61885739794548</v>
      </c>
      <c r="AI480" s="94">
        <f t="shared" si="218"/>
        <v>0.45352893929927107</v>
      </c>
    </row>
    <row r="481" spans="2:35">
      <c r="B481" s="39">
        <f t="shared" si="219"/>
        <v>453</v>
      </c>
      <c r="C481" s="42">
        <f t="shared" si="220"/>
        <v>3.0091366906443384</v>
      </c>
      <c r="D481" s="10">
        <f t="shared" si="221"/>
        <v>2.5308633093552597</v>
      </c>
      <c r="E481" s="40">
        <f t="shared" si="222"/>
        <v>26.018273381289479</v>
      </c>
      <c r="F481" s="40">
        <f t="shared" si="223"/>
        <v>31.08</v>
      </c>
      <c r="G481" s="3">
        <f t="shared" si="224"/>
        <v>202.32690647484853</v>
      </c>
      <c r="H481" s="3">
        <f t="shared" si="225"/>
        <v>81.256230789298584</v>
      </c>
      <c r="I481">
        <f t="shared" si="210"/>
        <v>8.1256230789298584E-5</v>
      </c>
      <c r="J481" s="4">
        <f t="shared" si="226"/>
        <v>531.67571847945089</v>
      </c>
      <c r="K481" s="40">
        <f t="shared" si="227"/>
        <v>6.5431993745576538</v>
      </c>
      <c r="L481" s="40">
        <f t="shared" si="211"/>
        <v>0</v>
      </c>
      <c r="M481" s="10">
        <f t="shared" si="228"/>
        <v>5.0972470217588342</v>
      </c>
      <c r="N481" s="10">
        <f t="shared" si="237"/>
        <v>8.26</v>
      </c>
      <c r="O481" s="10">
        <f t="shared" si="238"/>
        <v>0.31900000000000001</v>
      </c>
      <c r="P481" s="10">
        <f t="shared" si="229"/>
        <v>13.88737393205094</v>
      </c>
      <c r="Q481" s="42">
        <f t="shared" si="230"/>
        <v>0.22030797517701892</v>
      </c>
      <c r="R481" s="4">
        <f t="shared" si="231"/>
        <v>45926.693956678377</v>
      </c>
      <c r="S481">
        <f t="shared" si="212"/>
        <v>4.5926693956678377E-5</v>
      </c>
      <c r="T481" s="41">
        <f t="shared" si="213"/>
        <v>1.3387767808520546E-4</v>
      </c>
      <c r="U481" s="42">
        <f t="shared" si="232"/>
        <v>8.2417748639957183E-2</v>
      </c>
      <c r="V481" s="42">
        <f t="shared" si="233"/>
        <v>0.45741136300495677</v>
      </c>
      <c r="W481" s="42">
        <f t="shared" si="234"/>
        <v>0.45352377587132509</v>
      </c>
      <c r="X481" s="42">
        <f t="shared" si="235"/>
        <v>3.887587133631687E-3</v>
      </c>
      <c r="Y481" s="42">
        <f t="shared" si="239"/>
        <v>2.068906597024319E-3</v>
      </c>
      <c r="Z481" s="10">
        <f t="shared" si="236"/>
        <v>15.453708389740511</v>
      </c>
      <c r="AA481">
        <f t="shared" si="214"/>
        <v>5097187.6001061983</v>
      </c>
      <c r="AB481" s="10">
        <f t="shared" si="215"/>
        <v>5.0971876001061984</v>
      </c>
      <c r="AC481" s="10">
        <f t="shared" si="216"/>
        <v>4.9961876001061984</v>
      </c>
      <c r="AD481" s="3">
        <f t="shared" si="217"/>
        <v>724.61023931924558</v>
      </c>
      <c r="AI481" s="94">
        <f t="shared" si="218"/>
        <v>0.45352377587132509</v>
      </c>
    </row>
    <row r="482" spans="2:35">
      <c r="B482" s="39">
        <f t="shared" si="219"/>
        <v>454</v>
      </c>
      <c r="C482" s="42">
        <f t="shared" si="220"/>
        <v>3.0157793764956504</v>
      </c>
      <c r="D482" s="10">
        <f t="shared" si="221"/>
        <v>2.5242206235039468</v>
      </c>
      <c r="E482" s="40">
        <f t="shared" si="222"/>
        <v>26.031558752992105</v>
      </c>
      <c r="F482" s="40">
        <f t="shared" si="223"/>
        <v>31.08</v>
      </c>
      <c r="G482" s="3">
        <f t="shared" si="224"/>
        <v>202.27376498803804</v>
      </c>
      <c r="H482" s="3">
        <f t="shared" si="225"/>
        <v>81.256230789298584</v>
      </c>
      <c r="I482">
        <f t="shared" si="210"/>
        <v>8.1256230789298584E-5</v>
      </c>
      <c r="J482" s="4">
        <f t="shared" si="226"/>
        <v>532.21882238305068</v>
      </c>
      <c r="K482" s="40">
        <f t="shared" si="227"/>
        <v>6.5498832177328081</v>
      </c>
      <c r="L482" s="40">
        <f t="shared" si="211"/>
        <v>0</v>
      </c>
      <c r="M482" s="10">
        <f t="shared" si="228"/>
        <v>5.0971876001061984</v>
      </c>
      <c r="N482" s="10">
        <f t="shared" si="237"/>
        <v>8.26</v>
      </c>
      <c r="O482" s="10">
        <f t="shared" si="238"/>
        <v>0.31900000000000001</v>
      </c>
      <c r="P482" s="10">
        <f t="shared" si="229"/>
        <v>13.88732228784766</v>
      </c>
      <c r="Q482" s="42">
        <f t="shared" si="230"/>
        <v>0.2207863025113766</v>
      </c>
      <c r="R482" s="4">
        <f t="shared" si="231"/>
        <v>45804.775565417011</v>
      </c>
      <c r="S482">
        <f t="shared" si="212"/>
        <v>4.5804775565417014E-5</v>
      </c>
      <c r="T482" s="41">
        <f t="shared" si="213"/>
        <v>1.3399959647646681E-4</v>
      </c>
      <c r="U482" s="42">
        <f t="shared" si="232"/>
        <v>8.2198959990919085E-2</v>
      </c>
      <c r="V482" s="42">
        <f t="shared" si="233"/>
        <v>0.45740360904086236</v>
      </c>
      <c r="W482" s="42">
        <f t="shared" si="234"/>
        <v>0.45351838199625161</v>
      </c>
      <c r="X482" s="42">
        <f t="shared" si="235"/>
        <v>3.8852270446107506E-3</v>
      </c>
      <c r="Y482" s="42">
        <f t="shared" si="239"/>
        <v>2.070765007319942E-3</v>
      </c>
      <c r="Z482" s="10">
        <f t="shared" si="236"/>
        <v>15.453516740131471</v>
      </c>
      <c r="AA482">
        <f t="shared" si="214"/>
        <v>5097125.6397419861</v>
      </c>
      <c r="AB482" s="10">
        <f t="shared" si="215"/>
        <v>5.0971256397419857</v>
      </c>
      <c r="AC482" s="10">
        <f t="shared" si="216"/>
        <v>4.9961256397419858</v>
      </c>
      <c r="AD482" s="3">
        <f t="shared" si="217"/>
        <v>724.60125304452299</v>
      </c>
      <c r="AI482" s="94">
        <f t="shared" si="218"/>
        <v>0.45351838199625161</v>
      </c>
    </row>
    <row r="483" spans="2:35">
      <c r="B483" s="39">
        <f t="shared" si="219"/>
        <v>455</v>
      </c>
      <c r="C483" s="42">
        <f t="shared" si="220"/>
        <v>3.0224220623469624</v>
      </c>
      <c r="D483" s="10">
        <f t="shared" si="221"/>
        <v>2.5175779376526339</v>
      </c>
      <c r="E483" s="40">
        <f t="shared" si="222"/>
        <v>26.04484412469473</v>
      </c>
      <c r="F483" s="40">
        <f t="shared" si="223"/>
        <v>31.08</v>
      </c>
      <c r="G483" s="3">
        <f t="shared" si="224"/>
        <v>202.22062350122755</v>
      </c>
      <c r="H483" s="3">
        <f t="shared" si="225"/>
        <v>81.256230789298584</v>
      </c>
      <c r="I483">
        <f t="shared" si="210"/>
        <v>8.1256230789298584E-5</v>
      </c>
      <c r="J483" s="4">
        <f t="shared" si="226"/>
        <v>532.76220353393194</v>
      </c>
      <c r="K483" s="40">
        <f t="shared" si="227"/>
        <v>6.5565704729205398</v>
      </c>
      <c r="L483" s="40">
        <f t="shared" si="211"/>
        <v>0</v>
      </c>
      <c r="M483" s="10">
        <f t="shared" si="228"/>
        <v>5.0971256397419857</v>
      </c>
      <c r="N483" s="10">
        <f t="shared" si="237"/>
        <v>8.26</v>
      </c>
      <c r="O483" s="10">
        <f t="shared" si="238"/>
        <v>0.31900000000000001</v>
      </c>
      <c r="P483" s="10">
        <f t="shared" si="229"/>
        <v>13.887268436777401</v>
      </c>
      <c r="Q483" s="42">
        <f t="shared" si="230"/>
        <v>0.22126463170055827</v>
      </c>
      <c r="R483" s="4">
        <f t="shared" si="231"/>
        <v>45682.858831735379</v>
      </c>
      <c r="S483">
        <f t="shared" si="212"/>
        <v>4.5682858831735377E-5</v>
      </c>
      <c r="T483" s="41">
        <f t="shared" si="213"/>
        <v>1.3412151321014846E-4</v>
      </c>
      <c r="U483" s="42">
        <f t="shared" si="232"/>
        <v>8.1980174316490725E-2</v>
      </c>
      <c r="V483" s="42">
        <f t="shared" si="233"/>
        <v>0.45739561661010092</v>
      </c>
      <c r="W483" s="42">
        <f t="shared" si="234"/>
        <v>0.4535127576749941</v>
      </c>
      <c r="X483" s="42">
        <f t="shared" si="235"/>
        <v>3.8828589351068143E-3</v>
      </c>
      <c r="Y483" s="42">
        <f t="shared" si="239"/>
        <v>2.0726222920860785E-3</v>
      </c>
      <c r="Z483" s="10">
        <f t="shared" si="236"/>
        <v>15.45331723806745</v>
      </c>
      <c r="AA483">
        <f t="shared" si="214"/>
        <v>5097061.1406772109</v>
      </c>
      <c r="AB483" s="10">
        <f t="shared" si="215"/>
        <v>5.0970611406772113</v>
      </c>
      <c r="AC483" s="10">
        <f t="shared" si="216"/>
        <v>4.9960611406772113</v>
      </c>
      <c r="AD483" s="3">
        <f t="shared" si="217"/>
        <v>724.59189857537501</v>
      </c>
      <c r="AI483" s="94">
        <f t="shared" si="218"/>
        <v>0.4535127576749941</v>
      </c>
    </row>
    <row r="484" spans="2:35">
      <c r="B484" s="39">
        <f t="shared" si="219"/>
        <v>456</v>
      </c>
      <c r="C484" s="42">
        <f t="shared" si="220"/>
        <v>3.0290647481982744</v>
      </c>
      <c r="D484" s="10">
        <f t="shared" si="221"/>
        <v>2.510935251801321</v>
      </c>
      <c r="E484" s="40">
        <f t="shared" si="222"/>
        <v>26.058129496397356</v>
      </c>
      <c r="F484" s="40">
        <f t="shared" si="223"/>
        <v>31.08</v>
      </c>
      <c r="G484" s="3">
        <f t="shared" si="224"/>
        <v>202.16748201441706</v>
      </c>
      <c r="H484" s="3">
        <f t="shared" si="225"/>
        <v>81.256230789298584</v>
      </c>
      <c r="I484">
        <f t="shared" si="210"/>
        <v>8.1256230789298584E-5</v>
      </c>
      <c r="J484" s="4">
        <f t="shared" si="226"/>
        <v>533.30586193209479</v>
      </c>
      <c r="K484" s="40">
        <f t="shared" si="227"/>
        <v>6.5632611401208507</v>
      </c>
      <c r="L484" s="40">
        <f t="shared" si="211"/>
        <v>0</v>
      </c>
      <c r="M484" s="10">
        <f t="shared" si="228"/>
        <v>5.0970611406772113</v>
      </c>
      <c r="N484" s="10">
        <f t="shared" si="237"/>
        <v>8.26</v>
      </c>
      <c r="O484" s="10">
        <f t="shared" si="238"/>
        <v>0.31900000000000001</v>
      </c>
      <c r="P484" s="10">
        <f t="shared" si="229"/>
        <v>13.887212378794926</v>
      </c>
      <c r="Q484" s="42">
        <f t="shared" si="230"/>
        <v>0.22174296282059319</v>
      </c>
      <c r="R484" s="4">
        <f t="shared" si="231"/>
        <v>45560.943799833454</v>
      </c>
      <c r="S484">
        <f t="shared" si="212"/>
        <v>4.5560943799833456E-5</v>
      </c>
      <c r="T484" s="41">
        <f t="shared" si="213"/>
        <v>1.3424342824205036E-4</v>
      </c>
      <c r="U484" s="42">
        <f t="shared" si="232"/>
        <v>8.1761391695991115E-2</v>
      </c>
      <c r="V484" s="42">
        <f t="shared" si="233"/>
        <v>0.4573873857164813</v>
      </c>
      <c r="W484" s="42">
        <f t="shared" si="234"/>
        <v>0.45350690290855261</v>
      </c>
      <c r="X484" s="42">
        <f t="shared" si="235"/>
        <v>3.8804828079286868E-3</v>
      </c>
      <c r="Y484" s="42">
        <f t="shared" si="239"/>
        <v>2.0744784477738712E-3</v>
      </c>
      <c r="Z484" s="10">
        <f t="shared" si="236"/>
        <v>15.453109883587302</v>
      </c>
      <c r="AA484">
        <f t="shared" si="214"/>
        <v>5096994.1029244317</v>
      </c>
      <c r="AB484" s="10">
        <f t="shared" si="215"/>
        <v>5.0969941029244321</v>
      </c>
      <c r="AC484" s="10">
        <f t="shared" si="216"/>
        <v>4.9959941029244321</v>
      </c>
      <c r="AD484" s="3">
        <f t="shared" si="217"/>
        <v>724.58217591362313</v>
      </c>
      <c r="AI484" s="94">
        <f t="shared" si="218"/>
        <v>0.45350690290855261</v>
      </c>
    </row>
    <row r="485" spans="2:35">
      <c r="B485" s="39">
        <f t="shared" si="219"/>
        <v>457</v>
      </c>
      <c r="C485" s="42">
        <f t="shared" si="220"/>
        <v>3.0357074340495864</v>
      </c>
      <c r="D485" s="10">
        <f t="shared" si="221"/>
        <v>2.5042925659500082</v>
      </c>
      <c r="E485" s="40">
        <f t="shared" si="222"/>
        <v>26.071414868099982</v>
      </c>
      <c r="F485" s="40">
        <f t="shared" si="223"/>
        <v>31.08</v>
      </c>
      <c r="G485" s="3">
        <f t="shared" si="224"/>
        <v>202.11434052760657</v>
      </c>
      <c r="H485" s="3">
        <f t="shared" si="225"/>
        <v>81.256230789298584</v>
      </c>
      <c r="I485">
        <f t="shared" si="210"/>
        <v>8.1256230789298584E-5</v>
      </c>
      <c r="J485" s="4">
        <f t="shared" si="226"/>
        <v>533.84979757753922</v>
      </c>
      <c r="K485" s="40">
        <f t="shared" si="227"/>
        <v>6.5699552193337407</v>
      </c>
      <c r="L485" s="40">
        <f t="shared" si="211"/>
        <v>0</v>
      </c>
      <c r="M485" s="10">
        <f t="shared" si="228"/>
        <v>5.0969941029244321</v>
      </c>
      <c r="N485" s="10">
        <f t="shared" si="237"/>
        <v>8.26</v>
      </c>
      <c r="O485" s="10">
        <f t="shared" si="238"/>
        <v>0.31900000000000001</v>
      </c>
      <c r="P485" s="10">
        <f t="shared" si="229"/>
        <v>13.887154113854102</v>
      </c>
      <c r="Q485" s="42">
        <f t="shared" si="230"/>
        <v>0.22222129594751408</v>
      </c>
      <c r="R485" s="4">
        <f t="shared" si="231"/>
        <v>45439.030513911253</v>
      </c>
      <c r="S485">
        <f t="shared" si="212"/>
        <v>4.5439030513911252E-5</v>
      </c>
      <c r="T485" s="41">
        <f t="shared" si="213"/>
        <v>1.3436534152797257E-4</v>
      </c>
      <c r="U485" s="42">
        <f t="shared" si="232"/>
        <v>8.1542612208739429E-2</v>
      </c>
      <c r="V485" s="42">
        <f t="shared" si="233"/>
        <v>0.45737891636317701</v>
      </c>
      <c r="W485" s="42">
        <f t="shared" si="234"/>
        <v>0.45350081769806683</v>
      </c>
      <c r="X485" s="42">
        <f t="shared" si="235"/>
        <v>3.8780986651101856E-3</v>
      </c>
      <c r="Y485" s="42">
        <f t="shared" si="239"/>
        <v>2.0763334708348612E-3</v>
      </c>
      <c r="Z485" s="10">
        <f t="shared" si="236"/>
        <v>15.452894676731827</v>
      </c>
      <c r="AA485">
        <f t="shared" si="214"/>
        <v>5096924.5264968425</v>
      </c>
      <c r="AB485" s="10">
        <f t="shared" si="215"/>
        <v>5.0969245264968421</v>
      </c>
      <c r="AC485" s="10">
        <f t="shared" si="216"/>
        <v>4.9959245264968422</v>
      </c>
      <c r="AD485" s="3">
        <f t="shared" si="217"/>
        <v>724.57208506118093</v>
      </c>
      <c r="AI485" s="94">
        <f t="shared" si="218"/>
        <v>0.45350081769806683</v>
      </c>
    </row>
    <row r="486" spans="2:35">
      <c r="B486" s="39">
        <f t="shared" si="219"/>
        <v>458</v>
      </c>
      <c r="C486" s="42">
        <f t="shared" si="220"/>
        <v>3.0423501199008984</v>
      </c>
      <c r="D486" s="10">
        <f t="shared" si="221"/>
        <v>2.4976498800986953</v>
      </c>
      <c r="E486" s="40">
        <f t="shared" si="222"/>
        <v>26.084700239802608</v>
      </c>
      <c r="F486" s="40">
        <f t="shared" si="223"/>
        <v>31.08</v>
      </c>
      <c r="G486" s="3">
        <f t="shared" si="224"/>
        <v>202.06119904079608</v>
      </c>
      <c r="H486" s="3">
        <f t="shared" si="225"/>
        <v>81.256230789298584</v>
      </c>
      <c r="I486">
        <f t="shared" si="210"/>
        <v>8.1256230789298584E-5</v>
      </c>
      <c r="J486" s="4">
        <f t="shared" si="226"/>
        <v>534.39401047026513</v>
      </c>
      <c r="K486" s="40">
        <f t="shared" si="227"/>
        <v>6.5766527105592081</v>
      </c>
      <c r="L486" s="40">
        <f t="shared" si="211"/>
        <v>0</v>
      </c>
      <c r="M486" s="10">
        <f t="shared" si="228"/>
        <v>5.0969245264968421</v>
      </c>
      <c r="N486" s="10">
        <f t="shared" si="237"/>
        <v>8.26</v>
      </c>
      <c r="O486" s="10">
        <f t="shared" si="238"/>
        <v>0.31900000000000001</v>
      </c>
      <c r="P486" s="10">
        <f t="shared" si="229"/>
        <v>13.887093641907091</v>
      </c>
      <c r="Q486" s="42">
        <f t="shared" si="230"/>
        <v>0.22269963115735716</v>
      </c>
      <c r="R486" s="4">
        <f t="shared" si="231"/>
        <v>45317.119018168763</v>
      </c>
      <c r="S486">
        <f t="shared" si="212"/>
        <v>4.5317119018168761E-5</v>
      </c>
      <c r="T486" s="41">
        <f t="shared" si="213"/>
        <v>1.3448725302371507E-4</v>
      </c>
      <c r="U486" s="42">
        <f t="shared" si="232"/>
        <v>8.1323835934054747E-2</v>
      </c>
      <c r="V486" s="42">
        <f t="shared" si="233"/>
        <v>0.45737020855406074</v>
      </c>
      <c r="W486" s="42">
        <f t="shared" si="234"/>
        <v>0.45349450204473446</v>
      </c>
      <c r="X486" s="42">
        <f t="shared" si="235"/>
        <v>3.8757065093262821E-3</v>
      </c>
      <c r="Y486" s="42">
        <f t="shared" si="239"/>
        <v>2.0781873577212901E-3</v>
      </c>
      <c r="Z486" s="10">
        <f t="shared" si="236"/>
        <v>15.452671617546006</v>
      </c>
      <c r="AA486">
        <f t="shared" si="214"/>
        <v>5096852.4114089822</v>
      </c>
      <c r="AB486" s="10">
        <f t="shared" si="215"/>
        <v>5.0968524114089826</v>
      </c>
      <c r="AC486" s="10">
        <f t="shared" si="216"/>
        <v>4.9958524114089826</v>
      </c>
      <c r="AD486" s="3">
        <f t="shared" si="217"/>
        <v>724.56162602015695</v>
      </c>
      <c r="AI486" s="94">
        <f t="shared" si="218"/>
        <v>0.45349450204473446</v>
      </c>
    </row>
    <row r="487" spans="2:35">
      <c r="B487" s="39">
        <f t="shared" si="219"/>
        <v>459</v>
      </c>
      <c r="C487" s="42">
        <f t="shared" si="220"/>
        <v>3.0489928057522104</v>
      </c>
      <c r="D487" s="10">
        <f t="shared" si="221"/>
        <v>2.4910071942473824</v>
      </c>
      <c r="E487" s="40">
        <f t="shared" si="222"/>
        <v>26.097985611505234</v>
      </c>
      <c r="F487" s="40">
        <f t="shared" si="223"/>
        <v>31.08</v>
      </c>
      <c r="G487" s="3">
        <f t="shared" si="224"/>
        <v>202.00805755398559</v>
      </c>
      <c r="H487" s="3">
        <f t="shared" si="225"/>
        <v>81.256230789298584</v>
      </c>
      <c r="I487">
        <f t="shared" ref="I487:I550" si="240">H487/1000^2</f>
        <v>8.1256230789298584E-5</v>
      </c>
      <c r="J487" s="4">
        <f t="shared" si="226"/>
        <v>534.93850061027274</v>
      </c>
      <c r="K487" s="40">
        <f t="shared" si="227"/>
        <v>6.5833536137972564</v>
      </c>
      <c r="L487" s="40">
        <f t="shared" ref="L487:L550" si="241">IF((gstar-K487)&lt;0,0,gstar-K487)</f>
        <v>0</v>
      </c>
      <c r="M487" s="10">
        <f t="shared" si="228"/>
        <v>5.0968524114089826</v>
      </c>
      <c r="N487" s="10">
        <f t="shared" si="237"/>
        <v>8.26</v>
      </c>
      <c r="O487" s="10">
        <f t="shared" si="238"/>
        <v>0.31900000000000001</v>
      </c>
      <c r="P487" s="10">
        <f t="shared" si="229"/>
        <v>13.887030962904987</v>
      </c>
      <c r="Q487" s="42">
        <f t="shared" si="230"/>
        <v>0.22317796852616234</v>
      </c>
      <c r="R487" s="4">
        <f t="shared" si="231"/>
        <v>45195.209356805986</v>
      </c>
      <c r="S487">
        <f t="shared" ref="S487:S550" si="242">R487/1000^3</f>
        <v>4.5195209356805983E-5</v>
      </c>
      <c r="T487" s="41">
        <f t="shared" ref="T487:T550" si="243">(vc/1000^3-S487)</f>
        <v>1.3460916268507786E-4</v>
      </c>
      <c r="U487" s="42">
        <f t="shared" si="232"/>
        <v>8.1105062951256177E-2</v>
      </c>
      <c r="V487" s="42">
        <f t="shared" si="233"/>
        <v>0.45736126229283913</v>
      </c>
      <c r="W487" s="42">
        <f t="shared" si="234"/>
        <v>0.4534879559498754</v>
      </c>
      <c r="X487" s="42">
        <f t="shared" si="235"/>
        <v>3.8733063429637338E-3</v>
      </c>
      <c r="Y487" s="42">
        <f t="shared" si="239"/>
        <v>2.0800401048859597E-3</v>
      </c>
      <c r="Z487" s="10">
        <f t="shared" si="236"/>
        <v>15.452440706077901</v>
      </c>
      <c r="AA487">
        <f t="shared" ref="AA487:AA550" si="244">Z487*rat*to+patm*1000000</f>
        <v>5096777.7576763909</v>
      </c>
      <c r="AB487" s="10">
        <f t="shared" ref="AB487:AB550" si="245">AA487/1000000</f>
        <v>5.0967777576763913</v>
      </c>
      <c r="AC487" s="10">
        <f t="shared" ref="AC487:AC550" si="246">AB487-patm</f>
        <v>4.9957777576763913</v>
      </c>
      <c r="AD487" s="3">
        <f t="shared" ref="AD487:AD550" si="247">AC487*1000000/6895</f>
        <v>724.55079879280504</v>
      </c>
      <c r="AI487" s="94">
        <f t="shared" ref="AI487:AI550" si="248">($M487-patm)*1000000*$I487/SQRT(rat*to)*SQRT(k)*(2/(k+1))^((k+1)/2/(k-1))</f>
        <v>0.4534879559498754</v>
      </c>
    </row>
    <row r="488" spans="2:35">
      <c r="B488" s="39">
        <f t="shared" ref="B488:B551" si="249">1+B487</f>
        <v>460</v>
      </c>
      <c r="C488" s="42">
        <f t="shared" ref="C488:C551" si="250">xincp+C487</f>
        <v>3.0556354916035224</v>
      </c>
      <c r="D488" s="10">
        <f t="shared" ref="D488:D551" si="251">(F488-E488)/2</f>
        <v>2.4843645083960695</v>
      </c>
      <c r="E488" s="40">
        <f t="shared" ref="E488:E551" si="252">E487+ci*2*xincp</f>
        <v>26.111270983207859</v>
      </c>
      <c r="F488" s="40">
        <f t="shared" ref="F488:F551" si="253">F487-osi*2*xincp</f>
        <v>31.08</v>
      </c>
      <c r="G488" s="3">
        <f t="shared" ref="G488:G551" si="254">G487-ei*n*2*xincp</f>
        <v>201.95491606717511</v>
      </c>
      <c r="H488" s="3">
        <f t="shared" ref="H488:H551" si="255">PI()/4*(dto+erate*(two-D488)/two)^2</f>
        <v>81.256230789298584</v>
      </c>
      <c r="I488">
        <f t="shared" si="240"/>
        <v>8.1256230789298584E-5</v>
      </c>
      <c r="J488" s="4">
        <f t="shared" ref="J488:J551" si="256">PI()/4*dc^2-PI()/4*(F488^2-E488^2)</f>
        <v>535.48326799756182</v>
      </c>
      <c r="K488" s="40">
        <f t="shared" ref="K488:K551" si="257">J488/H488</f>
        <v>6.5900579290478829</v>
      </c>
      <c r="L488" s="40">
        <f t="shared" si="241"/>
        <v>0</v>
      </c>
      <c r="M488" s="10">
        <f t="shared" ref="M488:M551" si="258">AB487</f>
        <v>5.0967777576763913</v>
      </c>
      <c r="N488" s="10">
        <f t="shared" si="237"/>
        <v>8.26</v>
      </c>
      <c r="O488" s="10">
        <f t="shared" si="238"/>
        <v>0.31900000000000001</v>
      </c>
      <c r="P488" s="10">
        <f t="shared" ref="P488:P551" si="259">(1+kv*L488)*N488*M488^O488</f>
        <v>13.886966076797503</v>
      </c>
      <c r="Q488" s="42">
        <f t="shared" ref="Q488:Q551" si="260">xincp/P488+Q487</f>
        <v>0.22365630812997334</v>
      </c>
      <c r="R488" s="4">
        <f t="shared" ref="R488:R551" si="261">PI()/4*(F488^2-E488^2)*G488</f>
        <v>45073.301574022909</v>
      </c>
      <c r="S488">
        <f t="shared" si="242"/>
        <v>4.5073301574022909E-5</v>
      </c>
      <c r="T488" s="41">
        <f t="shared" si="243"/>
        <v>1.3473107046786092E-4</v>
      </c>
      <c r="U488" s="42">
        <f t="shared" ref="U488:U551" si="262">rhopgrain*R488/1000^2</f>
        <v>8.088629333966281E-2</v>
      </c>
      <c r="V488" s="42">
        <f t="shared" ref="V488:V551" si="263">(U487-U488)/(Q488-Q487)</f>
        <v>0.45735207758337409</v>
      </c>
      <c r="W488" s="42">
        <f t="shared" ref="W488:W551" si="264">IF(V488&lt;AI488,IF(AB487&gt;pbd,AI488,0),AI488)</f>
        <v>0.45348117941490024</v>
      </c>
      <c r="X488" s="42">
        <f t="shared" ref="X488:X551" si="265">V488-W488</f>
        <v>3.8708981684738575E-3</v>
      </c>
      <c r="Y488" s="42">
        <f t="shared" si="239"/>
        <v>2.0818917087822601E-3</v>
      </c>
      <c r="Z488" s="10">
        <f t="shared" ref="Z488:Z551" si="266">Y488/T488</f>
        <v>15.452201942378833</v>
      </c>
      <c r="AA488">
        <f t="shared" si="244"/>
        <v>5096700.565315661</v>
      </c>
      <c r="AB488" s="10">
        <f t="shared" si="245"/>
        <v>5.0967005653156612</v>
      </c>
      <c r="AC488" s="10">
        <f t="shared" si="246"/>
        <v>4.9957005653156612</v>
      </c>
      <c r="AD488" s="3">
        <f t="shared" si="247"/>
        <v>724.53960338153172</v>
      </c>
      <c r="AI488" s="94">
        <f t="shared" si="248"/>
        <v>0.45348117941490024</v>
      </c>
    </row>
    <row r="489" spans="2:35">
      <c r="B489" s="39">
        <f t="shared" si="249"/>
        <v>461</v>
      </c>
      <c r="C489" s="42">
        <f t="shared" si="250"/>
        <v>3.0622781774548344</v>
      </c>
      <c r="D489" s="10">
        <f t="shared" si="251"/>
        <v>2.4777218225447566</v>
      </c>
      <c r="E489" s="40">
        <f t="shared" si="252"/>
        <v>26.124556354910485</v>
      </c>
      <c r="F489" s="40">
        <f t="shared" si="253"/>
        <v>31.08</v>
      </c>
      <c r="G489" s="3">
        <f t="shared" si="254"/>
        <v>201.90177458036462</v>
      </c>
      <c r="H489" s="3">
        <f t="shared" si="255"/>
        <v>81.256230789298584</v>
      </c>
      <c r="I489">
        <f t="shared" si="240"/>
        <v>8.1256230789298584E-5</v>
      </c>
      <c r="J489" s="4">
        <f t="shared" si="256"/>
        <v>536.02831263213238</v>
      </c>
      <c r="K489" s="40">
        <f t="shared" si="257"/>
        <v>6.5967656563110868</v>
      </c>
      <c r="L489" s="40">
        <f t="shared" si="241"/>
        <v>0</v>
      </c>
      <c r="M489" s="10">
        <f t="shared" si="258"/>
        <v>5.0967005653156612</v>
      </c>
      <c r="N489" s="10">
        <f t="shared" si="237"/>
        <v>8.26</v>
      </c>
      <c r="O489" s="10">
        <f t="shared" si="238"/>
        <v>0.31900000000000001</v>
      </c>
      <c r="P489" s="10">
        <f t="shared" si="259"/>
        <v>13.886898983533014</v>
      </c>
      <c r="Q489" s="42">
        <f t="shared" si="260"/>
        <v>0.22413465004483776</v>
      </c>
      <c r="R489" s="4">
        <f t="shared" si="261"/>
        <v>44951.395714019556</v>
      </c>
      <c r="S489">
        <f t="shared" si="242"/>
        <v>4.4951395714019553E-5</v>
      </c>
      <c r="T489" s="41">
        <f t="shared" si="243"/>
        <v>1.3485297632786429E-4</v>
      </c>
      <c r="U489" s="42">
        <f t="shared" si="262"/>
        <v>8.0667527178593795E-2</v>
      </c>
      <c r="V489" s="42">
        <f t="shared" si="263"/>
        <v>0.45734265442955713</v>
      </c>
      <c r="W489" s="42">
        <f t="shared" si="264"/>
        <v>0.45347417244131494</v>
      </c>
      <c r="X489" s="42">
        <f t="shared" si="265"/>
        <v>3.8684819882421895E-3</v>
      </c>
      <c r="Y489" s="42">
        <f t="shared" si="239"/>
        <v>2.0837421658641345E-3</v>
      </c>
      <c r="Z489" s="10">
        <f t="shared" si="266"/>
        <v>15.451955326503066</v>
      </c>
      <c r="AA489">
        <f t="shared" si="244"/>
        <v>5096620.8343443349</v>
      </c>
      <c r="AB489" s="10">
        <f t="shared" si="245"/>
        <v>5.0966208343443347</v>
      </c>
      <c r="AC489" s="10">
        <f t="shared" si="246"/>
        <v>4.9956208343443347</v>
      </c>
      <c r="AD489" s="3">
        <f t="shared" si="247"/>
        <v>724.52803978888107</v>
      </c>
      <c r="AI489" s="94">
        <f t="shared" si="248"/>
        <v>0.45347417244131494</v>
      </c>
    </row>
    <row r="490" spans="2:35">
      <c r="B490" s="39">
        <f t="shared" si="249"/>
        <v>462</v>
      </c>
      <c r="C490" s="42">
        <f t="shared" si="250"/>
        <v>3.0689208633061464</v>
      </c>
      <c r="D490" s="10">
        <f t="shared" si="251"/>
        <v>2.4710791366934437</v>
      </c>
      <c r="E490" s="40">
        <f t="shared" si="252"/>
        <v>26.137841726613111</v>
      </c>
      <c r="F490" s="40">
        <f t="shared" si="253"/>
        <v>31.08</v>
      </c>
      <c r="G490" s="3">
        <f t="shared" si="254"/>
        <v>201.84863309355413</v>
      </c>
      <c r="H490" s="3">
        <f t="shared" si="255"/>
        <v>81.256230789298584</v>
      </c>
      <c r="I490">
        <f t="shared" si="240"/>
        <v>8.1256230789298584E-5</v>
      </c>
      <c r="J490" s="4">
        <f t="shared" si="256"/>
        <v>536.57363451398464</v>
      </c>
      <c r="K490" s="40">
        <f t="shared" si="257"/>
        <v>6.6034767955868707</v>
      </c>
      <c r="L490" s="40">
        <f t="shared" si="241"/>
        <v>0</v>
      </c>
      <c r="M490" s="10">
        <f t="shared" si="258"/>
        <v>5.0966208343443347</v>
      </c>
      <c r="N490" s="10">
        <f t="shared" si="237"/>
        <v>8.26</v>
      </c>
      <c r="O490" s="10">
        <f t="shared" si="238"/>
        <v>0.31900000000000001</v>
      </c>
      <c r="P490" s="10">
        <f t="shared" si="259"/>
        <v>13.886829683058476</v>
      </c>
      <c r="Q490" s="42">
        <f t="shared" si="260"/>
        <v>0.22461299434680726</v>
      </c>
      <c r="R490" s="4">
        <f t="shared" si="261"/>
        <v>44829.491820995907</v>
      </c>
      <c r="S490">
        <f t="shared" si="242"/>
        <v>4.4829491820995904E-5</v>
      </c>
      <c r="T490" s="41">
        <f t="shared" si="243"/>
        <v>1.3497488022088793E-4</v>
      </c>
      <c r="U490" s="42">
        <f t="shared" si="262"/>
        <v>8.0448764547368212E-2</v>
      </c>
      <c r="V490" s="42">
        <f t="shared" si="263"/>
        <v>0.45733299283563589</v>
      </c>
      <c r="W490" s="42">
        <f t="shared" si="264"/>
        <v>0.45346693503071223</v>
      </c>
      <c r="X490" s="42">
        <f t="shared" si="265"/>
        <v>3.8660578049236616E-3</v>
      </c>
      <c r="Y490" s="42">
        <f t="shared" si="239"/>
        <v>2.0855914725862045E-3</v>
      </c>
      <c r="Z490" s="10">
        <f t="shared" si="266"/>
        <v>15.45170085850871</v>
      </c>
      <c r="AA490">
        <f t="shared" si="244"/>
        <v>5096538.5647812011</v>
      </c>
      <c r="AB490" s="10">
        <f t="shared" si="245"/>
        <v>5.0965385647812012</v>
      </c>
      <c r="AC490" s="10">
        <f t="shared" si="246"/>
        <v>4.9955385647812012</v>
      </c>
      <c r="AD490" s="3">
        <f t="shared" si="247"/>
        <v>724.51610801757806</v>
      </c>
      <c r="AI490" s="94">
        <f t="shared" si="248"/>
        <v>0.45346693503071223</v>
      </c>
    </row>
    <row r="491" spans="2:35">
      <c r="B491" s="39">
        <f t="shared" si="249"/>
        <v>463</v>
      </c>
      <c r="C491" s="42">
        <f t="shared" si="250"/>
        <v>3.0755635491574584</v>
      </c>
      <c r="D491" s="10">
        <f t="shared" si="251"/>
        <v>2.4644364508421308</v>
      </c>
      <c r="E491" s="40">
        <f t="shared" si="252"/>
        <v>26.151127098315737</v>
      </c>
      <c r="F491" s="40">
        <f t="shared" si="253"/>
        <v>31.08</v>
      </c>
      <c r="G491" s="3">
        <f t="shared" si="254"/>
        <v>201.79549160674364</v>
      </c>
      <c r="H491" s="3">
        <f t="shared" si="255"/>
        <v>81.256230789298584</v>
      </c>
      <c r="I491">
        <f t="shared" si="240"/>
        <v>8.1256230789298584E-5</v>
      </c>
      <c r="J491" s="4">
        <f t="shared" si="256"/>
        <v>537.11923364311849</v>
      </c>
      <c r="K491" s="40">
        <f t="shared" si="257"/>
        <v>6.6101913468752347</v>
      </c>
      <c r="L491" s="40">
        <f t="shared" si="241"/>
        <v>0</v>
      </c>
      <c r="M491" s="10">
        <f t="shared" si="258"/>
        <v>5.0965385647812012</v>
      </c>
      <c r="N491" s="10">
        <f t="shared" si="237"/>
        <v>8.26</v>
      </c>
      <c r="O491" s="10">
        <f t="shared" si="238"/>
        <v>0.31900000000000001</v>
      </c>
      <c r="P491" s="10">
        <f t="shared" si="259"/>
        <v>13.886758175319681</v>
      </c>
      <c r="Q491" s="42">
        <f t="shared" si="260"/>
        <v>0.22509134111193763</v>
      </c>
      <c r="R491" s="4">
        <f t="shared" si="261"/>
        <v>44707.589939151949</v>
      </c>
      <c r="S491">
        <f t="shared" si="242"/>
        <v>4.470758993915195E-5</v>
      </c>
      <c r="T491" s="41">
        <f t="shared" si="243"/>
        <v>1.3509678210273188E-4</v>
      </c>
      <c r="U491" s="42">
        <f t="shared" si="262"/>
        <v>8.0230005525305126E-2</v>
      </c>
      <c r="V491" s="42">
        <f t="shared" si="263"/>
        <v>0.45732309280583688</v>
      </c>
      <c r="W491" s="42">
        <f t="shared" si="264"/>
        <v>0.45345946718479724</v>
      </c>
      <c r="X491" s="42">
        <f t="shared" si="265"/>
        <v>3.8636256210396458E-3</v>
      </c>
      <c r="Y491" s="42">
        <f t="shared" si="239"/>
        <v>2.0874396254037036E-3</v>
      </c>
      <c r="Z491" s="10">
        <f t="shared" si="266"/>
        <v>15.451438538457179</v>
      </c>
      <c r="AA491">
        <f t="shared" si="244"/>
        <v>5096453.7566461135</v>
      </c>
      <c r="AB491" s="10">
        <f t="shared" si="245"/>
        <v>5.0964537566461132</v>
      </c>
      <c r="AC491" s="10">
        <f t="shared" si="246"/>
        <v>4.9954537566461132</v>
      </c>
      <c r="AD491" s="3">
        <f t="shared" si="247"/>
        <v>724.50380807050226</v>
      </c>
      <c r="AI491" s="94">
        <f t="shared" si="248"/>
        <v>0.45345946718479724</v>
      </c>
    </row>
    <row r="492" spans="2:35">
      <c r="B492" s="39">
        <f t="shared" si="249"/>
        <v>464</v>
      </c>
      <c r="C492" s="42">
        <f t="shared" si="250"/>
        <v>3.0822062350087704</v>
      </c>
      <c r="D492" s="10">
        <f t="shared" si="251"/>
        <v>2.4577937649908179</v>
      </c>
      <c r="E492" s="40">
        <f t="shared" si="252"/>
        <v>26.164412470018362</v>
      </c>
      <c r="F492" s="40">
        <f t="shared" si="253"/>
        <v>31.08</v>
      </c>
      <c r="G492" s="3">
        <f t="shared" si="254"/>
        <v>201.74235011993315</v>
      </c>
      <c r="H492" s="3">
        <f t="shared" si="255"/>
        <v>81.256230789298584</v>
      </c>
      <c r="I492">
        <f t="shared" si="240"/>
        <v>8.1256230789298584E-5</v>
      </c>
      <c r="J492" s="4">
        <f t="shared" si="256"/>
        <v>537.66511001953381</v>
      </c>
      <c r="K492" s="40">
        <f t="shared" si="257"/>
        <v>6.616909310176176</v>
      </c>
      <c r="L492" s="40">
        <f t="shared" si="241"/>
        <v>0</v>
      </c>
      <c r="M492" s="10">
        <f t="shared" si="258"/>
        <v>5.0964537566461132</v>
      </c>
      <c r="N492" s="10">
        <f t="shared" si="237"/>
        <v>8.26</v>
      </c>
      <c r="O492" s="10">
        <f t="shared" si="238"/>
        <v>0.31900000000000001</v>
      </c>
      <c r="P492" s="10">
        <f t="shared" si="259"/>
        <v>13.886684460261099</v>
      </c>
      <c r="Q492" s="42">
        <f t="shared" si="260"/>
        <v>0.22556969041628894</v>
      </c>
      <c r="R492" s="4">
        <f t="shared" si="261"/>
        <v>44585.690112687706</v>
      </c>
      <c r="S492">
        <f t="shared" si="242"/>
        <v>4.4585690112687706E-5</v>
      </c>
      <c r="T492" s="41">
        <f t="shared" si="243"/>
        <v>1.3521868192919613E-4</v>
      </c>
      <c r="U492" s="42">
        <f t="shared" si="262"/>
        <v>8.0011250191723712E-2</v>
      </c>
      <c r="V492" s="42">
        <f t="shared" si="263"/>
        <v>0.45731295434424729</v>
      </c>
      <c r="W492" s="42">
        <f t="shared" si="264"/>
        <v>0.45345176890537225</v>
      </c>
      <c r="X492" s="42">
        <f t="shared" si="265"/>
        <v>3.8611854388750366E-3</v>
      </c>
      <c r="Y492" s="42">
        <f t="shared" si="239"/>
        <v>2.0892866207723607E-3</v>
      </c>
      <c r="Z492" s="10">
        <f t="shared" si="266"/>
        <v>15.451168366412292</v>
      </c>
      <c r="AA492">
        <f t="shared" si="244"/>
        <v>5096366.4099597055</v>
      </c>
      <c r="AB492" s="10">
        <f t="shared" si="245"/>
        <v>5.0963664099597059</v>
      </c>
      <c r="AC492" s="10">
        <f t="shared" si="246"/>
        <v>4.9953664099597059</v>
      </c>
      <c r="AD492" s="3">
        <f t="shared" si="247"/>
        <v>724.49113995064624</v>
      </c>
      <c r="AI492" s="94">
        <f t="shared" si="248"/>
        <v>0.45345176890537225</v>
      </c>
    </row>
    <row r="493" spans="2:35">
      <c r="B493" s="39">
        <f t="shared" si="249"/>
        <v>465</v>
      </c>
      <c r="C493" s="42">
        <f t="shared" si="250"/>
        <v>3.0888489208600824</v>
      </c>
      <c r="D493" s="10">
        <f t="shared" si="251"/>
        <v>2.451151079139505</v>
      </c>
      <c r="E493" s="40">
        <f t="shared" si="252"/>
        <v>26.177697841720988</v>
      </c>
      <c r="F493" s="40">
        <f t="shared" si="253"/>
        <v>31.08</v>
      </c>
      <c r="G493" s="3">
        <f t="shared" si="254"/>
        <v>201.68920863312266</v>
      </c>
      <c r="H493" s="3">
        <f t="shared" si="255"/>
        <v>81.256230789298584</v>
      </c>
      <c r="I493">
        <f t="shared" si="240"/>
        <v>8.1256230789298584E-5</v>
      </c>
      <c r="J493" s="4">
        <f t="shared" si="256"/>
        <v>538.21126364323061</v>
      </c>
      <c r="K493" s="40">
        <f t="shared" si="257"/>
        <v>6.6236306854896947</v>
      </c>
      <c r="L493" s="40">
        <f t="shared" si="241"/>
        <v>0</v>
      </c>
      <c r="M493" s="10">
        <f t="shared" si="258"/>
        <v>5.0963664099597059</v>
      </c>
      <c r="N493" s="10">
        <f t="shared" si="237"/>
        <v>8.26</v>
      </c>
      <c r="O493" s="10">
        <f t="shared" si="238"/>
        <v>0.31900000000000001</v>
      </c>
      <c r="P493" s="10">
        <f t="shared" si="259"/>
        <v>13.886608537825627</v>
      </c>
      <c r="Q493" s="42">
        <f t="shared" si="260"/>
        <v>0.22604804233592563</v>
      </c>
      <c r="R493" s="4">
        <f t="shared" si="261"/>
        <v>44463.792385803165</v>
      </c>
      <c r="S493">
        <f t="shared" si="242"/>
        <v>4.4463792385803163E-5</v>
      </c>
      <c r="T493" s="41">
        <f t="shared" si="243"/>
        <v>1.3534057965608066E-4</v>
      </c>
      <c r="U493" s="42">
        <f t="shared" si="262"/>
        <v>7.9792498625943065E-2</v>
      </c>
      <c r="V493" s="42">
        <f t="shared" si="263"/>
        <v>0.4573025774555084</v>
      </c>
      <c r="W493" s="42">
        <f t="shared" si="264"/>
        <v>0.45344384019431028</v>
      </c>
      <c r="X493" s="42">
        <f t="shared" si="265"/>
        <v>3.8587372611981197E-3</v>
      </c>
      <c r="Y493" s="42">
        <f t="shared" si="239"/>
        <v>2.0911324551486283E-3</v>
      </c>
      <c r="Z493" s="10">
        <f t="shared" si="266"/>
        <v>15.450890342441921</v>
      </c>
      <c r="AA493">
        <f t="shared" si="244"/>
        <v>5096276.5247439202</v>
      </c>
      <c r="AB493" s="10">
        <f t="shared" si="245"/>
        <v>5.0962765247439199</v>
      </c>
      <c r="AC493" s="10">
        <f t="shared" si="246"/>
        <v>4.9952765247439199</v>
      </c>
      <c r="AD493" s="3">
        <f t="shared" si="247"/>
        <v>724.47810366119222</v>
      </c>
      <c r="AI493" s="94">
        <f t="shared" si="248"/>
        <v>0.45344384019431028</v>
      </c>
    </row>
    <row r="494" spans="2:35">
      <c r="B494" s="39">
        <f t="shared" si="249"/>
        <v>466</v>
      </c>
      <c r="C494" s="42">
        <f t="shared" si="250"/>
        <v>3.0954916067113945</v>
      </c>
      <c r="D494" s="10">
        <f t="shared" si="251"/>
        <v>2.4445083932881921</v>
      </c>
      <c r="E494" s="40">
        <f t="shared" si="252"/>
        <v>26.190983213423614</v>
      </c>
      <c r="F494" s="40">
        <f t="shared" si="253"/>
        <v>31.08</v>
      </c>
      <c r="G494" s="3">
        <f t="shared" si="254"/>
        <v>201.63606714631217</v>
      </c>
      <c r="H494" s="3">
        <f t="shared" si="255"/>
        <v>81.256230789298584</v>
      </c>
      <c r="I494">
        <f t="shared" si="240"/>
        <v>8.1256230789298584E-5</v>
      </c>
      <c r="J494" s="4">
        <f t="shared" si="256"/>
        <v>538.75769451420911</v>
      </c>
      <c r="K494" s="40">
        <f t="shared" si="257"/>
        <v>6.6303554728157943</v>
      </c>
      <c r="L494" s="40">
        <f t="shared" si="241"/>
        <v>0</v>
      </c>
      <c r="M494" s="10">
        <f t="shared" si="258"/>
        <v>5.0962765247439199</v>
      </c>
      <c r="N494" s="10">
        <f t="shared" si="237"/>
        <v>8.26</v>
      </c>
      <c r="O494" s="10">
        <f t="shared" si="238"/>
        <v>0.31900000000000001</v>
      </c>
      <c r="P494" s="10">
        <f t="shared" si="259"/>
        <v>13.886530407955046</v>
      </c>
      <c r="Q494" s="42">
        <f t="shared" si="260"/>
        <v>0.22652639694691662</v>
      </c>
      <c r="R494" s="4">
        <f t="shared" si="261"/>
        <v>44341.896802698313</v>
      </c>
      <c r="S494">
        <f t="shared" si="242"/>
        <v>4.4341896802698313E-5</v>
      </c>
      <c r="T494" s="41">
        <f t="shared" si="243"/>
        <v>1.3546247523918553E-4</v>
      </c>
      <c r="U494" s="42">
        <f t="shared" si="262"/>
        <v>7.9573750907282262E-2</v>
      </c>
      <c r="V494" s="42">
        <f t="shared" si="263"/>
        <v>0.45729196214421158</v>
      </c>
      <c r="W494" s="42">
        <f t="shared" si="264"/>
        <v>0.45343568105360316</v>
      </c>
      <c r="X494" s="42">
        <f t="shared" si="265"/>
        <v>3.8562810906084266E-3</v>
      </c>
      <c r="Y494" s="42">
        <f t="shared" si="239"/>
        <v>2.0929771249895983E-3</v>
      </c>
      <c r="Z494" s="10">
        <f t="shared" si="266"/>
        <v>15.450604466617323</v>
      </c>
      <c r="AA494">
        <f t="shared" si="244"/>
        <v>5096184.1010217937</v>
      </c>
      <c r="AB494" s="10">
        <f t="shared" si="245"/>
        <v>5.0961841010217936</v>
      </c>
      <c r="AC494" s="10">
        <f t="shared" si="246"/>
        <v>4.9951841010217937</v>
      </c>
      <c r="AD494" s="3">
        <f t="shared" si="247"/>
        <v>724.46469920548134</v>
      </c>
      <c r="AI494" s="94">
        <f t="shared" si="248"/>
        <v>0.45343568105360316</v>
      </c>
    </row>
    <row r="495" spans="2:35">
      <c r="B495" s="39">
        <f t="shared" si="249"/>
        <v>467</v>
      </c>
      <c r="C495" s="42">
        <f t="shared" si="250"/>
        <v>3.1021342925627065</v>
      </c>
      <c r="D495" s="10">
        <f t="shared" si="251"/>
        <v>2.4378657074368792</v>
      </c>
      <c r="E495" s="40">
        <f t="shared" si="252"/>
        <v>26.20426858512624</v>
      </c>
      <c r="F495" s="40">
        <f t="shared" si="253"/>
        <v>31.08</v>
      </c>
      <c r="G495" s="3">
        <f t="shared" si="254"/>
        <v>201.58292565950168</v>
      </c>
      <c r="H495" s="3">
        <f t="shared" si="255"/>
        <v>81.256230789298584</v>
      </c>
      <c r="I495">
        <f t="shared" si="240"/>
        <v>8.1256230789298584E-5</v>
      </c>
      <c r="J495" s="4">
        <f t="shared" si="256"/>
        <v>539.30440263246919</v>
      </c>
      <c r="K495" s="40">
        <f t="shared" si="257"/>
        <v>6.637083672154473</v>
      </c>
      <c r="L495" s="40">
        <f t="shared" si="241"/>
        <v>0</v>
      </c>
      <c r="M495" s="10">
        <f t="shared" si="258"/>
        <v>5.0961841010217936</v>
      </c>
      <c r="N495" s="10">
        <f t="shared" si="237"/>
        <v>8.26</v>
      </c>
      <c r="O495" s="10">
        <f t="shared" si="238"/>
        <v>0.31900000000000001</v>
      </c>
      <c r="P495" s="10">
        <f t="shared" si="259"/>
        <v>13.886450070589856</v>
      </c>
      <c r="Q495" s="42">
        <f t="shared" si="260"/>
        <v>0.22700475432533551</v>
      </c>
      <c r="R495" s="4">
        <f t="shared" si="261"/>
        <v>44220.00340757316</v>
      </c>
      <c r="S495">
        <f t="shared" si="242"/>
        <v>4.422000340757316E-5</v>
      </c>
      <c r="T495" s="41">
        <f t="shared" si="243"/>
        <v>1.3558436863431067E-4</v>
      </c>
      <c r="U495" s="42">
        <f t="shared" si="262"/>
        <v>7.9355007115060411E-2</v>
      </c>
      <c r="V495" s="42">
        <f t="shared" si="263"/>
        <v>0.4572811084149298</v>
      </c>
      <c r="W495" s="42">
        <f t="shared" si="264"/>
        <v>0.453427291485342</v>
      </c>
      <c r="X495" s="42">
        <f t="shared" si="265"/>
        <v>3.8538169295878055E-3</v>
      </c>
      <c r="Y495" s="42">
        <f t="shared" si="239"/>
        <v>2.0948206267529424E-3</v>
      </c>
      <c r="Z495" s="10">
        <f t="shared" si="266"/>
        <v>15.450310739012668</v>
      </c>
      <c r="AA495">
        <f t="shared" si="244"/>
        <v>5096089.1388173075</v>
      </c>
      <c r="AB495" s="10">
        <f t="shared" si="245"/>
        <v>5.096089138817308</v>
      </c>
      <c r="AC495" s="10">
        <f t="shared" si="246"/>
        <v>4.995089138817308</v>
      </c>
      <c r="AD495" s="3">
        <f t="shared" si="247"/>
        <v>724.45092658699161</v>
      </c>
      <c r="AI495" s="94">
        <f t="shared" si="248"/>
        <v>0.453427291485342</v>
      </c>
    </row>
    <row r="496" spans="2:35">
      <c r="B496" s="39">
        <f t="shared" si="249"/>
        <v>468</v>
      </c>
      <c r="C496" s="42">
        <f t="shared" si="250"/>
        <v>3.1087769784140185</v>
      </c>
      <c r="D496" s="10">
        <f t="shared" si="251"/>
        <v>2.4312230215855664</v>
      </c>
      <c r="E496" s="40">
        <f t="shared" si="252"/>
        <v>26.217553956828866</v>
      </c>
      <c r="F496" s="40">
        <f t="shared" si="253"/>
        <v>31.08</v>
      </c>
      <c r="G496" s="3">
        <f t="shared" si="254"/>
        <v>201.52978417269119</v>
      </c>
      <c r="H496" s="3">
        <f t="shared" si="255"/>
        <v>81.256230789298584</v>
      </c>
      <c r="I496">
        <f t="shared" si="240"/>
        <v>8.1256230789298584E-5</v>
      </c>
      <c r="J496" s="4">
        <f t="shared" si="256"/>
        <v>539.85138799801075</v>
      </c>
      <c r="K496" s="40">
        <f t="shared" si="257"/>
        <v>6.6438152835057291</v>
      </c>
      <c r="L496" s="40">
        <f t="shared" si="241"/>
        <v>0</v>
      </c>
      <c r="M496" s="10">
        <f t="shared" si="258"/>
        <v>5.096089138817308</v>
      </c>
      <c r="N496" s="10">
        <f t="shared" si="237"/>
        <v>8.26</v>
      </c>
      <c r="O496" s="10">
        <f t="shared" si="238"/>
        <v>0.31900000000000001</v>
      </c>
      <c r="P496" s="10">
        <f t="shared" si="259"/>
        <v>13.886367525669108</v>
      </c>
      <c r="Q496" s="42">
        <f t="shared" si="260"/>
        <v>0.22748311454726058</v>
      </c>
      <c r="R496" s="4">
        <f t="shared" si="261"/>
        <v>44098.112244627708</v>
      </c>
      <c r="S496">
        <f t="shared" si="242"/>
        <v>4.4098112244627706E-5</v>
      </c>
      <c r="T496" s="41">
        <f t="shared" si="243"/>
        <v>1.3570625979725611E-4</v>
      </c>
      <c r="U496" s="42">
        <f t="shared" si="262"/>
        <v>7.9136267328596646E-2</v>
      </c>
      <c r="V496" s="42">
        <f t="shared" si="263"/>
        <v>0.4572700162724373</v>
      </c>
      <c r="W496" s="42">
        <f t="shared" si="264"/>
        <v>0.45341867149170356</v>
      </c>
      <c r="X496" s="42">
        <f t="shared" si="265"/>
        <v>3.8513447807337342E-3</v>
      </c>
      <c r="Y496" s="42">
        <f t="shared" si="239"/>
        <v>2.096662956896964E-3</v>
      </c>
      <c r="Z496" s="10">
        <f t="shared" si="266"/>
        <v>15.450009159705374</v>
      </c>
      <c r="AA496">
        <f t="shared" si="244"/>
        <v>5095991.6381554883</v>
      </c>
      <c r="AB496" s="10">
        <f t="shared" si="245"/>
        <v>5.0959916381554882</v>
      </c>
      <c r="AC496" s="10">
        <f t="shared" si="246"/>
        <v>4.9949916381554882</v>
      </c>
      <c r="AD496" s="3">
        <f t="shared" si="247"/>
        <v>724.43678580935295</v>
      </c>
      <c r="AI496" s="94">
        <f t="shared" si="248"/>
        <v>0.45341867149170356</v>
      </c>
    </row>
    <row r="497" spans="2:35">
      <c r="B497" s="39">
        <f t="shared" si="249"/>
        <v>469</v>
      </c>
      <c r="C497" s="42">
        <f t="shared" si="250"/>
        <v>3.1154196642653305</v>
      </c>
      <c r="D497" s="10">
        <f t="shared" si="251"/>
        <v>2.4245803357342535</v>
      </c>
      <c r="E497" s="40">
        <f t="shared" si="252"/>
        <v>26.230839328531491</v>
      </c>
      <c r="F497" s="40">
        <f t="shared" si="253"/>
        <v>31.08</v>
      </c>
      <c r="G497" s="3">
        <f t="shared" si="254"/>
        <v>201.47664268588071</v>
      </c>
      <c r="H497" s="3">
        <f t="shared" si="255"/>
        <v>81.256230789298584</v>
      </c>
      <c r="I497">
        <f t="shared" si="240"/>
        <v>8.1256230789298584E-5</v>
      </c>
      <c r="J497" s="4">
        <f t="shared" si="256"/>
        <v>540.3986506108339</v>
      </c>
      <c r="K497" s="40">
        <f t="shared" si="257"/>
        <v>6.6505503068695653</v>
      </c>
      <c r="L497" s="40">
        <f t="shared" si="241"/>
        <v>0</v>
      </c>
      <c r="M497" s="10">
        <f t="shared" si="258"/>
        <v>5.0959916381554882</v>
      </c>
      <c r="N497" s="10">
        <f t="shared" si="237"/>
        <v>8.26</v>
      </c>
      <c r="O497" s="10">
        <f t="shared" si="238"/>
        <v>0.31900000000000001</v>
      </c>
      <c r="P497" s="10">
        <f t="shared" si="259"/>
        <v>13.886282773130519</v>
      </c>
      <c r="Q497" s="42">
        <f t="shared" si="260"/>
        <v>0.22796147768877498</v>
      </c>
      <c r="R497" s="4">
        <f t="shared" si="261"/>
        <v>43976.22335806195</v>
      </c>
      <c r="S497">
        <f t="shared" si="242"/>
        <v>4.3976223358061952E-5</v>
      </c>
      <c r="T497" s="41">
        <f t="shared" si="243"/>
        <v>1.3582814868382187E-4</v>
      </c>
      <c r="U497" s="42">
        <f t="shared" si="262"/>
        <v>7.8917531627210061E-2</v>
      </c>
      <c r="V497" s="42">
        <f t="shared" si="263"/>
        <v>0.4572586857217219</v>
      </c>
      <c r="W497" s="42">
        <f t="shared" si="264"/>
        <v>0.45340982107495964</v>
      </c>
      <c r="X497" s="42">
        <f t="shared" si="265"/>
        <v>3.8488646467622623E-3</v>
      </c>
      <c r="Y497" s="42">
        <f t="shared" si="239"/>
        <v>2.0985041118806529E-3</v>
      </c>
      <c r="Z497" s="10">
        <f t="shared" si="266"/>
        <v>15.449699728776471</v>
      </c>
      <c r="AA497">
        <f t="shared" si="244"/>
        <v>5095891.5990625359</v>
      </c>
      <c r="AB497" s="10">
        <f t="shared" si="245"/>
        <v>5.0958915990625355</v>
      </c>
      <c r="AC497" s="10">
        <f t="shared" si="246"/>
        <v>4.9948915990625355</v>
      </c>
      <c r="AD497" s="3">
        <f t="shared" si="247"/>
        <v>724.42227687636489</v>
      </c>
      <c r="AI497" s="94">
        <f t="shared" si="248"/>
        <v>0.45340982107495964</v>
      </c>
    </row>
    <row r="498" spans="2:35">
      <c r="B498" s="39">
        <f t="shared" si="249"/>
        <v>470</v>
      </c>
      <c r="C498" s="42">
        <f t="shared" si="250"/>
        <v>3.1220623501166425</v>
      </c>
      <c r="D498" s="10">
        <f t="shared" si="251"/>
        <v>2.4179376498829406</v>
      </c>
      <c r="E498" s="40">
        <f t="shared" si="252"/>
        <v>26.244124700234117</v>
      </c>
      <c r="F498" s="40">
        <f t="shared" si="253"/>
        <v>31.08</v>
      </c>
      <c r="G498" s="3">
        <f t="shared" si="254"/>
        <v>201.42350119907022</v>
      </c>
      <c r="H498" s="3">
        <f t="shared" si="255"/>
        <v>81.256230789298584</v>
      </c>
      <c r="I498">
        <f t="shared" si="240"/>
        <v>8.1256230789298584E-5</v>
      </c>
      <c r="J498" s="4">
        <f t="shared" si="256"/>
        <v>540.94619047093863</v>
      </c>
      <c r="K498" s="40">
        <f t="shared" si="257"/>
        <v>6.6572887422459797</v>
      </c>
      <c r="L498" s="40">
        <f t="shared" si="241"/>
        <v>0</v>
      </c>
      <c r="M498" s="10">
        <f t="shared" si="258"/>
        <v>5.0958915990625355</v>
      </c>
      <c r="N498" s="10">
        <f t="shared" si="237"/>
        <v>8.26</v>
      </c>
      <c r="O498" s="10">
        <f t="shared" si="238"/>
        <v>0.31900000000000001</v>
      </c>
      <c r="P498" s="10">
        <f t="shared" si="259"/>
        <v>13.886195812910589</v>
      </c>
      <c r="Q498" s="42">
        <f t="shared" si="260"/>
        <v>0.22843984382596685</v>
      </c>
      <c r="R498" s="4">
        <f t="shared" si="261"/>
        <v>43854.336792075876</v>
      </c>
      <c r="S498">
        <f t="shared" si="242"/>
        <v>4.3854336792075874E-5</v>
      </c>
      <c r="T498" s="41">
        <f t="shared" si="243"/>
        <v>1.3595003524980795E-4</v>
      </c>
      <c r="U498" s="42">
        <f t="shared" si="262"/>
        <v>7.8698800090219748E-2</v>
      </c>
      <c r="V498" s="42">
        <f t="shared" si="263"/>
        <v>0.45724711676775315</v>
      </c>
      <c r="W498" s="42">
        <f t="shared" si="264"/>
        <v>0.45340074023748844</v>
      </c>
      <c r="X498" s="42">
        <f t="shared" si="265"/>
        <v>3.8463765302647057E-3</v>
      </c>
      <c r="Y498" s="42">
        <f t="shared" si="239"/>
        <v>2.100344088163621E-3</v>
      </c>
      <c r="Z498" s="10">
        <f t="shared" si="266"/>
        <v>15.449382446310091</v>
      </c>
      <c r="AA498">
        <f t="shared" si="244"/>
        <v>5095789.0215656469</v>
      </c>
      <c r="AB498" s="10">
        <f t="shared" si="245"/>
        <v>5.0957890215656469</v>
      </c>
      <c r="AC498" s="10">
        <f t="shared" si="246"/>
        <v>4.994789021565647</v>
      </c>
      <c r="AD498" s="3">
        <f t="shared" si="247"/>
        <v>724.40739979197201</v>
      </c>
      <c r="AI498" s="94">
        <f t="shared" si="248"/>
        <v>0.45340074023748844</v>
      </c>
    </row>
    <row r="499" spans="2:35">
      <c r="B499" s="39">
        <f t="shared" si="249"/>
        <v>471</v>
      </c>
      <c r="C499" s="42">
        <f t="shared" si="250"/>
        <v>3.1287050359679545</v>
      </c>
      <c r="D499" s="10">
        <f t="shared" si="251"/>
        <v>2.4112949640316277</v>
      </c>
      <c r="E499" s="40">
        <f t="shared" si="252"/>
        <v>26.257410071936743</v>
      </c>
      <c r="F499" s="40">
        <f t="shared" si="253"/>
        <v>31.08</v>
      </c>
      <c r="G499" s="3">
        <f t="shared" si="254"/>
        <v>201.37035971225973</v>
      </c>
      <c r="H499" s="3">
        <f t="shared" si="255"/>
        <v>81.256230789298584</v>
      </c>
      <c r="I499">
        <f t="shared" si="240"/>
        <v>8.1256230789298584E-5</v>
      </c>
      <c r="J499" s="4">
        <f t="shared" si="256"/>
        <v>541.49400757832484</v>
      </c>
      <c r="K499" s="40">
        <f t="shared" si="257"/>
        <v>6.6640305896349723</v>
      </c>
      <c r="L499" s="40">
        <f t="shared" si="241"/>
        <v>0</v>
      </c>
      <c r="M499" s="10">
        <f t="shared" si="258"/>
        <v>5.0957890215656469</v>
      </c>
      <c r="N499" s="10">
        <f t="shared" si="237"/>
        <v>8.26</v>
      </c>
      <c r="O499" s="10">
        <f t="shared" si="238"/>
        <v>0.31900000000000001</v>
      </c>
      <c r="P499" s="10">
        <f t="shared" si="259"/>
        <v>13.886106644944414</v>
      </c>
      <c r="Q499" s="42">
        <f t="shared" si="260"/>
        <v>0.22891821303492943</v>
      </c>
      <c r="R499" s="4">
        <f t="shared" si="261"/>
        <v>43732.452590869507</v>
      </c>
      <c r="S499">
        <f t="shared" si="242"/>
        <v>4.3732452590869507E-5</v>
      </c>
      <c r="T499" s="41">
        <f t="shared" si="243"/>
        <v>1.3607191945101433E-4</v>
      </c>
      <c r="U499" s="42">
        <f t="shared" si="262"/>
        <v>7.8480072796944869E-2</v>
      </c>
      <c r="V499" s="42">
        <f t="shared" si="263"/>
        <v>0.4572353094155569</v>
      </c>
      <c r="W499" s="42">
        <f t="shared" si="264"/>
        <v>0.45339142898175866</v>
      </c>
      <c r="X499" s="42">
        <f t="shared" si="265"/>
        <v>3.8438804337982413E-3</v>
      </c>
      <c r="Y499" s="42">
        <f t="shared" si="239"/>
        <v>2.102182882206084E-3</v>
      </c>
      <c r="Z499" s="10">
        <f t="shared" si="266"/>
        <v>15.449057312393293</v>
      </c>
      <c r="AA499">
        <f t="shared" si="244"/>
        <v>5095683.9056929713</v>
      </c>
      <c r="AB499" s="10">
        <f t="shared" si="245"/>
        <v>5.0956839056929715</v>
      </c>
      <c r="AC499" s="10">
        <f t="shared" si="246"/>
        <v>4.9946839056929715</v>
      </c>
      <c r="AD499" s="3">
        <f t="shared" si="247"/>
        <v>724.39215456025693</v>
      </c>
      <c r="AI499" s="94">
        <f t="shared" si="248"/>
        <v>0.45339142898175866</v>
      </c>
    </row>
    <row r="500" spans="2:35">
      <c r="B500" s="39">
        <f t="shared" si="249"/>
        <v>472</v>
      </c>
      <c r="C500" s="42">
        <f t="shared" si="250"/>
        <v>3.1353477218192665</v>
      </c>
      <c r="D500" s="10">
        <f t="shared" si="251"/>
        <v>2.4046522781803148</v>
      </c>
      <c r="E500" s="40">
        <f t="shared" si="252"/>
        <v>26.270695443639369</v>
      </c>
      <c r="F500" s="40">
        <f t="shared" si="253"/>
        <v>31.08</v>
      </c>
      <c r="G500" s="3">
        <f t="shared" si="254"/>
        <v>201.31721822544924</v>
      </c>
      <c r="H500" s="3">
        <f t="shared" si="255"/>
        <v>81.256230789298584</v>
      </c>
      <c r="I500">
        <f t="shared" si="240"/>
        <v>8.1256230789298584E-5</v>
      </c>
      <c r="J500" s="4">
        <f t="shared" si="256"/>
        <v>542.04210193299264</v>
      </c>
      <c r="K500" s="40">
        <f t="shared" si="257"/>
        <v>6.6707758490365441</v>
      </c>
      <c r="L500" s="40">
        <f t="shared" si="241"/>
        <v>0</v>
      </c>
      <c r="M500" s="10">
        <f t="shared" si="258"/>
        <v>5.0956839056929715</v>
      </c>
      <c r="N500" s="10">
        <f t="shared" si="237"/>
        <v>8.26</v>
      </c>
      <c r="O500" s="10">
        <f t="shared" si="238"/>
        <v>0.31900000000000001</v>
      </c>
      <c r="P500" s="10">
        <f t="shared" si="259"/>
        <v>13.886015269165686</v>
      </c>
      <c r="Q500" s="42">
        <f t="shared" si="260"/>
        <v>0.22939658539176114</v>
      </c>
      <c r="R500" s="4">
        <f t="shared" si="261"/>
        <v>43610.570798642824</v>
      </c>
      <c r="S500">
        <f t="shared" si="242"/>
        <v>4.3610570798642826E-5</v>
      </c>
      <c r="T500" s="41">
        <f t="shared" si="243"/>
        <v>1.36193801243241E-4</v>
      </c>
      <c r="U500" s="42">
        <f t="shared" si="262"/>
        <v>7.8261349826704477E-2</v>
      </c>
      <c r="V500" s="42">
        <f t="shared" si="263"/>
        <v>0.45722326367060478</v>
      </c>
      <c r="W500" s="42">
        <f t="shared" si="264"/>
        <v>0.45338188731032564</v>
      </c>
      <c r="X500" s="42">
        <f t="shared" si="265"/>
        <v>3.8413763602791473E-3</v>
      </c>
      <c r="Y500" s="42">
        <f t="shared" si="239"/>
        <v>2.1040204904690285E-3</v>
      </c>
      <c r="Z500" s="10">
        <f t="shared" si="266"/>
        <v>15.448724327117247</v>
      </c>
      <c r="AA500">
        <f t="shared" si="244"/>
        <v>5095576.251473981</v>
      </c>
      <c r="AB500" s="10">
        <f t="shared" si="245"/>
        <v>5.0955762514739806</v>
      </c>
      <c r="AC500" s="10">
        <f t="shared" si="246"/>
        <v>4.9945762514739807</v>
      </c>
      <c r="AD500" s="3">
        <f t="shared" si="247"/>
        <v>724.37654118549392</v>
      </c>
      <c r="AI500" s="94">
        <f t="shared" si="248"/>
        <v>0.45338188731032564</v>
      </c>
    </row>
    <row r="501" spans="2:35">
      <c r="B501" s="39">
        <f t="shared" si="249"/>
        <v>473</v>
      </c>
      <c r="C501" s="42">
        <f t="shared" si="250"/>
        <v>3.1419904076705785</v>
      </c>
      <c r="D501" s="10">
        <f t="shared" si="251"/>
        <v>2.3980095923290019</v>
      </c>
      <c r="E501" s="40">
        <f t="shared" si="252"/>
        <v>26.283980815341994</v>
      </c>
      <c r="F501" s="40">
        <f t="shared" si="253"/>
        <v>31.08</v>
      </c>
      <c r="G501" s="3">
        <f t="shared" si="254"/>
        <v>201.26407673863875</v>
      </c>
      <c r="H501" s="3">
        <f t="shared" si="255"/>
        <v>81.256230789298584</v>
      </c>
      <c r="I501">
        <f t="shared" si="240"/>
        <v>8.1256230789298584E-5</v>
      </c>
      <c r="J501" s="4">
        <f t="shared" si="256"/>
        <v>542.59047353494202</v>
      </c>
      <c r="K501" s="40">
        <f t="shared" si="257"/>
        <v>6.677524520450695</v>
      </c>
      <c r="L501" s="40">
        <f t="shared" si="241"/>
        <v>0</v>
      </c>
      <c r="M501" s="10">
        <f t="shared" si="258"/>
        <v>5.0955762514739806</v>
      </c>
      <c r="N501" s="10">
        <f t="shared" si="237"/>
        <v>8.26</v>
      </c>
      <c r="O501" s="10">
        <f t="shared" si="238"/>
        <v>0.31900000000000001</v>
      </c>
      <c r="P501" s="10">
        <f t="shared" si="259"/>
        <v>13.885921685506982</v>
      </c>
      <c r="Q501" s="42">
        <f t="shared" si="260"/>
        <v>0.22987496097256577</v>
      </c>
      <c r="R501" s="4">
        <f t="shared" si="261"/>
        <v>43488.691459595815</v>
      </c>
      <c r="S501">
        <f t="shared" si="242"/>
        <v>4.3488691459595813E-5</v>
      </c>
      <c r="T501" s="41">
        <f t="shared" si="243"/>
        <v>1.3631568058228803E-4</v>
      </c>
      <c r="U501" s="42">
        <f t="shared" si="262"/>
        <v>7.8042631258817663E-2</v>
      </c>
      <c r="V501" s="42">
        <f t="shared" si="263"/>
        <v>0.45721097953814471</v>
      </c>
      <c r="W501" s="42">
        <f t="shared" si="264"/>
        <v>0.45337211522586457</v>
      </c>
      <c r="X501" s="42">
        <f t="shared" si="265"/>
        <v>3.8388643122801436E-3</v>
      </c>
      <c r="Y501" s="42">
        <f t="shared" si="239"/>
        <v>2.1058569094140455E-3</v>
      </c>
      <c r="Z501" s="10">
        <f t="shared" si="266"/>
        <v>15.448383490575967</v>
      </c>
      <c r="AA501">
        <f t="shared" si="244"/>
        <v>5095466.0589390714</v>
      </c>
      <c r="AB501" s="10">
        <f t="shared" si="245"/>
        <v>5.0954660589390715</v>
      </c>
      <c r="AC501" s="10">
        <f t="shared" si="246"/>
        <v>4.9944660589390715</v>
      </c>
      <c r="AD501" s="3">
        <f t="shared" si="247"/>
        <v>724.36055967209154</v>
      </c>
      <c r="AI501" s="94">
        <f t="shared" si="248"/>
        <v>0.45337211522586457</v>
      </c>
    </row>
    <row r="502" spans="2:35">
      <c r="B502" s="39">
        <f t="shared" si="249"/>
        <v>474</v>
      </c>
      <c r="C502" s="42">
        <f t="shared" si="250"/>
        <v>3.1486330935218905</v>
      </c>
      <c r="D502" s="10">
        <f t="shared" si="251"/>
        <v>2.391366906477689</v>
      </c>
      <c r="E502" s="40">
        <f t="shared" si="252"/>
        <v>26.29726618704462</v>
      </c>
      <c r="F502" s="40">
        <f t="shared" si="253"/>
        <v>31.08</v>
      </c>
      <c r="G502" s="3">
        <f t="shared" si="254"/>
        <v>201.21093525182826</v>
      </c>
      <c r="H502" s="3">
        <f t="shared" si="255"/>
        <v>81.256230789298584</v>
      </c>
      <c r="I502">
        <f t="shared" si="240"/>
        <v>8.1256230789298584E-5</v>
      </c>
      <c r="J502" s="4">
        <f t="shared" si="256"/>
        <v>543.13912238417311</v>
      </c>
      <c r="K502" s="40">
        <f t="shared" si="257"/>
        <v>6.6842766038774259</v>
      </c>
      <c r="L502" s="40">
        <f t="shared" si="241"/>
        <v>0</v>
      </c>
      <c r="M502" s="10">
        <f t="shared" si="258"/>
        <v>5.0954660589390715</v>
      </c>
      <c r="N502" s="10">
        <f t="shared" si="237"/>
        <v>8.26</v>
      </c>
      <c r="O502" s="10">
        <f t="shared" si="238"/>
        <v>0.31900000000000001</v>
      </c>
      <c r="P502" s="10">
        <f t="shared" si="259"/>
        <v>13.885825893899439</v>
      </c>
      <c r="Q502" s="42">
        <f t="shared" si="260"/>
        <v>0.23035333985345252</v>
      </c>
      <c r="R502" s="4">
        <f t="shared" si="261"/>
        <v>43366.814617928496</v>
      </c>
      <c r="S502">
        <f t="shared" si="242"/>
        <v>4.3366814617928497E-5</v>
      </c>
      <c r="T502" s="41">
        <f t="shared" si="243"/>
        <v>1.3643755742395535E-4</v>
      </c>
      <c r="U502" s="42">
        <f t="shared" si="262"/>
        <v>7.7823917172603577E-2</v>
      </c>
      <c r="V502" s="42">
        <f t="shared" si="263"/>
        <v>0.45719845702357037</v>
      </c>
      <c r="W502" s="42">
        <f t="shared" si="264"/>
        <v>0.45336211273113458</v>
      </c>
      <c r="X502" s="42">
        <f t="shared" si="265"/>
        <v>3.8363442924357893E-3</v>
      </c>
      <c r="Y502" s="42">
        <f t="shared" si="239"/>
        <v>2.1076921355033572E-3</v>
      </c>
      <c r="Z502" s="10">
        <f t="shared" si="266"/>
        <v>15.448034802866488</v>
      </c>
      <c r="AA502">
        <f t="shared" si="244"/>
        <v>5095353.328119616</v>
      </c>
      <c r="AB502" s="10">
        <f t="shared" si="245"/>
        <v>5.0953533281196162</v>
      </c>
      <c r="AC502" s="10">
        <f t="shared" si="246"/>
        <v>4.9943533281196162</v>
      </c>
      <c r="AD502" s="3">
        <f t="shared" si="247"/>
        <v>724.34421002459987</v>
      </c>
      <c r="AI502" s="94">
        <f t="shared" si="248"/>
        <v>0.45336211273113458</v>
      </c>
    </row>
    <row r="503" spans="2:35">
      <c r="B503" s="39">
        <f t="shared" si="249"/>
        <v>475</v>
      </c>
      <c r="C503" s="42">
        <f t="shared" si="250"/>
        <v>3.1552757793732025</v>
      </c>
      <c r="D503" s="10">
        <f t="shared" si="251"/>
        <v>2.3847242206263761</v>
      </c>
      <c r="E503" s="40">
        <f t="shared" si="252"/>
        <v>26.310551558747246</v>
      </c>
      <c r="F503" s="40">
        <f t="shared" si="253"/>
        <v>31.08</v>
      </c>
      <c r="G503" s="3">
        <f t="shared" si="254"/>
        <v>201.15779376501777</v>
      </c>
      <c r="H503" s="3">
        <f t="shared" si="255"/>
        <v>81.256230789298584</v>
      </c>
      <c r="I503">
        <f t="shared" si="240"/>
        <v>8.1256230789298584E-5</v>
      </c>
      <c r="J503" s="4">
        <f t="shared" si="256"/>
        <v>543.68804848068555</v>
      </c>
      <c r="K503" s="40">
        <f t="shared" si="257"/>
        <v>6.6910320993167343</v>
      </c>
      <c r="L503" s="40">
        <f t="shared" si="241"/>
        <v>0</v>
      </c>
      <c r="M503" s="10">
        <f t="shared" si="258"/>
        <v>5.0953533281196162</v>
      </c>
      <c r="N503" s="10">
        <f t="shared" si="237"/>
        <v>8.26</v>
      </c>
      <c r="O503" s="10">
        <f t="shared" si="238"/>
        <v>0.31900000000000001</v>
      </c>
      <c r="P503" s="10">
        <f t="shared" si="259"/>
        <v>13.88572789427279</v>
      </c>
      <c r="Q503" s="42">
        <f t="shared" si="260"/>
        <v>0.23083172211053621</v>
      </c>
      <c r="R503" s="4">
        <f t="shared" si="261"/>
        <v>43244.940317840868</v>
      </c>
      <c r="S503">
        <f t="shared" si="242"/>
        <v>4.3244940317840866E-5</v>
      </c>
      <c r="T503" s="41">
        <f t="shared" si="243"/>
        <v>1.3655943172404298E-4</v>
      </c>
      <c r="U503" s="42">
        <f t="shared" si="262"/>
        <v>7.7605207647381325E-2</v>
      </c>
      <c r="V503" s="42">
        <f t="shared" si="263"/>
        <v>0.45718569613252091</v>
      </c>
      <c r="W503" s="42">
        <f t="shared" si="264"/>
        <v>0.45335187982898351</v>
      </c>
      <c r="X503" s="42">
        <f t="shared" si="265"/>
        <v>3.8338163035374073E-3</v>
      </c>
      <c r="Y503" s="42">
        <f t="shared" si="239"/>
        <v>2.1095261651998876E-3</v>
      </c>
      <c r="Z503" s="10">
        <f t="shared" si="266"/>
        <v>15.447678264089316</v>
      </c>
      <c r="AA503">
        <f t="shared" si="244"/>
        <v>5095238.059048106</v>
      </c>
      <c r="AB503" s="10">
        <f t="shared" si="245"/>
        <v>5.0952380590481061</v>
      </c>
      <c r="AC503" s="10">
        <f t="shared" si="246"/>
        <v>4.9942380590481061</v>
      </c>
      <c r="AD503" s="3">
        <f t="shared" si="247"/>
        <v>724.32749224773113</v>
      </c>
      <c r="AI503" s="94">
        <f t="shared" si="248"/>
        <v>0.45335187982898351</v>
      </c>
    </row>
    <row r="504" spans="2:35">
      <c r="B504" s="39">
        <f t="shared" si="249"/>
        <v>476</v>
      </c>
      <c r="C504" s="42">
        <f t="shared" si="250"/>
        <v>3.1619184652245145</v>
      </c>
      <c r="D504" s="10">
        <f t="shared" si="251"/>
        <v>2.3780815347750632</v>
      </c>
      <c r="E504" s="40">
        <f t="shared" si="252"/>
        <v>26.323836930449872</v>
      </c>
      <c r="F504" s="40">
        <f t="shared" si="253"/>
        <v>31.08</v>
      </c>
      <c r="G504" s="3">
        <f t="shared" si="254"/>
        <v>201.10465227820728</v>
      </c>
      <c r="H504" s="3">
        <f t="shared" si="255"/>
        <v>81.256230789298584</v>
      </c>
      <c r="I504">
        <f t="shared" si="240"/>
        <v>8.1256230789298584E-5</v>
      </c>
      <c r="J504" s="4">
        <f t="shared" si="256"/>
        <v>544.23725182447959</v>
      </c>
      <c r="K504" s="40">
        <f t="shared" si="257"/>
        <v>6.6977910067686208</v>
      </c>
      <c r="L504" s="40">
        <f t="shared" si="241"/>
        <v>0</v>
      </c>
      <c r="M504" s="10">
        <f t="shared" si="258"/>
        <v>5.0952380590481061</v>
      </c>
      <c r="N504" s="10">
        <f t="shared" si="237"/>
        <v>8.26</v>
      </c>
      <c r="O504" s="10">
        <f t="shared" si="238"/>
        <v>0.31900000000000001</v>
      </c>
      <c r="P504" s="10">
        <f t="shared" si="259"/>
        <v>13.885627686555491</v>
      </c>
      <c r="Q504" s="42">
        <f t="shared" si="260"/>
        <v>0.23131010781993727</v>
      </c>
      <c r="R504" s="4">
        <f t="shared" si="261"/>
        <v>43123.06860353292</v>
      </c>
      <c r="S504">
        <f t="shared" si="242"/>
        <v>4.3123068603532923E-5</v>
      </c>
      <c r="T504" s="41">
        <f t="shared" si="243"/>
        <v>1.366813034383509E-4</v>
      </c>
      <c r="U504" s="42">
        <f t="shared" si="262"/>
        <v>7.738650276247E-2</v>
      </c>
      <c r="V504" s="42">
        <f t="shared" si="263"/>
        <v>0.45717269687077883</v>
      </c>
      <c r="W504" s="42">
        <f t="shared" si="264"/>
        <v>0.45334141652236054</v>
      </c>
      <c r="X504" s="42">
        <f t="shared" si="265"/>
        <v>3.8312803484182867E-3</v>
      </c>
      <c r="Y504" s="42">
        <f t="shared" si="239"/>
        <v>2.1113589949672803E-3</v>
      </c>
      <c r="Z504" s="10">
        <f t="shared" si="266"/>
        <v>15.447313874348536</v>
      </c>
      <c r="AA504">
        <f t="shared" si="244"/>
        <v>5095120.2517581945</v>
      </c>
      <c r="AB504" s="10">
        <f t="shared" si="245"/>
        <v>5.0951202517581944</v>
      </c>
      <c r="AC504" s="10">
        <f t="shared" si="246"/>
        <v>4.9941202517581944</v>
      </c>
      <c r="AD504" s="3">
        <f t="shared" si="247"/>
        <v>724.31040634636611</v>
      </c>
      <c r="AI504" s="94">
        <f t="shared" si="248"/>
        <v>0.45334141652236054</v>
      </c>
    </row>
    <row r="505" spans="2:35">
      <c r="B505" s="39">
        <f t="shared" si="249"/>
        <v>477</v>
      </c>
      <c r="C505" s="42">
        <f t="shared" si="250"/>
        <v>3.1685611510758265</v>
      </c>
      <c r="D505" s="10">
        <f t="shared" si="251"/>
        <v>2.3714388489237503</v>
      </c>
      <c r="E505" s="40">
        <f t="shared" si="252"/>
        <v>26.337122302152498</v>
      </c>
      <c r="F505" s="40">
        <f t="shared" si="253"/>
        <v>31.08</v>
      </c>
      <c r="G505" s="3">
        <f t="shared" si="254"/>
        <v>201.05151079139679</v>
      </c>
      <c r="H505" s="3">
        <f t="shared" si="255"/>
        <v>81.256230789298584</v>
      </c>
      <c r="I505">
        <f t="shared" si="240"/>
        <v>8.1256230789298584E-5</v>
      </c>
      <c r="J505" s="4">
        <f t="shared" si="256"/>
        <v>544.78673241555521</v>
      </c>
      <c r="K505" s="40">
        <f t="shared" si="257"/>
        <v>6.7045533262330874</v>
      </c>
      <c r="L505" s="40">
        <f t="shared" si="241"/>
        <v>0</v>
      </c>
      <c r="M505" s="10">
        <f t="shared" si="258"/>
        <v>5.0951202517581944</v>
      </c>
      <c r="N505" s="10">
        <f t="shared" si="237"/>
        <v>8.26</v>
      </c>
      <c r="O505" s="10">
        <f t="shared" si="238"/>
        <v>0.31900000000000001</v>
      </c>
      <c r="P505" s="10">
        <f t="shared" si="259"/>
        <v>13.885525270674757</v>
      </c>
      <c r="Q505" s="42">
        <f t="shared" si="260"/>
        <v>0.23178849705778201</v>
      </c>
      <c r="R505" s="4">
        <f t="shared" si="261"/>
        <v>43001.19951920466</v>
      </c>
      <c r="S505">
        <f t="shared" si="242"/>
        <v>4.3001199519204662E-5</v>
      </c>
      <c r="T505" s="41">
        <f t="shared" si="243"/>
        <v>1.3680317252267918E-4</v>
      </c>
      <c r="U505" s="42">
        <f t="shared" si="262"/>
        <v>7.7167802597188709E-2</v>
      </c>
      <c r="V505" s="42">
        <f t="shared" si="263"/>
        <v>0.45715945924408447</v>
      </c>
      <c r="W505" s="42">
        <f t="shared" si="264"/>
        <v>0.45333072281432069</v>
      </c>
      <c r="X505" s="42">
        <f t="shared" si="265"/>
        <v>3.8287364297637794E-3</v>
      </c>
      <c r="Y505" s="42">
        <f t="shared" si="239"/>
        <v>2.1131906212698234E-3</v>
      </c>
      <c r="Z505" s="10">
        <f t="shared" si="266"/>
        <v>15.446941633751216</v>
      </c>
      <c r="AA505">
        <f t="shared" si="244"/>
        <v>5094999.9062844934</v>
      </c>
      <c r="AB505" s="10">
        <f t="shared" si="245"/>
        <v>5.0949999062844933</v>
      </c>
      <c r="AC505" s="10">
        <f t="shared" si="246"/>
        <v>4.9939999062844933</v>
      </c>
      <c r="AD505" s="3">
        <f t="shared" si="247"/>
        <v>724.29295232552477</v>
      </c>
      <c r="AI505" s="94">
        <f t="shared" si="248"/>
        <v>0.45333072281432069</v>
      </c>
    </row>
    <row r="506" spans="2:35">
      <c r="B506" s="39">
        <f t="shared" si="249"/>
        <v>478</v>
      </c>
      <c r="C506" s="42">
        <f t="shared" si="250"/>
        <v>3.1752038369271385</v>
      </c>
      <c r="D506" s="10">
        <f t="shared" si="251"/>
        <v>2.3647961630724375</v>
      </c>
      <c r="E506" s="40">
        <f t="shared" si="252"/>
        <v>26.350407673855123</v>
      </c>
      <c r="F506" s="40">
        <f t="shared" si="253"/>
        <v>31.08</v>
      </c>
      <c r="G506" s="3">
        <f t="shared" si="254"/>
        <v>200.9983693045863</v>
      </c>
      <c r="H506" s="3">
        <f t="shared" si="255"/>
        <v>81.256230789298584</v>
      </c>
      <c r="I506">
        <f t="shared" si="240"/>
        <v>8.1256230789298584E-5</v>
      </c>
      <c r="J506" s="4">
        <f t="shared" si="256"/>
        <v>545.33649025391242</v>
      </c>
      <c r="K506" s="40">
        <f t="shared" si="257"/>
        <v>6.7113190577101323</v>
      </c>
      <c r="L506" s="40">
        <f t="shared" si="241"/>
        <v>0</v>
      </c>
      <c r="M506" s="10">
        <f t="shared" si="258"/>
        <v>5.0949999062844933</v>
      </c>
      <c r="N506" s="10">
        <f t="shared" si="237"/>
        <v>8.26</v>
      </c>
      <c r="O506" s="10">
        <f t="shared" si="238"/>
        <v>0.31900000000000001</v>
      </c>
      <c r="P506" s="10">
        <f t="shared" si="259"/>
        <v>13.885420646556378</v>
      </c>
      <c r="Q506" s="42">
        <f t="shared" si="260"/>
        <v>0.23226688990020264</v>
      </c>
      <c r="R506" s="4">
        <f t="shared" si="261"/>
        <v>42879.333109056068</v>
      </c>
      <c r="S506">
        <f t="shared" si="242"/>
        <v>4.2879333109056066E-5</v>
      </c>
      <c r="T506" s="41">
        <f t="shared" si="243"/>
        <v>1.3692503893282775E-4</v>
      </c>
      <c r="U506" s="42">
        <f t="shared" si="262"/>
        <v>7.6949107230856559E-2</v>
      </c>
      <c r="V506" s="42">
        <f t="shared" si="263"/>
        <v>0.45714598325838224</v>
      </c>
      <c r="W506" s="42">
        <f t="shared" si="264"/>
        <v>0.45331979870800565</v>
      </c>
      <c r="X506" s="42">
        <f t="shared" si="265"/>
        <v>3.8261845503765879E-3</v>
      </c>
      <c r="Y506" s="42">
        <f t="shared" si="239"/>
        <v>2.115021040572504E-3</v>
      </c>
      <c r="Z506" s="10">
        <f t="shared" si="266"/>
        <v>15.446561542407771</v>
      </c>
      <c r="AA506">
        <f t="shared" si="244"/>
        <v>5094877.0226627029</v>
      </c>
      <c r="AB506" s="10">
        <f t="shared" si="245"/>
        <v>5.0948770226627031</v>
      </c>
      <c r="AC506" s="10">
        <f t="shared" si="246"/>
        <v>4.9938770226627032</v>
      </c>
      <c r="AD506" s="3">
        <f t="shared" si="247"/>
        <v>724.27513019038474</v>
      </c>
      <c r="AI506" s="94">
        <f t="shared" si="248"/>
        <v>0.45331979870800565</v>
      </c>
    </row>
    <row r="507" spans="2:35">
      <c r="B507" s="39">
        <f t="shared" si="249"/>
        <v>479</v>
      </c>
      <c r="C507" s="42">
        <f t="shared" si="250"/>
        <v>3.1818465227784505</v>
      </c>
      <c r="D507" s="10">
        <f t="shared" si="251"/>
        <v>2.3581534772211246</v>
      </c>
      <c r="E507" s="40">
        <f t="shared" si="252"/>
        <v>26.363693045557749</v>
      </c>
      <c r="F507" s="40">
        <f t="shared" si="253"/>
        <v>31.08</v>
      </c>
      <c r="G507" s="3">
        <f t="shared" si="254"/>
        <v>200.94522781777582</v>
      </c>
      <c r="H507" s="3">
        <f t="shared" si="255"/>
        <v>81.256230789298584</v>
      </c>
      <c r="I507">
        <f t="shared" si="240"/>
        <v>8.1256230789298584E-5</v>
      </c>
      <c r="J507" s="4">
        <f t="shared" si="256"/>
        <v>545.88652533955121</v>
      </c>
      <c r="K507" s="40">
        <f t="shared" si="257"/>
        <v>6.7180882011997571</v>
      </c>
      <c r="L507" s="40">
        <f t="shared" si="241"/>
        <v>0</v>
      </c>
      <c r="M507" s="10">
        <f t="shared" si="258"/>
        <v>5.0948770226627031</v>
      </c>
      <c r="N507" s="10">
        <f t="shared" si="237"/>
        <v>8.26</v>
      </c>
      <c r="O507" s="10">
        <f t="shared" si="238"/>
        <v>0.31900000000000001</v>
      </c>
      <c r="P507" s="10">
        <f t="shared" si="259"/>
        <v>13.885313814124849</v>
      </c>
      <c r="Q507" s="42">
        <f t="shared" si="260"/>
        <v>0.23274528642333736</v>
      </c>
      <c r="R507" s="4">
        <f t="shared" si="261"/>
        <v>42757.469417287153</v>
      </c>
      <c r="S507">
        <f t="shared" si="242"/>
        <v>4.2757469417287157E-5</v>
      </c>
      <c r="T507" s="41">
        <f t="shared" si="243"/>
        <v>1.3704690262459669E-4</v>
      </c>
      <c r="U507" s="42">
        <f t="shared" si="262"/>
        <v>7.6730416742792656E-2</v>
      </c>
      <c r="V507" s="42">
        <f t="shared" si="263"/>
        <v>0.45713226891976505</v>
      </c>
      <c r="W507" s="42">
        <f t="shared" si="264"/>
        <v>0.45330864420665601</v>
      </c>
      <c r="X507" s="42">
        <f t="shared" si="265"/>
        <v>3.8236247131090417E-3</v>
      </c>
      <c r="Y507" s="42">
        <f t="shared" si="239"/>
        <v>2.1168502493410274E-3</v>
      </c>
      <c r="Z507" s="10">
        <f t="shared" si="266"/>
        <v>15.446173600432051</v>
      </c>
      <c r="AA507">
        <f t="shared" si="244"/>
        <v>5094751.60092963</v>
      </c>
      <c r="AB507" s="10">
        <f t="shared" si="245"/>
        <v>5.0947516009296301</v>
      </c>
      <c r="AC507" s="10">
        <f t="shared" si="246"/>
        <v>4.9937516009296301</v>
      </c>
      <c r="AD507" s="3">
        <f t="shared" si="247"/>
        <v>724.25693994628421</v>
      </c>
      <c r="AI507" s="94">
        <f t="shared" si="248"/>
        <v>0.45330864420665601</v>
      </c>
    </row>
    <row r="508" spans="2:35">
      <c r="B508" s="39">
        <f t="shared" si="249"/>
        <v>480</v>
      </c>
      <c r="C508" s="42">
        <f t="shared" si="250"/>
        <v>3.1884892086297625</v>
      </c>
      <c r="D508" s="10">
        <f t="shared" si="251"/>
        <v>2.3515107913698117</v>
      </c>
      <c r="E508" s="40">
        <f t="shared" si="252"/>
        <v>26.376978417260375</v>
      </c>
      <c r="F508" s="40">
        <f t="shared" si="253"/>
        <v>31.08</v>
      </c>
      <c r="G508" s="3">
        <f t="shared" si="254"/>
        <v>200.89208633096533</v>
      </c>
      <c r="H508" s="3">
        <f t="shared" si="255"/>
        <v>81.256230789298584</v>
      </c>
      <c r="I508">
        <f t="shared" si="240"/>
        <v>8.1256230789298584E-5</v>
      </c>
      <c r="J508" s="4">
        <f t="shared" si="256"/>
        <v>546.43683767247148</v>
      </c>
      <c r="K508" s="40">
        <f t="shared" si="257"/>
        <v>6.7248607567019585</v>
      </c>
      <c r="L508" s="40">
        <f t="shared" si="241"/>
        <v>0</v>
      </c>
      <c r="M508" s="10">
        <f t="shared" si="258"/>
        <v>5.0947516009296301</v>
      </c>
      <c r="N508" s="10">
        <f t="shared" si="237"/>
        <v>8.26</v>
      </c>
      <c r="O508" s="10">
        <f t="shared" si="238"/>
        <v>0.31900000000000001</v>
      </c>
      <c r="P508" s="10">
        <f t="shared" si="259"/>
        <v>13.885204773303364</v>
      </c>
      <c r="Q508" s="42">
        <f t="shared" si="260"/>
        <v>0.23322368670333063</v>
      </c>
      <c r="R508" s="4">
        <f t="shared" si="261"/>
        <v>42635.608488097911</v>
      </c>
      <c r="S508">
        <f t="shared" si="242"/>
        <v>4.2635608488097909E-5</v>
      </c>
      <c r="T508" s="41">
        <f t="shared" si="243"/>
        <v>1.3716876355378591E-4</v>
      </c>
      <c r="U508" s="42">
        <f t="shared" si="262"/>
        <v>7.6511731212316095E-2</v>
      </c>
      <c r="V508" s="42">
        <f t="shared" si="263"/>
        <v>0.45711831623434412</v>
      </c>
      <c r="W508" s="42">
        <f t="shared" si="264"/>
        <v>0.45329725931361298</v>
      </c>
      <c r="X508" s="42">
        <f t="shared" si="265"/>
        <v>3.8210569207311473E-3</v>
      </c>
      <c r="Y508" s="42">
        <f t="shared" si="239"/>
        <v>2.1186782440417752E-3</v>
      </c>
      <c r="Z508" s="10">
        <f t="shared" si="266"/>
        <v>15.445777807941019</v>
      </c>
      <c r="AA508">
        <f t="shared" si="244"/>
        <v>5094623.6411230881</v>
      </c>
      <c r="AB508" s="10">
        <f t="shared" si="245"/>
        <v>5.0946236411230883</v>
      </c>
      <c r="AC508" s="10">
        <f t="shared" si="246"/>
        <v>4.9936236411230883</v>
      </c>
      <c r="AD508" s="3">
        <f t="shared" si="247"/>
        <v>724.23838159870752</v>
      </c>
      <c r="AI508" s="94">
        <f t="shared" si="248"/>
        <v>0.45329725931361298</v>
      </c>
    </row>
    <row r="509" spans="2:35">
      <c r="B509" s="39">
        <f t="shared" si="249"/>
        <v>481</v>
      </c>
      <c r="C509" s="42">
        <f t="shared" si="250"/>
        <v>3.1951318944810745</v>
      </c>
      <c r="D509" s="10">
        <f t="shared" si="251"/>
        <v>2.3448681055184988</v>
      </c>
      <c r="E509" s="40">
        <f t="shared" si="252"/>
        <v>26.390263788963001</v>
      </c>
      <c r="F509" s="40">
        <f t="shared" si="253"/>
        <v>31.08</v>
      </c>
      <c r="G509" s="3">
        <f t="shared" si="254"/>
        <v>200.83894484415484</v>
      </c>
      <c r="H509" s="3">
        <f t="shared" si="255"/>
        <v>81.256230789298584</v>
      </c>
      <c r="I509">
        <f t="shared" si="240"/>
        <v>8.1256230789298584E-5</v>
      </c>
      <c r="J509" s="4">
        <f t="shared" si="256"/>
        <v>546.98742725267334</v>
      </c>
      <c r="K509" s="40">
        <f t="shared" si="257"/>
        <v>6.7316367242167399</v>
      </c>
      <c r="L509" s="40">
        <f t="shared" si="241"/>
        <v>0</v>
      </c>
      <c r="M509" s="10">
        <f t="shared" si="258"/>
        <v>5.0946236411230883</v>
      </c>
      <c r="N509" s="10">
        <f t="shared" si="237"/>
        <v>8.26</v>
      </c>
      <c r="O509" s="10">
        <f t="shared" si="238"/>
        <v>0.31900000000000001</v>
      </c>
      <c r="P509" s="10">
        <f t="shared" si="259"/>
        <v>13.885093524013746</v>
      </c>
      <c r="Q509" s="42">
        <f t="shared" si="260"/>
        <v>0.23370209081633309</v>
      </c>
      <c r="R509" s="4">
        <f t="shared" si="261"/>
        <v>42513.750365688356</v>
      </c>
      <c r="S509">
        <f t="shared" si="242"/>
        <v>4.2513750365688358E-5</v>
      </c>
      <c r="T509" s="41">
        <f t="shared" si="243"/>
        <v>1.3729062167619548E-4</v>
      </c>
      <c r="U509" s="42">
        <f t="shared" si="262"/>
        <v>7.6293050718746036E-2</v>
      </c>
      <c r="V509" s="42">
        <f t="shared" si="263"/>
        <v>0.45710412520833804</v>
      </c>
      <c r="W509" s="42">
        <f t="shared" si="264"/>
        <v>0.45328564403230881</v>
      </c>
      <c r="X509" s="42">
        <f t="shared" si="265"/>
        <v>3.8184811760292314E-3</v>
      </c>
      <c r="Y509" s="42">
        <f t="shared" si="239"/>
        <v>2.1205050211418101E-3</v>
      </c>
      <c r="Z509" s="10">
        <f t="shared" si="266"/>
        <v>15.445374165054712</v>
      </c>
      <c r="AA509">
        <f t="shared" si="244"/>
        <v>5094493.1432818845</v>
      </c>
      <c r="AB509" s="10">
        <f t="shared" si="245"/>
        <v>5.0944931432818841</v>
      </c>
      <c r="AC509" s="10">
        <f t="shared" si="246"/>
        <v>4.9934931432818841</v>
      </c>
      <c r="AD509" s="3">
        <f t="shared" si="247"/>
        <v>724.21945515328275</v>
      </c>
      <c r="AI509" s="94">
        <f t="shared" si="248"/>
        <v>0.45328564403230881</v>
      </c>
    </row>
    <row r="510" spans="2:35">
      <c r="B510" s="39">
        <f t="shared" si="249"/>
        <v>482</v>
      </c>
      <c r="C510" s="42">
        <f t="shared" si="250"/>
        <v>3.2017745803323865</v>
      </c>
      <c r="D510" s="10">
        <f t="shared" si="251"/>
        <v>2.3382254196671859</v>
      </c>
      <c r="E510" s="40">
        <f t="shared" si="252"/>
        <v>26.403549160665627</v>
      </c>
      <c r="F510" s="40">
        <f t="shared" si="253"/>
        <v>31.08</v>
      </c>
      <c r="G510" s="3">
        <f t="shared" si="254"/>
        <v>200.78580335734435</v>
      </c>
      <c r="H510" s="3">
        <f t="shared" si="255"/>
        <v>81.256230789298584</v>
      </c>
      <c r="I510">
        <f t="shared" si="240"/>
        <v>8.1256230789298584E-5</v>
      </c>
      <c r="J510" s="4">
        <f t="shared" si="256"/>
        <v>547.53829408015679</v>
      </c>
      <c r="K510" s="40">
        <f t="shared" si="257"/>
        <v>6.7384161037441004</v>
      </c>
      <c r="L510" s="40">
        <f t="shared" si="241"/>
        <v>0</v>
      </c>
      <c r="M510" s="10">
        <f t="shared" si="258"/>
        <v>5.0944931432818841</v>
      </c>
      <c r="N510" s="10">
        <f t="shared" si="237"/>
        <v>8.26</v>
      </c>
      <c r="O510" s="10">
        <f t="shared" si="238"/>
        <v>0.31900000000000001</v>
      </c>
      <c r="P510" s="10">
        <f t="shared" si="259"/>
        <v>13.884980066176425</v>
      </c>
      <c r="Q510" s="42">
        <f t="shared" si="260"/>
        <v>0.23418049883850184</v>
      </c>
      <c r="R510" s="4">
        <f t="shared" si="261"/>
        <v>42391.895094258463</v>
      </c>
      <c r="S510">
        <f t="shared" si="242"/>
        <v>4.2391895094258466E-5</v>
      </c>
      <c r="T510" s="41">
        <f t="shared" si="243"/>
        <v>1.3741247694762536E-4</v>
      </c>
      <c r="U510" s="42">
        <f t="shared" si="262"/>
        <v>7.6074375341401518E-2</v>
      </c>
      <c r="V510" s="42">
        <f t="shared" si="263"/>
        <v>0.45708969584833425</v>
      </c>
      <c r="W510" s="42">
        <f t="shared" si="264"/>
        <v>0.4532737983662663</v>
      </c>
      <c r="X510" s="42">
        <f t="shared" si="265"/>
        <v>3.8158974820679536E-3</v>
      </c>
      <c r="Y510" s="42">
        <f t="shared" si="239"/>
        <v>2.1223305771090051E-3</v>
      </c>
      <c r="Z510" s="10">
        <f t="shared" si="266"/>
        <v>15.444962671897178</v>
      </c>
      <c r="AA510">
        <f t="shared" si="244"/>
        <v>5094360.1074461257</v>
      </c>
      <c r="AB510" s="10">
        <f t="shared" si="245"/>
        <v>5.0943601074461258</v>
      </c>
      <c r="AC510" s="10">
        <f t="shared" si="246"/>
        <v>4.9933601074461258</v>
      </c>
      <c r="AD510" s="3">
        <f t="shared" si="247"/>
        <v>724.2001606158268</v>
      </c>
      <c r="AI510" s="94">
        <f t="shared" si="248"/>
        <v>0.4532737983662663</v>
      </c>
    </row>
    <row r="511" spans="2:35">
      <c r="B511" s="39">
        <f t="shared" si="249"/>
        <v>483</v>
      </c>
      <c r="C511" s="42">
        <f t="shared" si="250"/>
        <v>3.2084172661836985</v>
      </c>
      <c r="D511" s="10">
        <f t="shared" si="251"/>
        <v>2.331582733815873</v>
      </c>
      <c r="E511" s="40">
        <f t="shared" si="252"/>
        <v>26.416834532368252</v>
      </c>
      <c r="F511" s="40">
        <f t="shared" si="253"/>
        <v>31.08</v>
      </c>
      <c r="G511" s="3">
        <f t="shared" si="254"/>
        <v>200.73266187053386</v>
      </c>
      <c r="H511" s="3">
        <f t="shared" si="255"/>
        <v>81.256230789298584</v>
      </c>
      <c r="I511">
        <f t="shared" si="240"/>
        <v>8.1256230789298584E-5</v>
      </c>
      <c r="J511" s="4">
        <f t="shared" si="256"/>
        <v>548.08943815492182</v>
      </c>
      <c r="K511" s="40">
        <f t="shared" si="257"/>
        <v>6.74519889528404</v>
      </c>
      <c r="L511" s="40">
        <f t="shared" si="241"/>
        <v>0</v>
      </c>
      <c r="M511" s="10">
        <f t="shared" si="258"/>
        <v>5.0943601074461258</v>
      </c>
      <c r="N511" s="10">
        <f t="shared" si="237"/>
        <v>8.26</v>
      </c>
      <c r="O511" s="10">
        <f t="shared" si="238"/>
        <v>0.31900000000000001</v>
      </c>
      <c r="P511" s="10">
        <f t="shared" si="259"/>
        <v>13.884864399710715</v>
      </c>
      <c r="Q511" s="42">
        <f t="shared" si="260"/>
        <v>0.23465891084600049</v>
      </c>
      <c r="R511" s="4">
        <f t="shared" si="261"/>
        <v>42270.042718008241</v>
      </c>
      <c r="S511">
        <f t="shared" si="242"/>
        <v>4.2270042718008242E-5</v>
      </c>
      <c r="T511" s="41">
        <f t="shared" si="243"/>
        <v>1.375343293238756E-4</v>
      </c>
      <c r="U511" s="42">
        <f t="shared" si="262"/>
        <v>7.5855705159601688E-2</v>
      </c>
      <c r="V511" s="42">
        <f t="shared" si="263"/>
        <v>0.45707502816062884</v>
      </c>
      <c r="W511" s="42">
        <f t="shared" si="264"/>
        <v>0.45326172231912598</v>
      </c>
      <c r="X511" s="42">
        <f t="shared" si="265"/>
        <v>3.8133058415028565E-3</v>
      </c>
      <c r="Y511" s="42">
        <f t="shared" si="239"/>
        <v>2.1241549084118449E-3</v>
      </c>
      <c r="Z511" s="10">
        <f t="shared" si="266"/>
        <v>15.444543328594959</v>
      </c>
      <c r="AA511">
        <f t="shared" si="244"/>
        <v>5094224.5336567219</v>
      </c>
      <c r="AB511" s="10">
        <f t="shared" si="245"/>
        <v>5.094224533656722</v>
      </c>
      <c r="AC511" s="10">
        <f t="shared" si="246"/>
        <v>4.993224533656722</v>
      </c>
      <c r="AD511" s="3">
        <f t="shared" si="247"/>
        <v>724.18049799227299</v>
      </c>
      <c r="AI511" s="94">
        <f t="shared" si="248"/>
        <v>0.45326172231912598</v>
      </c>
    </row>
    <row r="512" spans="2:35">
      <c r="B512" s="39">
        <f t="shared" si="249"/>
        <v>484</v>
      </c>
      <c r="C512" s="42">
        <f t="shared" si="250"/>
        <v>3.2150599520350105</v>
      </c>
      <c r="D512" s="10">
        <f t="shared" si="251"/>
        <v>2.3249400479645601</v>
      </c>
      <c r="E512" s="40">
        <f t="shared" si="252"/>
        <v>26.430119904070878</v>
      </c>
      <c r="F512" s="40">
        <f t="shared" si="253"/>
        <v>31.08</v>
      </c>
      <c r="G512" s="3">
        <f t="shared" si="254"/>
        <v>200.67952038372337</v>
      </c>
      <c r="H512" s="3">
        <f t="shared" si="255"/>
        <v>81.256230789298584</v>
      </c>
      <c r="I512">
        <f t="shared" si="240"/>
        <v>8.1256230789298584E-5</v>
      </c>
      <c r="J512" s="4">
        <f t="shared" si="256"/>
        <v>548.64085947696844</v>
      </c>
      <c r="K512" s="40">
        <f t="shared" si="257"/>
        <v>6.7519850988365588</v>
      </c>
      <c r="L512" s="40">
        <f t="shared" si="241"/>
        <v>0</v>
      </c>
      <c r="M512" s="10">
        <f t="shared" si="258"/>
        <v>5.094224533656722</v>
      </c>
      <c r="N512" s="10">
        <f t="shared" si="237"/>
        <v>8.26</v>
      </c>
      <c r="O512" s="10">
        <f t="shared" si="238"/>
        <v>0.31900000000000001</v>
      </c>
      <c r="P512" s="10">
        <f t="shared" si="259"/>
        <v>13.884746524534364</v>
      </c>
      <c r="Q512" s="42">
        <f t="shared" si="260"/>
        <v>0.23513732691499925</v>
      </c>
      <c r="R512" s="4">
        <f t="shared" si="261"/>
        <v>42148.193281137683</v>
      </c>
      <c r="S512">
        <f t="shared" si="242"/>
        <v>4.2148193281137681E-5</v>
      </c>
      <c r="T512" s="41">
        <f t="shared" si="243"/>
        <v>1.3765617876074617E-4</v>
      </c>
      <c r="U512" s="42">
        <f t="shared" si="262"/>
        <v>7.5637040252665627E-2</v>
      </c>
      <c r="V512" s="42">
        <f t="shared" si="263"/>
        <v>0.45706012215201719</v>
      </c>
      <c r="W512" s="42">
        <f t="shared" si="264"/>
        <v>0.45324941589460133</v>
      </c>
      <c r="X512" s="42">
        <f t="shared" si="265"/>
        <v>3.8107062574158634E-3</v>
      </c>
      <c r="Y512" s="42">
        <f t="shared" si="239"/>
        <v>2.125978011519627E-3</v>
      </c>
      <c r="Z512" s="10">
        <f t="shared" si="266"/>
        <v>15.44411613527854</v>
      </c>
      <c r="AA512">
        <f t="shared" si="244"/>
        <v>5094086.4219558602</v>
      </c>
      <c r="AB512" s="10">
        <f t="shared" si="245"/>
        <v>5.0940864219558604</v>
      </c>
      <c r="AC512" s="10">
        <f t="shared" si="246"/>
        <v>4.9930864219558604</v>
      </c>
      <c r="AD512" s="3">
        <f t="shared" si="247"/>
        <v>724.16046728873971</v>
      </c>
      <c r="AI512" s="94">
        <f t="shared" si="248"/>
        <v>0.45324941589460133</v>
      </c>
    </row>
    <row r="513" spans="2:35">
      <c r="B513" s="39">
        <f t="shared" si="249"/>
        <v>485</v>
      </c>
      <c r="C513" s="42">
        <f t="shared" si="250"/>
        <v>3.2217026378863225</v>
      </c>
      <c r="D513" s="10">
        <f t="shared" si="251"/>
        <v>2.3182973621132472</v>
      </c>
      <c r="E513" s="40">
        <f t="shared" si="252"/>
        <v>26.443405275773504</v>
      </c>
      <c r="F513" s="40">
        <f t="shared" si="253"/>
        <v>31.08</v>
      </c>
      <c r="G513" s="3">
        <f t="shared" si="254"/>
        <v>200.62637889691288</v>
      </c>
      <c r="H513" s="3">
        <f t="shared" si="255"/>
        <v>81.256230789298584</v>
      </c>
      <c r="I513">
        <f t="shared" si="240"/>
        <v>8.1256230789298584E-5</v>
      </c>
      <c r="J513" s="4">
        <f t="shared" si="256"/>
        <v>549.19255804629643</v>
      </c>
      <c r="K513" s="40">
        <f t="shared" si="257"/>
        <v>6.7587747144016541</v>
      </c>
      <c r="L513" s="40">
        <f t="shared" si="241"/>
        <v>0</v>
      </c>
      <c r="M513" s="10">
        <f t="shared" si="258"/>
        <v>5.0940864219558604</v>
      </c>
      <c r="N513" s="10">
        <f t="shared" si="237"/>
        <v>8.26</v>
      </c>
      <c r="O513" s="10">
        <f t="shared" si="238"/>
        <v>0.31900000000000001</v>
      </c>
      <c r="P513" s="10">
        <f t="shared" si="259"/>
        <v>13.884626440563988</v>
      </c>
      <c r="Q513" s="42">
        <f t="shared" si="260"/>
        <v>0.23561574712167513</v>
      </c>
      <c r="R513" s="4">
        <f t="shared" si="261"/>
        <v>42026.346827846799</v>
      </c>
      <c r="S513">
        <f t="shared" si="242"/>
        <v>4.2026346827846797E-5</v>
      </c>
      <c r="T513" s="41">
        <f t="shared" si="243"/>
        <v>1.3777802521403704E-4</v>
      </c>
      <c r="U513" s="42">
        <f t="shared" si="262"/>
        <v>7.5418380699912468E-2</v>
      </c>
      <c r="V513" s="42">
        <f t="shared" si="263"/>
        <v>0.45704497782907622</v>
      </c>
      <c r="W513" s="42">
        <f t="shared" si="264"/>
        <v>0.45323687909652194</v>
      </c>
      <c r="X513" s="42">
        <f t="shared" si="265"/>
        <v>3.808098732554277E-3</v>
      </c>
      <c r="Y513" s="42">
        <f t="shared" si="239"/>
        <v>2.1277998829022978E-3</v>
      </c>
      <c r="Z513" s="10">
        <f t="shared" si="266"/>
        <v>15.443681092081107</v>
      </c>
      <c r="AA513">
        <f t="shared" si="244"/>
        <v>5093945.7723865975</v>
      </c>
      <c r="AB513" s="10">
        <f t="shared" si="245"/>
        <v>5.0939457723865971</v>
      </c>
      <c r="AC513" s="10">
        <f t="shared" si="246"/>
        <v>4.9929457723865971</v>
      </c>
      <c r="AD513" s="3">
        <f t="shared" si="247"/>
        <v>724.14006851147167</v>
      </c>
      <c r="AI513" s="94">
        <f t="shared" si="248"/>
        <v>0.45323687909652194</v>
      </c>
    </row>
    <row r="514" spans="2:35">
      <c r="B514" s="39">
        <f t="shared" si="249"/>
        <v>486</v>
      </c>
      <c r="C514" s="42">
        <f t="shared" si="250"/>
        <v>3.2283453237376345</v>
      </c>
      <c r="D514" s="10">
        <f t="shared" si="251"/>
        <v>2.3116546762619343</v>
      </c>
      <c r="E514" s="40">
        <f t="shared" si="252"/>
        <v>26.45669064747613</v>
      </c>
      <c r="F514" s="40">
        <f t="shared" si="253"/>
        <v>31.08</v>
      </c>
      <c r="G514" s="3">
        <f t="shared" si="254"/>
        <v>200.57323741010239</v>
      </c>
      <c r="H514" s="3">
        <f t="shared" si="255"/>
        <v>81.256230789298584</v>
      </c>
      <c r="I514">
        <f t="shared" si="240"/>
        <v>8.1256230789298584E-5</v>
      </c>
      <c r="J514" s="4">
        <f t="shared" si="256"/>
        <v>549.74453386290611</v>
      </c>
      <c r="K514" s="40">
        <f t="shared" si="257"/>
        <v>6.7655677419793294</v>
      </c>
      <c r="L514" s="40">
        <f t="shared" si="241"/>
        <v>0</v>
      </c>
      <c r="M514" s="10">
        <f t="shared" si="258"/>
        <v>5.0939457723865971</v>
      </c>
      <c r="N514" s="10">
        <f t="shared" si="237"/>
        <v>8.26</v>
      </c>
      <c r="O514" s="10">
        <f t="shared" si="238"/>
        <v>0.31900000000000001</v>
      </c>
      <c r="P514" s="10">
        <f t="shared" si="259"/>
        <v>13.884504147714692</v>
      </c>
      <c r="Q514" s="42">
        <f t="shared" si="260"/>
        <v>0.23609417154221199</v>
      </c>
      <c r="R514" s="4">
        <f t="shared" si="261"/>
        <v>41904.503402335577</v>
      </c>
      <c r="S514">
        <f t="shared" si="242"/>
        <v>4.1904503402335574E-5</v>
      </c>
      <c r="T514" s="41">
        <f t="shared" si="243"/>
        <v>1.3789986863954826E-4</v>
      </c>
      <c r="U514" s="42">
        <f t="shared" si="262"/>
        <v>7.5199726580661305E-2</v>
      </c>
      <c r="V514" s="42">
        <f t="shared" si="263"/>
        <v>0.45702959519876113</v>
      </c>
      <c r="W514" s="42">
        <f t="shared" si="264"/>
        <v>0.45322411192879608</v>
      </c>
      <c r="X514" s="42">
        <f t="shared" si="265"/>
        <v>3.8054832699650487E-3</v>
      </c>
      <c r="Y514" s="42">
        <f t="shared" si="239"/>
        <v>2.1296205190305937E-3</v>
      </c>
      <c r="Z514" s="10">
        <f t="shared" si="266"/>
        <v>15.44323819913952</v>
      </c>
      <c r="AA514">
        <f t="shared" si="244"/>
        <v>5093802.5849931827</v>
      </c>
      <c r="AB514" s="10">
        <f t="shared" si="245"/>
        <v>5.0938025849931829</v>
      </c>
      <c r="AC514" s="10">
        <f t="shared" si="246"/>
        <v>4.992802584993183</v>
      </c>
      <c r="AD514" s="3">
        <f t="shared" si="247"/>
        <v>724.11930166688649</v>
      </c>
      <c r="AI514" s="94">
        <f t="shared" si="248"/>
        <v>0.45322411192879608</v>
      </c>
    </row>
    <row r="515" spans="2:35">
      <c r="B515" s="39">
        <f t="shared" si="249"/>
        <v>487</v>
      </c>
      <c r="C515" s="42">
        <f t="shared" si="250"/>
        <v>3.2349880095889465</v>
      </c>
      <c r="D515" s="10">
        <f t="shared" si="251"/>
        <v>2.3050119904106214</v>
      </c>
      <c r="E515" s="40">
        <f t="shared" si="252"/>
        <v>26.469976019178755</v>
      </c>
      <c r="F515" s="40">
        <f t="shared" si="253"/>
        <v>31.08</v>
      </c>
      <c r="G515" s="3">
        <f t="shared" si="254"/>
        <v>200.5200959232919</v>
      </c>
      <c r="H515" s="3">
        <f t="shared" si="255"/>
        <v>81.256230789298584</v>
      </c>
      <c r="I515">
        <f t="shared" si="240"/>
        <v>8.1256230789298584E-5</v>
      </c>
      <c r="J515" s="4">
        <f t="shared" si="256"/>
        <v>550.29678692679749</v>
      </c>
      <c r="K515" s="40">
        <f t="shared" si="257"/>
        <v>6.7723641815695856</v>
      </c>
      <c r="L515" s="40">
        <f t="shared" si="241"/>
        <v>0</v>
      </c>
      <c r="M515" s="10">
        <f t="shared" si="258"/>
        <v>5.0938025849931829</v>
      </c>
      <c r="N515" s="10">
        <f t="shared" si="237"/>
        <v>8.26</v>
      </c>
      <c r="O515" s="10">
        <f t="shared" si="238"/>
        <v>0.31900000000000001</v>
      </c>
      <c r="P515" s="10">
        <f t="shared" si="259"/>
        <v>13.884379645900376</v>
      </c>
      <c r="Q515" s="42">
        <f t="shared" si="260"/>
        <v>0.23657260025280069</v>
      </c>
      <c r="R515" s="4">
        <f t="shared" si="261"/>
        <v>41782.66304880401</v>
      </c>
      <c r="S515">
        <f t="shared" si="242"/>
        <v>4.1782663048804013E-5</v>
      </c>
      <c r="T515" s="41">
        <f t="shared" si="243"/>
        <v>1.3802170899307982E-4</v>
      </c>
      <c r="U515" s="42">
        <f t="shared" si="262"/>
        <v>7.4981077974231231E-2</v>
      </c>
      <c r="V515" s="42">
        <f t="shared" si="263"/>
        <v>0.45701397426803597</v>
      </c>
      <c r="W515" s="42">
        <f t="shared" si="264"/>
        <v>0.45321111439544037</v>
      </c>
      <c r="X515" s="42">
        <f t="shared" si="265"/>
        <v>3.8028598725955987E-3</v>
      </c>
      <c r="Y515" s="42">
        <f t="shared" si="239"/>
        <v>2.1314399163759891E-3</v>
      </c>
      <c r="Z515" s="10">
        <f t="shared" si="266"/>
        <v>15.442787456593919</v>
      </c>
      <c r="AA515">
        <f t="shared" si="244"/>
        <v>5093656.85982092</v>
      </c>
      <c r="AB515" s="10">
        <f t="shared" si="245"/>
        <v>5.0936568598209204</v>
      </c>
      <c r="AC515" s="10">
        <f t="shared" si="246"/>
        <v>4.9926568598209204</v>
      </c>
      <c r="AD515" s="3">
        <f t="shared" si="247"/>
        <v>724.09816676155481</v>
      </c>
      <c r="AI515" s="94">
        <f t="shared" si="248"/>
        <v>0.45321111439544037</v>
      </c>
    </row>
    <row r="516" spans="2:35">
      <c r="B516" s="39">
        <f t="shared" si="249"/>
        <v>488</v>
      </c>
      <c r="C516" s="42">
        <f t="shared" si="250"/>
        <v>3.2416306954402585</v>
      </c>
      <c r="D516" s="10">
        <f t="shared" si="251"/>
        <v>2.2983693045593085</v>
      </c>
      <c r="E516" s="40">
        <f t="shared" si="252"/>
        <v>26.483261390881381</v>
      </c>
      <c r="F516" s="40">
        <f t="shared" si="253"/>
        <v>31.08</v>
      </c>
      <c r="G516" s="3">
        <f t="shared" si="254"/>
        <v>200.46695443648142</v>
      </c>
      <c r="H516" s="3">
        <f t="shared" si="255"/>
        <v>81.256230789298584</v>
      </c>
      <c r="I516">
        <f t="shared" si="240"/>
        <v>8.1256230789298584E-5</v>
      </c>
      <c r="J516" s="4">
        <f t="shared" si="256"/>
        <v>550.84931723797013</v>
      </c>
      <c r="K516" s="40">
        <f t="shared" si="257"/>
        <v>6.7791640331724174</v>
      </c>
      <c r="L516" s="40">
        <f t="shared" si="241"/>
        <v>0</v>
      </c>
      <c r="M516" s="10">
        <f t="shared" si="258"/>
        <v>5.0936568598209204</v>
      </c>
      <c r="N516" s="10">
        <f t="shared" si="237"/>
        <v>8.26</v>
      </c>
      <c r="O516" s="10">
        <f t="shared" si="238"/>
        <v>0.31900000000000001</v>
      </c>
      <c r="P516" s="10">
        <f t="shared" si="259"/>
        <v>13.884252935033595</v>
      </c>
      <c r="Q516" s="42">
        <f t="shared" si="260"/>
        <v>0.2370510333296392</v>
      </c>
      <c r="R516" s="4">
        <f t="shared" si="261"/>
        <v>41660.825811452123</v>
      </c>
      <c r="S516">
        <f t="shared" si="242"/>
        <v>4.1660825811452123E-5</v>
      </c>
      <c r="T516" s="41">
        <f t="shared" si="243"/>
        <v>1.381435462304317E-4</v>
      </c>
      <c r="U516" s="42">
        <f t="shared" si="262"/>
        <v>7.4762434959941393E-2</v>
      </c>
      <c r="V516" s="42">
        <f t="shared" si="263"/>
        <v>0.45699811504387094</v>
      </c>
      <c r="W516" s="42">
        <f t="shared" si="264"/>
        <v>0.45319788650056714</v>
      </c>
      <c r="X516" s="42">
        <f t="shared" si="265"/>
        <v>3.8002285433038074E-3</v>
      </c>
      <c r="Y516" s="42">
        <f t="shared" si="239"/>
        <v>2.1332580714106516E-3</v>
      </c>
      <c r="Z516" s="10">
        <f t="shared" si="266"/>
        <v>15.442328864587344</v>
      </c>
      <c r="AA516">
        <f t="shared" si="244"/>
        <v>5093508.5969160581</v>
      </c>
      <c r="AB516" s="10">
        <f t="shared" si="245"/>
        <v>5.0935085969160578</v>
      </c>
      <c r="AC516" s="10">
        <f t="shared" si="246"/>
        <v>4.9925085969160579</v>
      </c>
      <c r="AD516" s="3">
        <f t="shared" si="247"/>
        <v>724.07666380218393</v>
      </c>
      <c r="AI516" s="94">
        <f t="shared" si="248"/>
        <v>0.45319788650056714</v>
      </c>
    </row>
    <row r="517" spans="2:35">
      <c r="B517" s="39">
        <f t="shared" si="249"/>
        <v>489</v>
      </c>
      <c r="C517" s="42">
        <f t="shared" si="250"/>
        <v>3.2482733812915705</v>
      </c>
      <c r="D517" s="10">
        <f t="shared" si="251"/>
        <v>2.2917266187079957</v>
      </c>
      <c r="E517" s="40">
        <f t="shared" si="252"/>
        <v>26.496546762584007</v>
      </c>
      <c r="F517" s="40">
        <f t="shared" si="253"/>
        <v>31.08</v>
      </c>
      <c r="G517" s="3">
        <f t="shared" si="254"/>
        <v>200.41381294967093</v>
      </c>
      <c r="H517" s="3">
        <f t="shared" si="255"/>
        <v>81.256230789298584</v>
      </c>
      <c r="I517">
        <f t="shared" si="240"/>
        <v>8.1256230789298584E-5</v>
      </c>
      <c r="J517" s="4">
        <f t="shared" si="256"/>
        <v>551.40212479642457</v>
      </c>
      <c r="K517" s="40">
        <f t="shared" si="257"/>
        <v>6.7859672967878302</v>
      </c>
      <c r="L517" s="40">
        <f t="shared" si="241"/>
        <v>0</v>
      </c>
      <c r="M517" s="10">
        <f t="shared" si="258"/>
        <v>5.0935085969160578</v>
      </c>
      <c r="N517" s="10">
        <f t="shared" si="237"/>
        <v>8.26</v>
      </c>
      <c r="O517" s="10">
        <f t="shared" si="238"/>
        <v>0.31900000000000001</v>
      </c>
      <c r="P517" s="10">
        <f t="shared" si="259"/>
        <v>13.884124015025472</v>
      </c>
      <c r="Q517" s="42">
        <f t="shared" si="260"/>
        <v>0.23752947084893269</v>
      </c>
      <c r="R517" s="4">
        <f t="shared" si="261"/>
        <v>41538.991734479889</v>
      </c>
      <c r="S517">
        <f t="shared" si="242"/>
        <v>4.1538991734479885E-5</v>
      </c>
      <c r="T517" s="41">
        <f t="shared" si="243"/>
        <v>1.3826538030740394E-4</v>
      </c>
      <c r="U517" s="42">
        <f t="shared" si="262"/>
        <v>7.4543797617110871E-2</v>
      </c>
      <c r="V517" s="42">
        <f t="shared" si="263"/>
        <v>0.45698201753361972</v>
      </c>
      <c r="W517" s="42">
        <f t="shared" si="264"/>
        <v>0.45318442824837468</v>
      </c>
      <c r="X517" s="42">
        <f t="shared" si="265"/>
        <v>3.7975892852450399E-3</v>
      </c>
      <c r="Y517" s="42">
        <f t="shared" si="239"/>
        <v>2.1350749806075798E-3</v>
      </c>
      <c r="Z517" s="10">
        <f t="shared" si="266"/>
        <v>15.441862423266695</v>
      </c>
      <c r="AA517">
        <f t="shared" si="244"/>
        <v>5093357.7963260878</v>
      </c>
      <c r="AB517" s="10">
        <f t="shared" si="245"/>
        <v>5.0933577963260879</v>
      </c>
      <c r="AC517" s="10">
        <f t="shared" si="246"/>
        <v>4.9923577963260879</v>
      </c>
      <c r="AD517" s="3">
        <f t="shared" si="247"/>
        <v>724.0547927956618</v>
      </c>
      <c r="AI517" s="94">
        <f t="shared" si="248"/>
        <v>0.45318442824837468</v>
      </c>
    </row>
    <row r="518" spans="2:35">
      <c r="B518" s="39">
        <f t="shared" si="249"/>
        <v>490</v>
      </c>
      <c r="C518" s="42">
        <f t="shared" si="250"/>
        <v>3.2549160671428825</v>
      </c>
      <c r="D518" s="10">
        <f t="shared" si="251"/>
        <v>2.2850839328566828</v>
      </c>
      <c r="E518" s="40">
        <f t="shared" si="252"/>
        <v>26.509832134286633</v>
      </c>
      <c r="F518" s="40">
        <f t="shared" si="253"/>
        <v>31.08</v>
      </c>
      <c r="G518" s="3">
        <f t="shared" si="254"/>
        <v>200.36067146286044</v>
      </c>
      <c r="H518" s="3">
        <f t="shared" si="255"/>
        <v>81.256230789298584</v>
      </c>
      <c r="I518">
        <f t="shared" si="240"/>
        <v>8.1256230789298584E-5</v>
      </c>
      <c r="J518" s="4">
        <f t="shared" si="256"/>
        <v>551.95520960216049</v>
      </c>
      <c r="K518" s="40">
        <f t="shared" si="257"/>
        <v>6.7927739724158211</v>
      </c>
      <c r="L518" s="40">
        <f t="shared" si="241"/>
        <v>0</v>
      </c>
      <c r="M518" s="10">
        <f t="shared" si="258"/>
        <v>5.0933577963260879</v>
      </c>
      <c r="N518" s="10">
        <f t="shared" si="237"/>
        <v>8.26</v>
      </c>
      <c r="O518" s="10">
        <f t="shared" si="238"/>
        <v>0.31900000000000001</v>
      </c>
      <c r="P518" s="10">
        <f t="shared" si="259"/>
        <v>13.883992885785956</v>
      </c>
      <c r="Q518" s="42">
        <f t="shared" si="260"/>
        <v>0.23800791288689374</v>
      </c>
      <c r="R518" s="4">
        <f t="shared" si="261"/>
        <v>41417.160862087301</v>
      </c>
      <c r="S518">
        <f t="shared" si="242"/>
        <v>4.1417160862087302E-5</v>
      </c>
      <c r="T518" s="41">
        <f t="shared" si="243"/>
        <v>1.3838721117979654E-4</v>
      </c>
      <c r="U518" s="42">
        <f t="shared" si="262"/>
        <v>7.4325166025058759E-2</v>
      </c>
      <c r="V518" s="42">
        <f t="shared" si="263"/>
        <v>0.45696568174453134</v>
      </c>
      <c r="W518" s="42">
        <f t="shared" si="264"/>
        <v>0.45317073964317384</v>
      </c>
      <c r="X518" s="42">
        <f t="shared" si="265"/>
        <v>3.7949421013575013E-3</v>
      </c>
      <c r="Y518" s="42">
        <f t="shared" si="239"/>
        <v>2.1368906404404973E-3</v>
      </c>
      <c r="Z518" s="10">
        <f t="shared" si="266"/>
        <v>15.441388132781931</v>
      </c>
      <c r="AA518">
        <f t="shared" si="244"/>
        <v>5093204.458099491</v>
      </c>
      <c r="AB518" s="10">
        <f t="shared" si="245"/>
        <v>5.0932044580994909</v>
      </c>
      <c r="AC518" s="10">
        <f t="shared" si="246"/>
        <v>4.9922044580994909</v>
      </c>
      <c r="AD518" s="3">
        <f t="shared" si="247"/>
        <v>724.03255374901971</v>
      </c>
      <c r="AI518" s="94">
        <f t="shared" si="248"/>
        <v>0.45317073964317384</v>
      </c>
    </row>
    <row r="519" spans="2:35">
      <c r="B519" s="39">
        <f t="shared" si="249"/>
        <v>491</v>
      </c>
      <c r="C519" s="42">
        <f t="shared" si="250"/>
        <v>3.2615587529941945</v>
      </c>
      <c r="D519" s="10">
        <f t="shared" si="251"/>
        <v>2.2784412470053699</v>
      </c>
      <c r="E519" s="40">
        <f t="shared" si="252"/>
        <v>26.523117505989259</v>
      </c>
      <c r="F519" s="40">
        <f t="shared" si="253"/>
        <v>31.08</v>
      </c>
      <c r="G519" s="3">
        <f t="shared" si="254"/>
        <v>200.30752997604995</v>
      </c>
      <c r="H519" s="3">
        <f t="shared" si="255"/>
        <v>81.256230789298584</v>
      </c>
      <c r="I519">
        <f t="shared" si="240"/>
        <v>8.1256230789298584E-5</v>
      </c>
      <c r="J519" s="4">
        <f t="shared" si="256"/>
        <v>552.508571655178</v>
      </c>
      <c r="K519" s="40">
        <f t="shared" si="257"/>
        <v>6.7995840600563913</v>
      </c>
      <c r="L519" s="40">
        <f t="shared" si="241"/>
        <v>0</v>
      </c>
      <c r="M519" s="10">
        <f t="shared" si="258"/>
        <v>5.0932044580994909</v>
      </c>
      <c r="N519" s="10">
        <f t="shared" si="237"/>
        <v>8.26</v>
      </c>
      <c r="O519" s="10">
        <f t="shared" si="238"/>
        <v>0.31900000000000001</v>
      </c>
      <c r="P519" s="10">
        <f t="shared" si="259"/>
        <v>13.883859547223601</v>
      </c>
      <c r="Q519" s="42">
        <f t="shared" si="260"/>
        <v>0.23848635951974234</v>
      </c>
      <c r="R519" s="4">
        <f t="shared" si="261"/>
        <v>41295.33323847437</v>
      </c>
      <c r="S519">
        <f t="shared" si="242"/>
        <v>4.1295333238474369E-5</v>
      </c>
      <c r="T519" s="41">
        <f t="shared" si="243"/>
        <v>1.3850903880340947E-4</v>
      </c>
      <c r="U519" s="42">
        <f t="shared" si="262"/>
        <v>7.4106540263104176E-2</v>
      </c>
      <c r="V519" s="42">
        <f t="shared" si="263"/>
        <v>0.45694910768400115</v>
      </c>
      <c r="W519" s="42">
        <f t="shared" si="264"/>
        <v>0.45315682068936536</v>
      </c>
      <c r="X519" s="42">
        <f t="shared" si="265"/>
        <v>3.7922869946357962E-3</v>
      </c>
      <c r="Y519" s="42">
        <f t="shared" si="239"/>
        <v>2.1387050473838762E-3</v>
      </c>
      <c r="Z519" s="10">
        <f t="shared" si="266"/>
        <v>15.440905993286201</v>
      </c>
      <c r="AA519">
        <f t="shared" si="244"/>
        <v>5093048.5822857814</v>
      </c>
      <c r="AB519" s="10">
        <f t="shared" si="245"/>
        <v>5.0930485822857818</v>
      </c>
      <c r="AC519" s="10">
        <f t="shared" si="246"/>
        <v>4.9920485822857819</v>
      </c>
      <c r="AD519" s="3">
        <f t="shared" si="247"/>
        <v>724.00994666943893</v>
      </c>
      <c r="AI519" s="94">
        <f t="shared" si="248"/>
        <v>0.45315682068936536</v>
      </c>
    </row>
    <row r="520" spans="2:35">
      <c r="B520" s="39">
        <f t="shared" si="249"/>
        <v>492</v>
      </c>
      <c r="C520" s="42">
        <f t="shared" si="250"/>
        <v>3.2682014388455065</v>
      </c>
      <c r="D520" s="10">
        <f t="shared" si="251"/>
        <v>2.271798561154057</v>
      </c>
      <c r="E520" s="40">
        <f t="shared" si="252"/>
        <v>26.536402877691884</v>
      </c>
      <c r="F520" s="40">
        <f t="shared" si="253"/>
        <v>31.08</v>
      </c>
      <c r="G520" s="3">
        <f t="shared" si="254"/>
        <v>200.25438848923946</v>
      </c>
      <c r="H520" s="3">
        <f t="shared" si="255"/>
        <v>81.256230789298584</v>
      </c>
      <c r="I520">
        <f t="shared" si="240"/>
        <v>8.1256230789298584E-5</v>
      </c>
      <c r="J520" s="4">
        <f t="shared" si="256"/>
        <v>553.06221095547698</v>
      </c>
      <c r="K520" s="40">
        <f t="shared" si="257"/>
        <v>6.8063975597095387</v>
      </c>
      <c r="L520" s="40">
        <f t="shared" si="241"/>
        <v>0</v>
      </c>
      <c r="M520" s="10">
        <f t="shared" si="258"/>
        <v>5.0930485822857818</v>
      </c>
      <c r="N520" s="10">
        <f t="shared" si="237"/>
        <v>8.26</v>
      </c>
      <c r="O520" s="10">
        <f t="shared" si="238"/>
        <v>0.31900000000000001</v>
      </c>
      <c r="P520" s="10">
        <f t="shared" si="259"/>
        <v>13.8837239992456</v>
      </c>
      <c r="Q520" s="42">
        <f t="shared" si="260"/>
        <v>0.2389648108237061</v>
      </c>
      <c r="R520" s="4">
        <f t="shared" si="261"/>
        <v>41173.508907841104</v>
      </c>
      <c r="S520">
        <f t="shared" si="242"/>
        <v>4.1173508907841107E-5</v>
      </c>
      <c r="T520" s="41">
        <f t="shared" si="243"/>
        <v>1.3863086313404272E-4</v>
      </c>
      <c r="U520" s="42">
        <f t="shared" si="262"/>
        <v>7.3887920410566243E-2</v>
      </c>
      <c r="V520" s="42">
        <f t="shared" si="263"/>
        <v>0.45693229535955204</v>
      </c>
      <c r="W520" s="42">
        <f t="shared" si="264"/>
        <v>0.45314267139144376</v>
      </c>
      <c r="X520" s="42">
        <f t="shared" si="265"/>
        <v>3.7896239681082799E-3</v>
      </c>
      <c r="Y520" s="42">
        <f t="shared" si="239"/>
        <v>2.14051819791295E-3</v>
      </c>
      <c r="Z520" s="10">
        <f t="shared" si="266"/>
        <v>15.440416004935891</v>
      </c>
      <c r="AA520">
        <f t="shared" si="244"/>
        <v>5092890.1689355178</v>
      </c>
      <c r="AB520" s="10">
        <f t="shared" si="245"/>
        <v>5.0928901689355177</v>
      </c>
      <c r="AC520" s="10">
        <f t="shared" si="246"/>
        <v>4.9918901689355177</v>
      </c>
      <c r="AD520" s="3">
        <f t="shared" si="247"/>
        <v>723.98697156425203</v>
      </c>
      <c r="AI520" s="94">
        <f t="shared" si="248"/>
        <v>0.45314267139144376</v>
      </c>
    </row>
    <row r="521" spans="2:35">
      <c r="B521" s="39">
        <f t="shared" si="249"/>
        <v>493</v>
      </c>
      <c r="C521" s="42">
        <f t="shared" si="250"/>
        <v>3.2748441246968185</v>
      </c>
      <c r="D521" s="10">
        <f t="shared" si="251"/>
        <v>2.2651558753027441</v>
      </c>
      <c r="E521" s="40">
        <f t="shared" si="252"/>
        <v>26.54968824939451</v>
      </c>
      <c r="F521" s="40">
        <f t="shared" si="253"/>
        <v>31.08</v>
      </c>
      <c r="G521" s="3">
        <f t="shared" si="254"/>
        <v>200.20124700242897</v>
      </c>
      <c r="H521" s="3">
        <f t="shared" si="255"/>
        <v>81.256230789298584</v>
      </c>
      <c r="I521">
        <f t="shared" si="240"/>
        <v>8.1256230789298584E-5</v>
      </c>
      <c r="J521" s="4">
        <f t="shared" si="256"/>
        <v>553.61612750305767</v>
      </c>
      <c r="K521" s="40">
        <f t="shared" si="257"/>
        <v>6.8132144713752671</v>
      </c>
      <c r="L521" s="40">
        <f t="shared" si="241"/>
        <v>0</v>
      </c>
      <c r="M521" s="10">
        <f t="shared" si="258"/>
        <v>5.0928901689355177</v>
      </c>
      <c r="N521" s="10">
        <f t="shared" si="237"/>
        <v>8.26</v>
      </c>
      <c r="O521" s="10">
        <f t="shared" si="238"/>
        <v>0.31900000000000001</v>
      </c>
      <c r="P521" s="10">
        <f t="shared" si="259"/>
        <v>13.883586241757801</v>
      </c>
      <c r="Q521" s="42">
        <f t="shared" si="260"/>
        <v>0.23944326687502032</v>
      </c>
      <c r="R521" s="4">
        <f t="shared" si="261"/>
        <v>41051.68791438749</v>
      </c>
      <c r="S521">
        <f t="shared" si="242"/>
        <v>4.1051687914387492E-5</v>
      </c>
      <c r="T521" s="41">
        <f t="shared" si="243"/>
        <v>1.3875268412749634E-4</v>
      </c>
      <c r="U521" s="42">
        <f t="shared" si="262"/>
        <v>7.3669306546764068E-2</v>
      </c>
      <c r="V521" s="42">
        <f t="shared" si="263"/>
        <v>0.45691524477888501</v>
      </c>
      <c r="W521" s="42">
        <f t="shared" si="264"/>
        <v>0.45312829175399855</v>
      </c>
      <c r="X521" s="42">
        <f t="shared" si="265"/>
        <v>3.7869530248864636E-3</v>
      </c>
      <c r="Y521" s="42">
        <f t="shared" si="239"/>
        <v>2.1423300885037495E-3</v>
      </c>
      <c r="Z521" s="10">
        <f t="shared" si="266"/>
        <v>15.439918167890838</v>
      </c>
      <c r="AA521">
        <f t="shared" si="244"/>
        <v>5092729.2181003755</v>
      </c>
      <c r="AB521" s="10">
        <f t="shared" si="245"/>
        <v>5.0927292181003754</v>
      </c>
      <c r="AC521" s="10">
        <f t="shared" si="246"/>
        <v>4.9917292181003754</v>
      </c>
      <c r="AD521" s="3">
        <f t="shared" si="247"/>
        <v>723.9636284409537</v>
      </c>
      <c r="AI521" s="94">
        <f t="shared" si="248"/>
        <v>0.45312829175399855</v>
      </c>
    </row>
    <row r="522" spans="2:35">
      <c r="B522" s="39">
        <f t="shared" si="249"/>
        <v>494</v>
      </c>
      <c r="C522" s="42">
        <f t="shared" si="250"/>
        <v>3.2814868105481305</v>
      </c>
      <c r="D522" s="10">
        <f t="shared" si="251"/>
        <v>2.2585131894514312</v>
      </c>
      <c r="E522" s="40">
        <f t="shared" si="252"/>
        <v>26.562973621097136</v>
      </c>
      <c r="F522" s="40">
        <f t="shared" si="253"/>
        <v>31.08</v>
      </c>
      <c r="G522" s="3">
        <f t="shared" si="254"/>
        <v>200.14810551561848</v>
      </c>
      <c r="H522" s="3">
        <f t="shared" si="255"/>
        <v>81.256230789298584</v>
      </c>
      <c r="I522">
        <f t="shared" si="240"/>
        <v>8.1256230789298584E-5</v>
      </c>
      <c r="J522" s="4">
        <f t="shared" si="256"/>
        <v>554.17032129791983</v>
      </c>
      <c r="K522" s="40">
        <f t="shared" si="257"/>
        <v>6.8200347950535738</v>
      </c>
      <c r="L522" s="40">
        <f t="shared" si="241"/>
        <v>0</v>
      </c>
      <c r="M522" s="10">
        <f t="shared" si="258"/>
        <v>5.0927292181003754</v>
      </c>
      <c r="N522" s="10">
        <f t="shared" si="237"/>
        <v>8.26</v>
      </c>
      <c r="O522" s="10">
        <f t="shared" si="238"/>
        <v>0.31900000000000001</v>
      </c>
      <c r="P522" s="10">
        <f t="shared" si="259"/>
        <v>13.883446274664763</v>
      </c>
      <c r="Q522" s="42">
        <f t="shared" si="260"/>
        <v>0.23992172774992815</v>
      </c>
      <c r="R522" s="4">
        <f t="shared" si="261"/>
        <v>40929.870302313517</v>
      </c>
      <c r="S522">
        <f t="shared" si="242"/>
        <v>4.092987030231352E-5</v>
      </c>
      <c r="T522" s="41">
        <f t="shared" si="243"/>
        <v>1.3887450173957031E-4</v>
      </c>
      <c r="U522" s="42">
        <f t="shared" si="262"/>
        <v>7.3450698751016716E-2</v>
      </c>
      <c r="V522" s="42">
        <f t="shared" si="263"/>
        <v>0.45689795594982835</v>
      </c>
      <c r="W522" s="42">
        <f t="shared" si="264"/>
        <v>0.45311368178172029</v>
      </c>
      <c r="X522" s="42">
        <f t="shared" si="265"/>
        <v>3.7842741681080594E-3</v>
      </c>
      <c r="Y522" s="42">
        <f t="shared" si="239"/>
        <v>2.1441407156331136E-3</v>
      </c>
      <c r="Z522" s="10">
        <f t="shared" si="266"/>
        <v>15.439412482314392</v>
      </c>
      <c r="AA522">
        <f t="shared" si="244"/>
        <v>5092565.7298331661</v>
      </c>
      <c r="AB522" s="10">
        <f t="shared" si="245"/>
        <v>5.0925657298331659</v>
      </c>
      <c r="AC522" s="10">
        <f t="shared" si="246"/>
        <v>4.9915657298331659</v>
      </c>
      <c r="AD522" s="3">
        <f t="shared" si="247"/>
        <v>723.93991730720325</v>
      </c>
      <c r="AI522" s="94">
        <f t="shared" si="248"/>
        <v>0.45311368178172029</v>
      </c>
    </row>
    <row r="523" spans="2:35">
      <c r="B523" s="39">
        <f t="shared" si="249"/>
        <v>495</v>
      </c>
      <c r="C523" s="42">
        <f t="shared" si="250"/>
        <v>3.2881294963994425</v>
      </c>
      <c r="D523" s="10">
        <f t="shared" si="251"/>
        <v>2.2518705036001183</v>
      </c>
      <c r="E523" s="40">
        <f t="shared" si="252"/>
        <v>26.576258992799762</v>
      </c>
      <c r="F523" s="40">
        <f t="shared" si="253"/>
        <v>31.08</v>
      </c>
      <c r="G523" s="3">
        <f t="shared" si="254"/>
        <v>200.09496402880799</v>
      </c>
      <c r="H523" s="3">
        <f t="shared" si="255"/>
        <v>81.256230789298584</v>
      </c>
      <c r="I523">
        <f t="shared" si="240"/>
        <v>8.1256230789298584E-5</v>
      </c>
      <c r="J523" s="4">
        <f t="shared" si="256"/>
        <v>554.72479234006357</v>
      </c>
      <c r="K523" s="40">
        <f t="shared" si="257"/>
        <v>6.8268585307444587</v>
      </c>
      <c r="L523" s="40">
        <f t="shared" si="241"/>
        <v>0</v>
      </c>
      <c r="M523" s="10">
        <f t="shared" si="258"/>
        <v>5.0925657298331659</v>
      </c>
      <c r="N523" s="10">
        <f t="shared" si="237"/>
        <v>8.26</v>
      </c>
      <c r="O523" s="10">
        <f t="shared" si="238"/>
        <v>0.31900000000000001</v>
      </c>
      <c r="P523" s="10">
        <f t="shared" si="259"/>
        <v>13.883304097869784</v>
      </c>
      <c r="Q523" s="42">
        <f t="shared" si="260"/>
        <v>0.24040019352468067</v>
      </c>
      <c r="R523" s="4">
        <f t="shared" si="261"/>
        <v>40808.056115819207</v>
      </c>
      <c r="S523">
        <f t="shared" si="242"/>
        <v>4.0808056115819205E-5</v>
      </c>
      <c r="T523" s="41">
        <f t="shared" si="243"/>
        <v>1.3899631592606461E-4</v>
      </c>
      <c r="U523" s="42">
        <f t="shared" si="262"/>
        <v>7.3232097102643348E-2</v>
      </c>
      <c r="V523" s="42">
        <f t="shared" si="263"/>
        <v>0.45688042888006969</v>
      </c>
      <c r="W523" s="42">
        <f t="shared" si="264"/>
        <v>0.45309884147940283</v>
      </c>
      <c r="X523" s="42">
        <f t="shared" si="265"/>
        <v>3.7815874006668637E-3</v>
      </c>
      <c r="Y523" s="42">
        <f t="shared" si="239"/>
        <v>2.1459500757785681E-3</v>
      </c>
      <c r="Z523" s="10">
        <f t="shared" si="266"/>
        <v>15.438898948372481</v>
      </c>
      <c r="AA523">
        <f t="shared" si="244"/>
        <v>5092399.7041875347</v>
      </c>
      <c r="AB523" s="10">
        <f t="shared" si="245"/>
        <v>5.0923997041875344</v>
      </c>
      <c r="AC523" s="10">
        <f t="shared" si="246"/>
        <v>4.9913997041875344</v>
      </c>
      <c r="AD523" s="3">
        <f t="shared" si="247"/>
        <v>723.91583817078094</v>
      </c>
      <c r="AI523" s="94">
        <f t="shared" si="248"/>
        <v>0.45309884147940283</v>
      </c>
    </row>
    <row r="524" spans="2:35">
      <c r="B524" s="39">
        <f t="shared" si="249"/>
        <v>496</v>
      </c>
      <c r="C524" s="42">
        <f t="shared" si="250"/>
        <v>3.2947721822507545</v>
      </c>
      <c r="D524" s="10">
        <f t="shared" si="251"/>
        <v>2.2452278177488054</v>
      </c>
      <c r="E524" s="40">
        <f t="shared" si="252"/>
        <v>26.589544364502387</v>
      </c>
      <c r="F524" s="40">
        <f t="shared" si="253"/>
        <v>31.08</v>
      </c>
      <c r="G524" s="3">
        <f t="shared" si="254"/>
        <v>200.0418225419975</v>
      </c>
      <c r="H524" s="3">
        <f t="shared" si="255"/>
        <v>81.256230789298584</v>
      </c>
      <c r="I524">
        <f t="shared" si="240"/>
        <v>8.1256230789298584E-5</v>
      </c>
      <c r="J524" s="4">
        <f t="shared" si="256"/>
        <v>555.27954062948879</v>
      </c>
      <c r="K524" s="40">
        <f t="shared" si="257"/>
        <v>6.8336856784479219</v>
      </c>
      <c r="L524" s="40">
        <f t="shared" si="241"/>
        <v>0</v>
      </c>
      <c r="M524" s="10">
        <f t="shared" si="258"/>
        <v>5.0923997041875344</v>
      </c>
      <c r="N524" s="10">
        <f t="shared" si="237"/>
        <v>8.26</v>
      </c>
      <c r="O524" s="10">
        <f t="shared" si="238"/>
        <v>0.31900000000000001</v>
      </c>
      <c r="P524" s="10">
        <f t="shared" si="259"/>
        <v>13.883159711274619</v>
      </c>
      <c r="Q524" s="42">
        <f t="shared" si="260"/>
        <v>0.240878664275537</v>
      </c>
      <c r="R524" s="4">
        <f t="shared" si="261"/>
        <v>40686.24539910454</v>
      </c>
      <c r="S524">
        <f t="shared" si="242"/>
        <v>4.0686245399104544E-5</v>
      </c>
      <c r="T524" s="41">
        <f t="shared" si="243"/>
        <v>1.391181266427793E-4</v>
      </c>
      <c r="U524" s="42">
        <f t="shared" si="262"/>
        <v>7.3013501680963044E-2</v>
      </c>
      <c r="V524" s="42">
        <f t="shared" si="263"/>
        <v>0.45686266357782263</v>
      </c>
      <c r="W524" s="42">
        <f t="shared" si="264"/>
        <v>0.45308377085191581</v>
      </c>
      <c r="X524" s="42">
        <f t="shared" si="265"/>
        <v>3.7788927259068128E-3</v>
      </c>
      <c r="Y524" s="42">
        <f t="shared" si="239"/>
        <v>2.1477581654185383E-3</v>
      </c>
      <c r="Z524" s="10">
        <f t="shared" si="266"/>
        <v>15.438377566235106</v>
      </c>
      <c r="AA524">
        <f t="shared" si="244"/>
        <v>5092231.1412184425</v>
      </c>
      <c r="AB524" s="10">
        <f t="shared" si="245"/>
        <v>5.0922311412184422</v>
      </c>
      <c r="AC524" s="10">
        <f t="shared" si="246"/>
        <v>4.9912311412184422</v>
      </c>
      <c r="AD524" s="3">
        <f t="shared" si="247"/>
        <v>723.89139103965806</v>
      </c>
      <c r="AI524" s="94">
        <f t="shared" si="248"/>
        <v>0.45308377085191581</v>
      </c>
    </row>
    <row r="525" spans="2:35">
      <c r="B525" s="39">
        <f t="shared" si="249"/>
        <v>497</v>
      </c>
      <c r="C525" s="42">
        <f t="shared" si="250"/>
        <v>3.3014148681020665</v>
      </c>
      <c r="D525" s="10">
        <f t="shared" si="251"/>
        <v>2.2385851318974925</v>
      </c>
      <c r="E525" s="40">
        <f t="shared" si="252"/>
        <v>26.602829736205013</v>
      </c>
      <c r="F525" s="40">
        <f t="shared" si="253"/>
        <v>31.08</v>
      </c>
      <c r="G525" s="3">
        <f t="shared" si="254"/>
        <v>199.98868105518702</v>
      </c>
      <c r="H525" s="3">
        <f t="shared" si="255"/>
        <v>81.256230789298584</v>
      </c>
      <c r="I525">
        <f t="shared" si="240"/>
        <v>8.1256230789298584E-5</v>
      </c>
      <c r="J525" s="4">
        <f t="shared" si="256"/>
        <v>555.83456616619571</v>
      </c>
      <c r="K525" s="40">
        <f t="shared" si="257"/>
        <v>6.840516238163965</v>
      </c>
      <c r="L525" s="40">
        <f t="shared" si="241"/>
        <v>0</v>
      </c>
      <c r="M525" s="10">
        <f t="shared" si="258"/>
        <v>5.0922311412184422</v>
      </c>
      <c r="N525" s="10">
        <f t="shared" si="237"/>
        <v>8.26</v>
      </c>
      <c r="O525" s="10">
        <f t="shared" si="238"/>
        <v>0.31900000000000001</v>
      </c>
      <c r="P525" s="10">
        <f t="shared" si="259"/>
        <v>13.883013114779914</v>
      </c>
      <c r="Q525" s="42">
        <f t="shared" si="260"/>
        <v>0.24135714007876449</v>
      </c>
      <c r="R525" s="4">
        <f t="shared" si="261"/>
        <v>40564.438196369512</v>
      </c>
      <c r="S525">
        <f t="shared" si="242"/>
        <v>4.056443819636951E-5</v>
      </c>
      <c r="T525" s="41">
        <f t="shared" si="243"/>
        <v>1.3923993384551433E-4</v>
      </c>
      <c r="U525" s="42">
        <f t="shared" si="262"/>
        <v>7.2794912565294898E-2</v>
      </c>
      <c r="V525" s="42">
        <f t="shared" si="263"/>
        <v>0.45684466005111452</v>
      </c>
      <c r="W525" s="42">
        <f t="shared" si="264"/>
        <v>0.45306846990424809</v>
      </c>
      <c r="X525" s="42">
        <f t="shared" si="265"/>
        <v>3.7761901468664205E-3</v>
      </c>
      <c r="Y525" s="42">
        <f t="shared" si="239"/>
        <v>2.1495649810322E-3</v>
      </c>
      <c r="Z525" s="10">
        <f t="shared" si="266"/>
        <v>15.437848336075241</v>
      </c>
      <c r="AA525">
        <f t="shared" si="244"/>
        <v>5092060.0409818115</v>
      </c>
      <c r="AB525" s="10">
        <f t="shared" si="245"/>
        <v>5.0920600409818118</v>
      </c>
      <c r="AC525" s="10">
        <f t="shared" si="246"/>
        <v>4.9910600409818118</v>
      </c>
      <c r="AD525" s="3">
        <f t="shared" si="247"/>
        <v>723.86657592194513</v>
      </c>
      <c r="AI525" s="94">
        <f t="shared" si="248"/>
        <v>0.45306846990424809</v>
      </c>
    </row>
    <row r="526" spans="2:35">
      <c r="B526" s="39">
        <f t="shared" si="249"/>
        <v>498</v>
      </c>
      <c r="C526" s="42">
        <f t="shared" si="250"/>
        <v>3.3080575539533785</v>
      </c>
      <c r="D526" s="10">
        <f t="shared" si="251"/>
        <v>2.2319424460461796</v>
      </c>
      <c r="E526" s="40">
        <f t="shared" si="252"/>
        <v>26.616115107907639</v>
      </c>
      <c r="F526" s="40">
        <f t="shared" si="253"/>
        <v>31.08</v>
      </c>
      <c r="G526" s="3">
        <f t="shared" si="254"/>
        <v>199.93553956837653</v>
      </c>
      <c r="H526" s="3">
        <f t="shared" si="255"/>
        <v>81.256230789298584</v>
      </c>
      <c r="I526">
        <f t="shared" si="240"/>
        <v>8.1256230789298584E-5</v>
      </c>
      <c r="J526" s="4">
        <f t="shared" si="256"/>
        <v>556.38986895018411</v>
      </c>
      <c r="K526" s="40">
        <f t="shared" si="257"/>
        <v>6.8473502098925865</v>
      </c>
      <c r="L526" s="40">
        <f t="shared" si="241"/>
        <v>0</v>
      </c>
      <c r="M526" s="10">
        <f t="shared" si="258"/>
        <v>5.0920600409818118</v>
      </c>
      <c r="N526" s="10">
        <f t="shared" si="237"/>
        <v>8.26</v>
      </c>
      <c r="O526" s="10">
        <f t="shared" si="238"/>
        <v>0.31900000000000001</v>
      </c>
      <c r="P526" s="10">
        <f t="shared" si="259"/>
        <v>13.882864308284894</v>
      </c>
      <c r="Q526" s="42">
        <f t="shared" si="260"/>
        <v>0.24183562101063874</v>
      </c>
      <c r="R526" s="4">
        <f t="shared" si="261"/>
        <v>40442.634551814139</v>
      </c>
      <c r="S526">
        <f t="shared" si="242"/>
        <v>4.0442634551814139E-5</v>
      </c>
      <c r="T526" s="41">
        <f t="shared" si="243"/>
        <v>1.393617374900697E-4</v>
      </c>
      <c r="U526" s="42">
        <f t="shared" si="262"/>
        <v>7.2576329834958056E-2</v>
      </c>
      <c r="V526" s="42">
        <f t="shared" si="263"/>
        <v>0.45682641830811438</v>
      </c>
      <c r="W526" s="42">
        <f t="shared" si="264"/>
        <v>0.453052938641476</v>
      </c>
      <c r="X526" s="42">
        <f t="shared" si="265"/>
        <v>3.7734796666383796E-3</v>
      </c>
      <c r="Y526" s="42">
        <f t="shared" si="239"/>
        <v>2.1513705190995018E-3</v>
      </c>
      <c r="Z526" s="10">
        <f t="shared" si="266"/>
        <v>15.437311258068943</v>
      </c>
      <c r="AA526">
        <f t="shared" si="244"/>
        <v>5091886.4035345595</v>
      </c>
      <c r="AB526" s="10">
        <f t="shared" si="245"/>
        <v>5.0918864035345592</v>
      </c>
      <c r="AC526" s="10">
        <f t="shared" si="246"/>
        <v>4.9908864035345593</v>
      </c>
      <c r="AD526" s="3">
        <f t="shared" si="247"/>
        <v>723.84139282589695</v>
      </c>
      <c r="AI526" s="94">
        <f t="shared" si="248"/>
        <v>0.453052938641476</v>
      </c>
    </row>
    <row r="527" spans="2:35">
      <c r="B527" s="39">
        <f t="shared" si="249"/>
        <v>499</v>
      </c>
      <c r="C527" s="42">
        <f t="shared" si="250"/>
        <v>3.3147002398046905</v>
      </c>
      <c r="D527" s="10">
        <f t="shared" si="251"/>
        <v>2.2252997601948667</v>
      </c>
      <c r="E527" s="40">
        <f t="shared" si="252"/>
        <v>26.629400479610265</v>
      </c>
      <c r="F527" s="40">
        <f t="shared" si="253"/>
        <v>31.08</v>
      </c>
      <c r="G527" s="3">
        <f t="shared" si="254"/>
        <v>199.88239808156604</v>
      </c>
      <c r="H527" s="3">
        <f t="shared" si="255"/>
        <v>81.256230789298584</v>
      </c>
      <c r="I527">
        <f t="shared" si="240"/>
        <v>8.1256230789298584E-5</v>
      </c>
      <c r="J527" s="4">
        <f t="shared" si="256"/>
        <v>556.94544898145409</v>
      </c>
      <c r="K527" s="40">
        <f t="shared" si="257"/>
        <v>6.854187593633787</v>
      </c>
      <c r="L527" s="40">
        <f t="shared" si="241"/>
        <v>0</v>
      </c>
      <c r="M527" s="10">
        <f t="shared" si="258"/>
        <v>5.0918864035345592</v>
      </c>
      <c r="N527" s="10">
        <f t="shared" si="237"/>
        <v>8.26</v>
      </c>
      <c r="O527" s="10">
        <f t="shared" si="238"/>
        <v>0.31900000000000001</v>
      </c>
      <c r="P527" s="10">
        <f t="shared" si="259"/>
        <v>13.88271329168739</v>
      </c>
      <c r="Q527" s="42">
        <f t="shared" si="260"/>
        <v>0.24231410714744381</v>
      </c>
      <c r="R527" s="4">
        <f t="shared" si="261"/>
        <v>40320.834509638385</v>
      </c>
      <c r="S527">
        <f t="shared" si="242"/>
        <v>4.0320834509638388E-5</v>
      </c>
      <c r="T527" s="41">
        <f t="shared" si="243"/>
        <v>1.3948353753224545E-4</v>
      </c>
      <c r="U527" s="42">
        <f t="shared" si="262"/>
        <v>7.2357753569271557E-2</v>
      </c>
      <c r="V527" s="42">
        <f t="shared" si="263"/>
        <v>0.45680793835735606</v>
      </c>
      <c r="W527" s="42">
        <f t="shared" si="264"/>
        <v>0.45303717706876601</v>
      </c>
      <c r="X527" s="42">
        <f t="shared" si="265"/>
        <v>3.7707612885900521E-3</v>
      </c>
      <c r="Y527" s="42">
        <f t="shared" si="239"/>
        <v>2.1531747761012934E-3</v>
      </c>
      <c r="Z527" s="10">
        <f t="shared" si="266"/>
        <v>15.436766332396237</v>
      </c>
      <c r="AA527">
        <f t="shared" si="244"/>
        <v>5091710.2289348915</v>
      </c>
      <c r="AB527" s="10">
        <f t="shared" si="245"/>
        <v>5.0917102289348914</v>
      </c>
      <c r="AC527" s="10">
        <f t="shared" si="246"/>
        <v>4.9907102289348915</v>
      </c>
      <c r="AD527" s="3">
        <f t="shared" si="247"/>
        <v>723.81584175995522</v>
      </c>
      <c r="AI527" s="94">
        <f t="shared" si="248"/>
        <v>0.45303717706876601</v>
      </c>
    </row>
    <row r="528" spans="2:35">
      <c r="B528" s="39">
        <f t="shared" si="249"/>
        <v>500</v>
      </c>
      <c r="C528" s="42">
        <f t="shared" si="250"/>
        <v>3.3213429256560025</v>
      </c>
      <c r="D528" s="10">
        <f t="shared" si="251"/>
        <v>2.2186570743435539</v>
      </c>
      <c r="E528" s="40">
        <f t="shared" si="252"/>
        <v>26.642685851312891</v>
      </c>
      <c r="F528" s="40">
        <f t="shared" si="253"/>
        <v>31.08</v>
      </c>
      <c r="G528" s="3">
        <f t="shared" si="254"/>
        <v>199.82925659475555</v>
      </c>
      <c r="H528" s="3">
        <f t="shared" si="255"/>
        <v>81.256230789298584</v>
      </c>
      <c r="I528">
        <f t="shared" si="240"/>
        <v>8.1256230789298584E-5</v>
      </c>
      <c r="J528" s="4">
        <f t="shared" si="256"/>
        <v>557.50130626000566</v>
      </c>
      <c r="K528" s="40">
        <f t="shared" si="257"/>
        <v>6.8610283893875668</v>
      </c>
      <c r="L528" s="40">
        <f t="shared" si="241"/>
        <v>0</v>
      </c>
      <c r="M528" s="10">
        <f t="shared" si="258"/>
        <v>5.0917102289348914</v>
      </c>
      <c r="N528" s="10">
        <f t="shared" si="237"/>
        <v>8.26</v>
      </c>
      <c r="O528" s="10">
        <f t="shared" si="238"/>
        <v>0.31900000000000001</v>
      </c>
      <c r="P528" s="10">
        <f t="shared" si="259"/>
        <v>13.882560064884091</v>
      </c>
      <c r="Q528" s="42">
        <f t="shared" si="260"/>
        <v>0.24279259856547231</v>
      </c>
      <c r="R528" s="4">
        <f t="shared" si="261"/>
        <v>40199.038114042283</v>
      </c>
      <c r="S528">
        <f t="shared" si="242"/>
        <v>4.0199038114042283E-5</v>
      </c>
      <c r="T528" s="41">
        <f t="shared" si="243"/>
        <v>1.3960533392784154E-4</v>
      </c>
      <c r="U528" s="42">
        <f t="shared" si="262"/>
        <v>7.2139183847554578E-2</v>
      </c>
      <c r="V528" s="42">
        <f t="shared" si="263"/>
        <v>0.45678922020700052</v>
      </c>
      <c r="W528" s="42">
        <f t="shared" si="264"/>
        <v>0.45302118519140155</v>
      </c>
      <c r="X528" s="42">
        <f t="shared" si="265"/>
        <v>3.7680350155989695E-3</v>
      </c>
      <c r="Y528" s="42">
        <f t="shared" si="239"/>
        <v>2.1549777485190885E-3</v>
      </c>
      <c r="Z528" s="10">
        <f t="shared" si="266"/>
        <v>15.436213559239375</v>
      </c>
      <c r="AA528">
        <f t="shared" si="244"/>
        <v>5091531.5172417285</v>
      </c>
      <c r="AB528" s="10">
        <f t="shared" si="245"/>
        <v>5.0915315172417284</v>
      </c>
      <c r="AC528" s="10">
        <f t="shared" si="246"/>
        <v>4.9905315172417284</v>
      </c>
      <c r="AD528" s="3">
        <f t="shared" si="247"/>
        <v>723.78992273266545</v>
      </c>
      <c r="AI528" s="94">
        <f t="shared" si="248"/>
        <v>0.45302118519140155</v>
      </c>
    </row>
    <row r="529" spans="2:35">
      <c r="B529" s="39">
        <f t="shared" si="249"/>
        <v>501</v>
      </c>
      <c r="C529" s="42">
        <f t="shared" si="250"/>
        <v>3.3279856115073145</v>
      </c>
      <c r="D529" s="10">
        <f t="shared" si="251"/>
        <v>2.212014388492241</v>
      </c>
      <c r="E529" s="40">
        <f t="shared" si="252"/>
        <v>26.655971223015516</v>
      </c>
      <c r="F529" s="40">
        <f t="shared" si="253"/>
        <v>31.08</v>
      </c>
      <c r="G529" s="3">
        <f t="shared" si="254"/>
        <v>199.77611510794506</v>
      </c>
      <c r="H529" s="3">
        <f t="shared" si="255"/>
        <v>81.256230789298584</v>
      </c>
      <c r="I529">
        <f t="shared" si="240"/>
        <v>8.1256230789298584E-5</v>
      </c>
      <c r="J529" s="4">
        <f t="shared" si="256"/>
        <v>558.05744078583871</v>
      </c>
      <c r="K529" s="40">
        <f t="shared" si="257"/>
        <v>6.8678725971539238</v>
      </c>
      <c r="L529" s="40">
        <f t="shared" si="241"/>
        <v>0</v>
      </c>
      <c r="M529" s="10">
        <f t="shared" si="258"/>
        <v>5.0915315172417284</v>
      </c>
      <c r="N529" s="10">
        <f t="shared" si="237"/>
        <v>8.26</v>
      </c>
      <c r="O529" s="10">
        <f t="shared" si="238"/>
        <v>0.31900000000000001</v>
      </c>
      <c r="P529" s="10">
        <f t="shared" si="259"/>
        <v>13.882404627770056</v>
      </c>
      <c r="Q529" s="42">
        <f t="shared" si="260"/>
        <v>0.24327109534102545</v>
      </c>
      <c r="R529" s="4">
        <f t="shared" si="261"/>
        <v>40077.245409225841</v>
      </c>
      <c r="S529">
        <f t="shared" si="242"/>
        <v>4.0077245409225841E-5</v>
      </c>
      <c r="T529" s="41">
        <f t="shared" si="243"/>
        <v>1.39727126632658E-4</v>
      </c>
      <c r="U529" s="42">
        <f t="shared" si="262"/>
        <v>7.1920620749126238E-2</v>
      </c>
      <c r="V529" s="42">
        <f t="shared" si="263"/>
        <v>0.45677026386579084</v>
      </c>
      <c r="W529" s="42">
        <f t="shared" si="264"/>
        <v>0.45300496301473125</v>
      </c>
      <c r="X529" s="42">
        <f t="shared" si="265"/>
        <v>3.7653008510595831E-3</v>
      </c>
      <c r="Y529" s="42">
        <f t="shared" si="239"/>
        <v>2.1567794328353081E-3</v>
      </c>
      <c r="Z529" s="10">
        <f t="shared" si="266"/>
        <v>15.435652938784548</v>
      </c>
      <c r="AA529">
        <f t="shared" si="244"/>
        <v>5091350.2685152646</v>
      </c>
      <c r="AB529" s="10">
        <f t="shared" si="245"/>
        <v>5.0913502685152645</v>
      </c>
      <c r="AC529" s="10">
        <f t="shared" si="246"/>
        <v>4.9903502685152645</v>
      </c>
      <c r="AD529" s="3">
        <f t="shared" si="247"/>
        <v>723.76363575275775</v>
      </c>
      <c r="AI529" s="94">
        <f t="shared" si="248"/>
        <v>0.45300496301473125</v>
      </c>
    </row>
    <row r="530" spans="2:35">
      <c r="B530" s="39">
        <f t="shared" si="249"/>
        <v>502</v>
      </c>
      <c r="C530" s="42">
        <f t="shared" si="250"/>
        <v>3.3346282973586265</v>
      </c>
      <c r="D530" s="10">
        <f t="shared" si="251"/>
        <v>2.2053717026409281</v>
      </c>
      <c r="E530" s="40">
        <f t="shared" si="252"/>
        <v>26.669256594718142</v>
      </c>
      <c r="F530" s="40">
        <f t="shared" si="253"/>
        <v>31.08</v>
      </c>
      <c r="G530" s="3">
        <f t="shared" si="254"/>
        <v>199.72297362113457</v>
      </c>
      <c r="H530" s="3">
        <f t="shared" si="255"/>
        <v>81.256230789298584</v>
      </c>
      <c r="I530">
        <f t="shared" si="240"/>
        <v>8.1256230789298584E-5</v>
      </c>
      <c r="J530" s="4">
        <f t="shared" si="256"/>
        <v>558.61385255895334</v>
      </c>
      <c r="K530" s="40">
        <f t="shared" si="257"/>
        <v>6.8747202169328601</v>
      </c>
      <c r="L530" s="40">
        <f t="shared" si="241"/>
        <v>0</v>
      </c>
      <c r="M530" s="10">
        <f t="shared" si="258"/>
        <v>5.0913502685152645</v>
      </c>
      <c r="N530" s="10">
        <f t="shared" si="237"/>
        <v>8.26</v>
      </c>
      <c r="O530" s="10">
        <f t="shared" si="238"/>
        <v>0.31900000000000001</v>
      </c>
      <c r="P530" s="10">
        <f t="shared" si="259"/>
        <v>13.882246980239181</v>
      </c>
      <c r="Q530" s="42">
        <f t="shared" si="260"/>
        <v>0.24374959755041328</v>
      </c>
      <c r="R530" s="4">
        <f t="shared" si="261"/>
        <v>39955.45643938901</v>
      </c>
      <c r="S530">
        <f t="shared" si="242"/>
        <v>3.9955456439389011E-5</v>
      </c>
      <c r="T530" s="41">
        <f t="shared" si="243"/>
        <v>1.3984891560249482E-4</v>
      </c>
      <c r="U530" s="42">
        <f t="shared" si="262"/>
        <v>7.1702064353305547E-2</v>
      </c>
      <c r="V530" s="42">
        <f t="shared" si="263"/>
        <v>0.4567510693426029</v>
      </c>
      <c r="W530" s="42">
        <f t="shared" si="264"/>
        <v>0.4529885105442189</v>
      </c>
      <c r="X530" s="42">
        <f t="shared" si="265"/>
        <v>3.762558798383997E-3</v>
      </c>
      <c r="Y530" s="42">
        <f t="shared" si="239"/>
        <v>2.1585798255332866E-3</v>
      </c>
      <c r="Z530" s="10">
        <f t="shared" si="266"/>
        <v>15.435084471221877</v>
      </c>
      <c r="AA530">
        <f t="shared" si="244"/>
        <v>5091166.4828169681</v>
      </c>
      <c r="AB530" s="10">
        <f t="shared" si="245"/>
        <v>5.091166482816968</v>
      </c>
      <c r="AC530" s="10">
        <f t="shared" si="246"/>
        <v>4.9901664828169681</v>
      </c>
      <c r="AD530" s="3">
        <f t="shared" si="247"/>
        <v>723.73698082914689</v>
      </c>
      <c r="AI530" s="94">
        <f t="shared" si="248"/>
        <v>0.4529885105442189</v>
      </c>
    </row>
    <row r="531" spans="2:35">
      <c r="B531" s="39">
        <f t="shared" si="249"/>
        <v>503</v>
      </c>
      <c r="C531" s="42">
        <f t="shared" si="250"/>
        <v>3.3412709832099385</v>
      </c>
      <c r="D531" s="10">
        <f t="shared" si="251"/>
        <v>2.1987290167896152</v>
      </c>
      <c r="E531" s="40">
        <f t="shared" si="252"/>
        <v>26.682541966420768</v>
      </c>
      <c r="F531" s="40">
        <f t="shared" si="253"/>
        <v>31.08</v>
      </c>
      <c r="G531" s="3">
        <f t="shared" si="254"/>
        <v>199.66983213432408</v>
      </c>
      <c r="H531" s="3">
        <f t="shared" si="255"/>
        <v>81.256230789298584</v>
      </c>
      <c r="I531">
        <f t="shared" si="240"/>
        <v>8.1256230789298584E-5</v>
      </c>
      <c r="J531" s="4">
        <f t="shared" si="256"/>
        <v>559.17054157934967</v>
      </c>
      <c r="K531" s="40">
        <f t="shared" si="257"/>
        <v>6.8815712487243772</v>
      </c>
      <c r="L531" s="40">
        <f t="shared" si="241"/>
        <v>0</v>
      </c>
      <c r="M531" s="10">
        <f t="shared" si="258"/>
        <v>5.091166482816968</v>
      </c>
      <c r="N531" s="10">
        <f t="shared" si="237"/>
        <v>8.26</v>
      </c>
      <c r="O531" s="10">
        <f t="shared" si="238"/>
        <v>0.31900000000000001</v>
      </c>
      <c r="P531" s="10">
        <f t="shared" si="259"/>
        <v>13.882087122184222</v>
      </c>
      <c r="Q531" s="42">
        <f t="shared" si="260"/>
        <v>0.24422810526995473</v>
      </c>
      <c r="R531" s="4">
        <f t="shared" si="261"/>
        <v>39833.671248731822</v>
      </c>
      <c r="S531">
        <f t="shared" si="242"/>
        <v>3.983367124873182E-5</v>
      </c>
      <c r="T531" s="41">
        <f t="shared" si="243"/>
        <v>1.3997070079315203E-4</v>
      </c>
      <c r="U531" s="42">
        <f t="shared" si="262"/>
        <v>7.1483514739411683E-2</v>
      </c>
      <c r="V531" s="42">
        <f t="shared" si="263"/>
        <v>0.45673163664590838</v>
      </c>
      <c r="W531" s="42">
        <f t="shared" si="264"/>
        <v>0.45297182778544431</v>
      </c>
      <c r="X531" s="42">
        <f t="shared" si="265"/>
        <v>3.7598088604640645E-3</v>
      </c>
      <c r="Y531" s="42">
        <f t="shared" si="239"/>
        <v>2.1603789230970191E-3</v>
      </c>
      <c r="Z531" s="10">
        <f t="shared" si="266"/>
        <v>15.434508156743574</v>
      </c>
      <c r="AA531">
        <f t="shared" si="244"/>
        <v>5090980.1602089806</v>
      </c>
      <c r="AB531" s="10">
        <f t="shared" si="245"/>
        <v>5.0909801602089804</v>
      </c>
      <c r="AC531" s="10">
        <f t="shared" si="246"/>
        <v>4.9899801602089804</v>
      </c>
      <c r="AD531" s="3">
        <f t="shared" si="247"/>
        <v>723.70995797084561</v>
      </c>
      <c r="AI531" s="94">
        <f t="shared" si="248"/>
        <v>0.45297182778544431</v>
      </c>
    </row>
    <row r="532" spans="2:35">
      <c r="B532" s="39">
        <f t="shared" si="249"/>
        <v>504</v>
      </c>
      <c r="C532" s="42">
        <f t="shared" si="250"/>
        <v>3.3479136690612505</v>
      </c>
      <c r="D532" s="10">
        <f t="shared" si="251"/>
        <v>2.1920863309383023</v>
      </c>
      <c r="E532" s="40">
        <f t="shared" si="252"/>
        <v>26.695827338123394</v>
      </c>
      <c r="F532" s="40">
        <f t="shared" si="253"/>
        <v>31.08</v>
      </c>
      <c r="G532" s="3">
        <f t="shared" si="254"/>
        <v>199.61669064751359</v>
      </c>
      <c r="H532" s="3">
        <f t="shared" si="255"/>
        <v>81.256230789298584</v>
      </c>
      <c r="I532">
        <f t="shared" si="240"/>
        <v>8.1256230789298584E-5</v>
      </c>
      <c r="J532" s="4">
        <f t="shared" si="256"/>
        <v>559.72750784702737</v>
      </c>
      <c r="K532" s="40">
        <f t="shared" si="257"/>
        <v>6.8884256925284708</v>
      </c>
      <c r="L532" s="40">
        <f t="shared" si="241"/>
        <v>0</v>
      </c>
      <c r="M532" s="10">
        <f t="shared" si="258"/>
        <v>5.0909801602089804</v>
      </c>
      <c r="N532" s="10">
        <f t="shared" si="237"/>
        <v>8.26</v>
      </c>
      <c r="O532" s="10">
        <f t="shared" si="238"/>
        <v>0.31900000000000001</v>
      </c>
      <c r="P532" s="10">
        <f t="shared" si="259"/>
        <v>13.881925053496248</v>
      </c>
      <c r="Q532" s="42">
        <f t="shared" si="260"/>
        <v>0.24470661857597772</v>
      </c>
      <c r="R532" s="4">
        <f t="shared" si="261"/>
        <v>39711.889881454284</v>
      </c>
      <c r="S532">
        <f t="shared" si="242"/>
        <v>3.9711889881454284E-5</v>
      </c>
      <c r="T532" s="41">
        <f t="shared" si="243"/>
        <v>1.4009248216042956E-4</v>
      </c>
      <c r="U532" s="42">
        <f t="shared" si="262"/>
        <v>7.1264971986763778E-2</v>
      </c>
      <c r="V532" s="42">
        <f t="shared" si="263"/>
        <v>0.45671196578471068</v>
      </c>
      <c r="W532" s="42">
        <f t="shared" si="264"/>
        <v>0.45295491474404809</v>
      </c>
      <c r="X532" s="42">
        <f t="shared" si="265"/>
        <v>3.7570510406625957E-3</v>
      </c>
      <c r="Y532" s="42">
        <f t="shared" si="239"/>
        <v>2.1621767220113839E-3</v>
      </c>
      <c r="Z532" s="10">
        <f t="shared" si="266"/>
        <v>15.433923995545502</v>
      </c>
      <c r="AA532">
        <f t="shared" si="244"/>
        <v>5090791.3007546244</v>
      </c>
      <c r="AB532" s="10">
        <f t="shared" si="245"/>
        <v>5.0907913007546242</v>
      </c>
      <c r="AC532" s="10">
        <f t="shared" si="246"/>
        <v>4.9897913007546242</v>
      </c>
      <c r="AD532" s="3">
        <f t="shared" si="247"/>
        <v>723.68256718703765</v>
      </c>
      <c r="AI532" s="94">
        <f t="shared" si="248"/>
        <v>0.45295491474404809</v>
      </c>
    </row>
    <row r="533" spans="2:35">
      <c r="B533" s="39">
        <f t="shared" si="249"/>
        <v>505</v>
      </c>
      <c r="C533" s="42">
        <f t="shared" si="250"/>
        <v>3.3545563549125625</v>
      </c>
      <c r="D533" s="10">
        <f t="shared" si="251"/>
        <v>2.1854436450869894</v>
      </c>
      <c r="E533" s="40">
        <f t="shared" si="252"/>
        <v>26.709112709826019</v>
      </c>
      <c r="F533" s="40">
        <f t="shared" si="253"/>
        <v>31.08</v>
      </c>
      <c r="G533" s="3">
        <f t="shared" si="254"/>
        <v>199.5635491607031</v>
      </c>
      <c r="H533" s="3">
        <f t="shared" si="255"/>
        <v>81.256230789298584</v>
      </c>
      <c r="I533">
        <f t="shared" si="240"/>
        <v>8.1256230789298584E-5</v>
      </c>
      <c r="J533" s="4">
        <f t="shared" si="256"/>
        <v>560.28475136198676</v>
      </c>
      <c r="K533" s="40">
        <f t="shared" si="257"/>
        <v>6.8952835483451453</v>
      </c>
      <c r="L533" s="40">
        <f t="shared" si="241"/>
        <v>0</v>
      </c>
      <c r="M533" s="10">
        <f t="shared" si="258"/>
        <v>5.0907913007546242</v>
      </c>
      <c r="N533" s="10">
        <f t="shared" si="237"/>
        <v>8.26</v>
      </c>
      <c r="O533" s="10">
        <f t="shared" si="238"/>
        <v>0.31900000000000001</v>
      </c>
      <c r="P533" s="10">
        <f t="shared" si="259"/>
        <v>13.881760774065105</v>
      </c>
      <c r="Q533" s="42">
        <f t="shared" si="260"/>
        <v>0.24518513754481938</v>
      </c>
      <c r="R533" s="4">
        <f t="shared" si="261"/>
        <v>39590.112381756349</v>
      </c>
      <c r="S533">
        <f t="shared" si="242"/>
        <v>3.9590112381756352E-5</v>
      </c>
      <c r="T533" s="41">
        <f t="shared" si="243"/>
        <v>1.4021425966012749E-4</v>
      </c>
      <c r="U533" s="42">
        <f t="shared" si="262"/>
        <v>7.1046436174680858E-2</v>
      </c>
      <c r="V533" s="42">
        <f t="shared" si="263"/>
        <v>0.45669205676825458</v>
      </c>
      <c r="W533" s="42">
        <f t="shared" si="264"/>
        <v>0.45293777142577835</v>
      </c>
      <c r="X533" s="42">
        <f t="shared" si="265"/>
        <v>3.7542853424762379E-3</v>
      </c>
      <c r="Y533" s="42">
        <f t="shared" si="239"/>
        <v>2.1639732187622028E-3</v>
      </c>
      <c r="Z533" s="10">
        <f t="shared" si="266"/>
        <v>15.433331987827545</v>
      </c>
      <c r="AA533">
        <f t="shared" si="244"/>
        <v>5090599.9045185214</v>
      </c>
      <c r="AB533" s="10">
        <f t="shared" si="245"/>
        <v>5.0905999045185215</v>
      </c>
      <c r="AC533" s="10">
        <f t="shared" si="246"/>
        <v>4.9895999045185215</v>
      </c>
      <c r="AD533" s="3">
        <f t="shared" si="247"/>
        <v>723.65480848709524</v>
      </c>
      <c r="AI533" s="94">
        <f t="shared" si="248"/>
        <v>0.45293777142577835</v>
      </c>
    </row>
    <row r="534" spans="2:35">
      <c r="B534" s="39">
        <f t="shared" si="249"/>
        <v>506</v>
      </c>
      <c r="C534" s="42">
        <f t="shared" si="250"/>
        <v>3.3611990407638745</v>
      </c>
      <c r="D534" s="10">
        <f t="shared" si="251"/>
        <v>2.1788009592356765</v>
      </c>
      <c r="E534" s="40">
        <f t="shared" si="252"/>
        <v>26.722398081528645</v>
      </c>
      <c r="F534" s="40">
        <f t="shared" si="253"/>
        <v>31.08</v>
      </c>
      <c r="G534" s="3">
        <f t="shared" si="254"/>
        <v>199.51040767389262</v>
      </c>
      <c r="H534" s="3">
        <f t="shared" si="255"/>
        <v>81.256230789298584</v>
      </c>
      <c r="I534">
        <f t="shared" si="240"/>
        <v>8.1256230789298584E-5</v>
      </c>
      <c r="J534" s="4">
        <f t="shared" si="256"/>
        <v>560.84227212422763</v>
      </c>
      <c r="K534" s="40">
        <f t="shared" si="257"/>
        <v>6.9021448161743963</v>
      </c>
      <c r="L534" s="40">
        <f t="shared" si="241"/>
        <v>0</v>
      </c>
      <c r="M534" s="10">
        <f t="shared" si="258"/>
        <v>5.0905999045185215</v>
      </c>
      <c r="N534" s="10">
        <f t="shared" si="237"/>
        <v>8.26</v>
      </c>
      <c r="O534" s="10">
        <f t="shared" si="238"/>
        <v>0.31900000000000001</v>
      </c>
      <c r="P534" s="10">
        <f t="shared" si="259"/>
        <v>13.881594283779503</v>
      </c>
      <c r="Q534" s="42">
        <f t="shared" si="260"/>
        <v>0.24566366225282601</v>
      </c>
      <c r="R534" s="4">
        <f t="shared" si="261"/>
        <v>39468.338793838069</v>
      </c>
      <c r="S534">
        <f t="shared" si="242"/>
        <v>3.9468338793838072E-5</v>
      </c>
      <c r="T534" s="41">
        <f t="shared" si="243"/>
        <v>1.4033603324804578E-4</v>
      </c>
      <c r="U534" s="42">
        <f t="shared" si="262"/>
        <v>7.0827907382482097E-2</v>
      </c>
      <c r="V534" s="42">
        <f t="shared" si="263"/>
        <v>0.45667190960540999</v>
      </c>
      <c r="W534" s="42">
        <f t="shared" si="264"/>
        <v>0.45292039783650079</v>
      </c>
      <c r="X534" s="42">
        <f t="shared" si="265"/>
        <v>3.7515117689091992E-3</v>
      </c>
      <c r="Y534" s="42">
        <f t="shared" si="239"/>
        <v>2.1657684098360034E-3</v>
      </c>
      <c r="Z534" s="10">
        <f t="shared" si="266"/>
        <v>15.432732133791893</v>
      </c>
      <c r="AA534">
        <f t="shared" si="244"/>
        <v>5090405.9715660401</v>
      </c>
      <c r="AB534" s="10">
        <f t="shared" si="245"/>
        <v>5.0904059715660397</v>
      </c>
      <c r="AC534" s="10">
        <f t="shared" si="246"/>
        <v>4.9894059715660397</v>
      </c>
      <c r="AD534" s="3">
        <f t="shared" si="247"/>
        <v>723.62668188049895</v>
      </c>
      <c r="AI534" s="94">
        <f t="shared" si="248"/>
        <v>0.45292039783650079</v>
      </c>
    </row>
    <row r="535" spans="2:35">
      <c r="B535" s="39">
        <f t="shared" si="249"/>
        <v>507</v>
      </c>
      <c r="C535" s="42">
        <f t="shared" si="250"/>
        <v>3.3678417266151865</v>
      </c>
      <c r="D535" s="10">
        <f t="shared" si="251"/>
        <v>2.1721582733843636</v>
      </c>
      <c r="E535" s="40">
        <f t="shared" si="252"/>
        <v>26.735683453231271</v>
      </c>
      <c r="F535" s="40">
        <f t="shared" si="253"/>
        <v>31.08</v>
      </c>
      <c r="G535" s="3">
        <f t="shared" si="254"/>
        <v>199.45726618708213</v>
      </c>
      <c r="H535" s="3">
        <f t="shared" si="255"/>
        <v>81.256230789298584</v>
      </c>
      <c r="I535">
        <f t="shared" si="240"/>
        <v>8.1256230789298584E-5</v>
      </c>
      <c r="J535" s="4">
        <f t="shared" si="256"/>
        <v>561.40007013375009</v>
      </c>
      <c r="K535" s="40">
        <f t="shared" si="257"/>
        <v>6.9090094960162274</v>
      </c>
      <c r="L535" s="40">
        <f t="shared" si="241"/>
        <v>0</v>
      </c>
      <c r="M535" s="10">
        <f t="shared" si="258"/>
        <v>5.0904059715660397</v>
      </c>
      <c r="N535" s="10">
        <f t="shared" si="237"/>
        <v>8.26</v>
      </c>
      <c r="O535" s="10">
        <f t="shared" si="238"/>
        <v>0.31900000000000001</v>
      </c>
      <c r="P535" s="10">
        <f t="shared" si="259"/>
        <v>13.881425582526536</v>
      </c>
      <c r="Q535" s="42">
        <f t="shared" si="260"/>
        <v>0.24614219277635335</v>
      </c>
      <c r="R535" s="4">
        <f t="shared" si="261"/>
        <v>39346.569161899402</v>
      </c>
      <c r="S535">
        <f t="shared" si="242"/>
        <v>3.93465691618994E-5</v>
      </c>
      <c r="T535" s="41">
        <f t="shared" si="243"/>
        <v>1.4045780287998442E-4</v>
      </c>
      <c r="U535" s="42">
        <f t="shared" si="262"/>
        <v>7.0609385689486562E-2</v>
      </c>
      <c r="V535" s="42">
        <f t="shared" si="263"/>
        <v>0.45665152430564149</v>
      </c>
      <c r="W535" s="42">
        <f t="shared" si="264"/>
        <v>0.45290279398214928</v>
      </c>
      <c r="X535" s="42">
        <f t="shared" si="265"/>
        <v>3.7487303234922109E-3</v>
      </c>
      <c r="Y535" s="42">
        <f t="shared" si="239"/>
        <v>2.1675622917202669E-3</v>
      </c>
      <c r="Z535" s="10">
        <f t="shared" si="266"/>
        <v>15.432124433644759</v>
      </c>
      <c r="AA535">
        <f t="shared" si="244"/>
        <v>5090209.501963851</v>
      </c>
      <c r="AB535" s="10">
        <f t="shared" si="245"/>
        <v>5.0902095019638507</v>
      </c>
      <c r="AC535" s="10">
        <f t="shared" si="246"/>
        <v>4.9892095019638507</v>
      </c>
      <c r="AD535" s="3">
        <f t="shared" si="247"/>
        <v>723.59818737691819</v>
      </c>
      <c r="AI535" s="94">
        <f t="shared" si="248"/>
        <v>0.45290279398214928</v>
      </c>
    </row>
    <row r="536" spans="2:35">
      <c r="B536" s="39">
        <f t="shared" si="249"/>
        <v>508</v>
      </c>
      <c r="C536" s="42">
        <f t="shared" si="250"/>
        <v>3.3744844124664986</v>
      </c>
      <c r="D536" s="10">
        <f t="shared" si="251"/>
        <v>2.1655155875330507</v>
      </c>
      <c r="E536" s="40">
        <f t="shared" si="252"/>
        <v>26.748968824933897</v>
      </c>
      <c r="F536" s="40">
        <f t="shared" si="253"/>
        <v>31.08</v>
      </c>
      <c r="G536" s="3">
        <f t="shared" si="254"/>
        <v>199.40412470027164</v>
      </c>
      <c r="H536" s="3">
        <f t="shared" si="255"/>
        <v>81.256230789298584</v>
      </c>
      <c r="I536">
        <f t="shared" si="240"/>
        <v>8.1256230789298584E-5</v>
      </c>
      <c r="J536" s="4">
        <f t="shared" si="256"/>
        <v>561.95814539055402</v>
      </c>
      <c r="K536" s="40">
        <f t="shared" si="257"/>
        <v>6.9158775878706367</v>
      </c>
      <c r="L536" s="40">
        <f t="shared" si="241"/>
        <v>0</v>
      </c>
      <c r="M536" s="10">
        <f t="shared" si="258"/>
        <v>5.0902095019638507</v>
      </c>
      <c r="N536" s="10">
        <f t="shared" si="237"/>
        <v>8.26</v>
      </c>
      <c r="O536" s="10">
        <f t="shared" si="238"/>
        <v>0.31900000000000001</v>
      </c>
      <c r="P536" s="10">
        <f t="shared" si="259"/>
        <v>13.881254670192172</v>
      </c>
      <c r="Q536" s="42">
        <f t="shared" si="260"/>
        <v>0.24662072919176659</v>
      </c>
      <c r="R536" s="4">
        <f t="shared" si="261"/>
        <v>39224.80353014038</v>
      </c>
      <c r="S536">
        <f t="shared" si="242"/>
        <v>3.9224803530140377E-5</v>
      </c>
      <c r="T536" s="41">
        <f t="shared" si="243"/>
        <v>1.4057956851174346E-4</v>
      </c>
      <c r="U536" s="42">
        <f t="shared" si="262"/>
        <v>7.0390871175013414E-2</v>
      </c>
      <c r="V536" s="42">
        <f t="shared" si="263"/>
        <v>0.45663090087815483</v>
      </c>
      <c r="W536" s="42">
        <f t="shared" si="264"/>
        <v>0.45288495986877564</v>
      </c>
      <c r="X536" s="42">
        <f t="shared" si="265"/>
        <v>3.7459410093791945E-3</v>
      </c>
      <c r="Y536" s="42">
        <f t="shared" si="239"/>
        <v>2.1693548609032446E-3</v>
      </c>
      <c r="Z536" s="10">
        <f t="shared" si="266"/>
        <v>15.431508887595037</v>
      </c>
      <c r="AA536">
        <f t="shared" si="244"/>
        <v>5090010.4957794864</v>
      </c>
      <c r="AB536" s="10">
        <f t="shared" si="245"/>
        <v>5.0900104957794863</v>
      </c>
      <c r="AC536" s="10">
        <f t="shared" si="246"/>
        <v>4.9890104957794863</v>
      </c>
      <c r="AD536" s="3">
        <f t="shared" si="247"/>
        <v>723.56932498614742</v>
      </c>
      <c r="AI536" s="94">
        <f t="shared" si="248"/>
        <v>0.45288495986877564</v>
      </c>
    </row>
    <row r="537" spans="2:35">
      <c r="B537" s="39">
        <f t="shared" si="249"/>
        <v>509</v>
      </c>
      <c r="C537" s="42">
        <f t="shared" si="250"/>
        <v>3.3811270983178106</v>
      </c>
      <c r="D537" s="10">
        <f t="shared" si="251"/>
        <v>2.1588729016817378</v>
      </c>
      <c r="E537" s="40">
        <f t="shared" si="252"/>
        <v>26.762254196636523</v>
      </c>
      <c r="F537" s="40">
        <f t="shared" si="253"/>
        <v>31.08</v>
      </c>
      <c r="G537" s="3">
        <f t="shared" si="254"/>
        <v>199.35098321346115</v>
      </c>
      <c r="H537" s="3">
        <f t="shared" si="255"/>
        <v>81.256230789298584</v>
      </c>
      <c r="I537">
        <f t="shared" si="240"/>
        <v>8.1256230789298584E-5</v>
      </c>
      <c r="J537" s="4">
        <f t="shared" si="256"/>
        <v>562.51649789463977</v>
      </c>
      <c r="K537" s="40">
        <f t="shared" si="257"/>
        <v>6.9227490917376269</v>
      </c>
      <c r="L537" s="40">
        <f t="shared" si="241"/>
        <v>0</v>
      </c>
      <c r="M537" s="10">
        <f t="shared" si="258"/>
        <v>5.0900104957794863</v>
      </c>
      <c r="N537" s="10">
        <f t="shared" si="237"/>
        <v>8.26</v>
      </c>
      <c r="O537" s="10">
        <f t="shared" si="238"/>
        <v>0.31900000000000001</v>
      </c>
      <c r="P537" s="10">
        <f t="shared" si="259"/>
        <v>13.881081546660868</v>
      </c>
      <c r="Q537" s="42">
        <f t="shared" si="260"/>
        <v>0.24709927157544057</v>
      </c>
      <c r="R537" s="4">
        <f t="shared" si="261"/>
        <v>39103.041942760952</v>
      </c>
      <c r="S537">
        <f t="shared" si="242"/>
        <v>3.9103041942760952E-5</v>
      </c>
      <c r="T537" s="41">
        <f t="shared" si="243"/>
        <v>1.4070133009912289E-4</v>
      </c>
      <c r="U537" s="42">
        <f t="shared" si="262"/>
        <v>7.017236391838165E-2</v>
      </c>
      <c r="V537" s="42">
        <f t="shared" si="263"/>
        <v>0.45661003933275052</v>
      </c>
      <c r="W537" s="42">
        <f t="shared" si="264"/>
        <v>0.45286689550250997</v>
      </c>
      <c r="X537" s="42">
        <f t="shared" si="265"/>
        <v>3.7431438302405473E-3</v>
      </c>
      <c r="Y537" s="42">
        <f t="shared" si="239"/>
        <v>2.1711461138742023E-3</v>
      </c>
      <c r="Z537" s="10">
        <f t="shared" si="266"/>
        <v>15.430885495855998</v>
      </c>
      <c r="AA537">
        <f t="shared" si="244"/>
        <v>5089808.9530818993</v>
      </c>
      <c r="AB537" s="10">
        <f t="shared" si="245"/>
        <v>5.0898089530818993</v>
      </c>
      <c r="AC537" s="10">
        <f t="shared" si="246"/>
        <v>4.9888089530818993</v>
      </c>
      <c r="AD537" s="3">
        <f t="shared" si="247"/>
        <v>723.54009471818699</v>
      </c>
      <c r="AI537" s="94">
        <f t="shared" si="248"/>
        <v>0.45286689550250997</v>
      </c>
    </row>
    <row r="538" spans="2:35">
      <c r="B538" s="39">
        <f t="shared" si="249"/>
        <v>510</v>
      </c>
      <c r="C538" s="42">
        <f t="shared" si="250"/>
        <v>3.3877697841691226</v>
      </c>
      <c r="D538" s="10">
        <f t="shared" si="251"/>
        <v>2.152230215830425</v>
      </c>
      <c r="E538" s="40">
        <f t="shared" si="252"/>
        <v>26.775539568339148</v>
      </c>
      <c r="F538" s="40">
        <f t="shared" si="253"/>
        <v>31.08</v>
      </c>
      <c r="G538" s="3">
        <f t="shared" si="254"/>
        <v>199.29784172665066</v>
      </c>
      <c r="H538" s="3">
        <f t="shared" si="255"/>
        <v>81.256230789298584</v>
      </c>
      <c r="I538">
        <f t="shared" si="240"/>
        <v>8.1256230789298584E-5</v>
      </c>
      <c r="J538" s="4">
        <f t="shared" si="256"/>
        <v>563.07512764600688</v>
      </c>
      <c r="K538" s="40">
        <f t="shared" si="257"/>
        <v>6.9296240076171935</v>
      </c>
      <c r="L538" s="40">
        <f t="shared" si="241"/>
        <v>0</v>
      </c>
      <c r="M538" s="10">
        <f t="shared" si="258"/>
        <v>5.0898089530818993</v>
      </c>
      <c r="N538" s="10">
        <f t="shared" si="237"/>
        <v>8.26</v>
      </c>
      <c r="O538" s="10">
        <f t="shared" si="238"/>
        <v>0.31900000000000001</v>
      </c>
      <c r="P538" s="10">
        <f t="shared" si="259"/>
        <v>13.88090621181605</v>
      </c>
      <c r="Q538" s="42">
        <f t="shared" si="260"/>
        <v>0.24757782000375986</v>
      </c>
      <c r="R538" s="4">
        <f t="shared" si="261"/>
        <v>38981.284443961165</v>
      </c>
      <c r="S538">
        <f t="shared" si="242"/>
        <v>3.8981284443961167E-5</v>
      </c>
      <c r="T538" s="41">
        <f t="shared" si="243"/>
        <v>1.4082308759792267E-4</v>
      </c>
      <c r="U538" s="42">
        <f t="shared" si="262"/>
        <v>6.9953863998910501E-2</v>
      </c>
      <c r="V538" s="42">
        <f t="shared" si="263"/>
        <v>0.45658893967856434</v>
      </c>
      <c r="W538" s="42">
        <f t="shared" si="264"/>
        <v>0.45284860088961137</v>
      </c>
      <c r="X538" s="42">
        <f t="shared" si="265"/>
        <v>3.7403387889529682E-3</v>
      </c>
      <c r="Y538" s="42">
        <f t="shared" si="239"/>
        <v>2.1729360471230376E-3</v>
      </c>
      <c r="Z538" s="10">
        <f t="shared" si="266"/>
        <v>15.43025425864254</v>
      </c>
      <c r="AA538">
        <f t="shared" si="244"/>
        <v>5089604.8739405656</v>
      </c>
      <c r="AB538" s="10">
        <f t="shared" si="245"/>
        <v>5.0896048739405657</v>
      </c>
      <c r="AC538" s="10">
        <f t="shared" si="246"/>
        <v>4.9886048739405657</v>
      </c>
      <c r="AD538" s="3">
        <f t="shared" si="247"/>
        <v>723.51049658311319</v>
      </c>
      <c r="AI538" s="94">
        <f t="shared" si="248"/>
        <v>0.45284860088961137</v>
      </c>
    </row>
    <row r="539" spans="2:35">
      <c r="B539" s="39">
        <f t="shared" si="249"/>
        <v>511</v>
      </c>
      <c r="C539" s="42">
        <f t="shared" si="250"/>
        <v>3.3944124700204346</v>
      </c>
      <c r="D539" s="10">
        <f t="shared" si="251"/>
        <v>2.1455875299791121</v>
      </c>
      <c r="E539" s="40">
        <f t="shared" si="252"/>
        <v>26.788824940041774</v>
      </c>
      <c r="F539" s="40">
        <f t="shared" si="253"/>
        <v>31.08</v>
      </c>
      <c r="G539" s="3">
        <f t="shared" si="254"/>
        <v>199.24470023984017</v>
      </c>
      <c r="H539" s="3">
        <f t="shared" si="255"/>
        <v>81.256230789298584</v>
      </c>
      <c r="I539">
        <f t="shared" si="240"/>
        <v>8.1256230789298584E-5</v>
      </c>
      <c r="J539" s="4">
        <f t="shared" si="256"/>
        <v>563.63403464465546</v>
      </c>
      <c r="K539" s="40">
        <f t="shared" si="257"/>
        <v>6.9365023355093385</v>
      </c>
      <c r="L539" s="40">
        <f t="shared" si="241"/>
        <v>0</v>
      </c>
      <c r="M539" s="10">
        <f t="shared" si="258"/>
        <v>5.0896048739405657</v>
      </c>
      <c r="N539" s="10">
        <f t="shared" si="237"/>
        <v>8.26</v>
      </c>
      <c r="O539" s="10">
        <f t="shared" si="238"/>
        <v>0.31900000000000001</v>
      </c>
      <c r="P539" s="10">
        <f t="shared" si="259"/>
        <v>13.880728665539337</v>
      </c>
      <c r="Q539" s="42">
        <f t="shared" si="260"/>
        <v>0.24805637455311888</v>
      </c>
      <c r="R539" s="4">
        <f t="shared" si="261"/>
        <v>38859.531077941014</v>
      </c>
      <c r="S539">
        <f t="shared" si="242"/>
        <v>3.8859531077941012E-5</v>
      </c>
      <c r="T539" s="41">
        <f t="shared" si="243"/>
        <v>1.4094484096394282E-4</v>
      </c>
      <c r="U539" s="42">
        <f t="shared" si="262"/>
        <v>6.9735371495919046E-2</v>
      </c>
      <c r="V539" s="42">
        <f t="shared" si="263"/>
        <v>0.45656760192564094</v>
      </c>
      <c r="W539" s="42">
        <f t="shared" si="264"/>
        <v>0.45283007603638631</v>
      </c>
      <c r="X539" s="42">
        <f t="shared" si="265"/>
        <v>3.7375258892546337E-3</v>
      </c>
      <c r="Y539" s="42">
        <f t="shared" si="239"/>
        <v>2.1747246571406876E-3</v>
      </c>
      <c r="Z539" s="10">
        <f t="shared" si="266"/>
        <v>15.429615176174032</v>
      </c>
      <c r="AA539">
        <f t="shared" si="244"/>
        <v>5089398.2584264064</v>
      </c>
      <c r="AB539" s="10">
        <f t="shared" si="245"/>
        <v>5.0893982584264066</v>
      </c>
      <c r="AC539" s="10">
        <f t="shared" si="246"/>
        <v>4.9883982584264066</v>
      </c>
      <c r="AD539" s="3">
        <f t="shared" si="247"/>
        <v>723.48053059121196</v>
      </c>
      <c r="AI539" s="94">
        <f t="shared" si="248"/>
        <v>0.45283007603638631</v>
      </c>
    </row>
    <row r="540" spans="2:35">
      <c r="B540" s="39">
        <f t="shared" si="249"/>
        <v>512</v>
      </c>
      <c r="C540" s="42">
        <f t="shared" si="250"/>
        <v>3.4010551558717466</v>
      </c>
      <c r="D540" s="10">
        <f t="shared" si="251"/>
        <v>2.1389448441277992</v>
      </c>
      <c r="E540" s="40">
        <f t="shared" si="252"/>
        <v>26.8021103117444</v>
      </c>
      <c r="F540" s="40">
        <f t="shared" si="253"/>
        <v>31.08</v>
      </c>
      <c r="G540" s="3">
        <f t="shared" si="254"/>
        <v>199.19155875302968</v>
      </c>
      <c r="H540" s="3">
        <f t="shared" si="255"/>
        <v>81.256230789298584</v>
      </c>
      <c r="I540">
        <f t="shared" si="240"/>
        <v>8.1256230789298584E-5</v>
      </c>
      <c r="J540" s="4">
        <f t="shared" si="256"/>
        <v>564.19321889058585</v>
      </c>
      <c r="K540" s="40">
        <f t="shared" si="257"/>
        <v>6.9433840754140652</v>
      </c>
      <c r="L540" s="40">
        <f t="shared" si="241"/>
        <v>0</v>
      </c>
      <c r="M540" s="10">
        <f t="shared" si="258"/>
        <v>5.0893982584264066</v>
      </c>
      <c r="N540" s="10">
        <f t="shared" ref="N540:N603" si="267">IF(fueltype=1,VLOOKUP($M540,kndxbn_,4),IF(fueltype=2,VLOOKUP($M540,knsobn_,4),IF(fueltype=3,VLOOKUP($M540,knsbcobn_,4),IF(fueltype=4,VLOOKUP($M540,knsubn_,4),IF(fueltype=5,am_1,IF(fueltype=6,am_0,IF(fueltype=7,am_3,am_4)))))))</f>
        <v>8.26</v>
      </c>
      <c r="O540" s="10">
        <f t="shared" ref="O540:O603" si="268">IF(fueltype=1,VLOOKUP($M540,kndxbn_,5),IF(fueltype=2,VLOOKUP($M540,knsobn_,5),IF(fueltype=3,VLOOKUP($M540,knsbcobn_,5),IF(fueltype=4,VLOOKUP($M540,knsubn_,5),IF(fueltype=5,nm_1,IF(fueltype=6,an_0,IF(fueltype=7,nm_3,nm_4)))))))</f>
        <v>0.31900000000000001</v>
      </c>
      <c r="P540" s="10">
        <f t="shared" si="259"/>
        <v>13.880548907711344</v>
      </c>
      <c r="Q540" s="42">
        <f t="shared" si="260"/>
        <v>0.24853493529992204</v>
      </c>
      <c r="R540" s="4">
        <f t="shared" si="261"/>
        <v>38737.781888900456</v>
      </c>
      <c r="S540">
        <f t="shared" si="242"/>
        <v>3.8737781888900453E-5</v>
      </c>
      <c r="T540" s="41">
        <f t="shared" si="243"/>
        <v>1.4106659015298339E-4</v>
      </c>
      <c r="U540" s="42">
        <f t="shared" si="262"/>
        <v>6.9516886488726309E-2</v>
      </c>
      <c r="V540" s="42">
        <f t="shared" si="263"/>
        <v>0.45654602608391875</v>
      </c>
      <c r="W540" s="42">
        <f t="shared" si="264"/>
        <v>0.45281132094927246</v>
      </c>
      <c r="X540" s="42">
        <f t="shared" si="265"/>
        <v>3.7347051346462989E-3</v>
      </c>
      <c r="Y540" s="42">
        <f t="shared" si="239"/>
        <v>2.1765119404190134E-3</v>
      </c>
      <c r="Z540" s="10">
        <f t="shared" si="266"/>
        <v>15.428968248673463</v>
      </c>
      <c r="AA540">
        <f t="shared" si="244"/>
        <v>5089189.1066115163</v>
      </c>
      <c r="AB540" s="10">
        <f t="shared" si="245"/>
        <v>5.0891891066115162</v>
      </c>
      <c r="AC540" s="10">
        <f t="shared" si="246"/>
        <v>4.9881891066115163</v>
      </c>
      <c r="AD540" s="3">
        <f t="shared" si="247"/>
        <v>723.45019675293929</v>
      </c>
      <c r="AI540" s="94">
        <f t="shared" si="248"/>
        <v>0.45281132094927246</v>
      </c>
    </row>
    <row r="541" spans="2:35">
      <c r="B541" s="39">
        <f t="shared" si="249"/>
        <v>513</v>
      </c>
      <c r="C541" s="42">
        <f t="shared" si="250"/>
        <v>3.4076978417230586</v>
      </c>
      <c r="D541" s="10">
        <f t="shared" si="251"/>
        <v>2.1323021582764863</v>
      </c>
      <c r="E541" s="40">
        <f t="shared" si="252"/>
        <v>26.815395683447026</v>
      </c>
      <c r="F541" s="40">
        <f t="shared" si="253"/>
        <v>31.08</v>
      </c>
      <c r="G541" s="3">
        <f t="shared" si="254"/>
        <v>199.13841726621919</v>
      </c>
      <c r="H541" s="3">
        <f t="shared" si="255"/>
        <v>81.256230789298584</v>
      </c>
      <c r="I541">
        <f t="shared" si="240"/>
        <v>8.1256230789298584E-5</v>
      </c>
      <c r="J541" s="4">
        <f t="shared" si="256"/>
        <v>564.75268038379761</v>
      </c>
      <c r="K541" s="40">
        <f t="shared" si="257"/>
        <v>6.9502692273313684</v>
      </c>
      <c r="L541" s="40">
        <f t="shared" si="241"/>
        <v>0</v>
      </c>
      <c r="M541" s="10">
        <f t="shared" si="258"/>
        <v>5.0891891066115162</v>
      </c>
      <c r="N541" s="10">
        <f t="shared" si="267"/>
        <v>8.26</v>
      </c>
      <c r="O541" s="10">
        <f t="shared" si="268"/>
        <v>0.31900000000000001</v>
      </c>
      <c r="P541" s="10">
        <f t="shared" si="259"/>
        <v>13.880366938211431</v>
      </c>
      <c r="Q541" s="42">
        <f t="shared" si="260"/>
        <v>0.24901350232058381</v>
      </c>
      <c r="R541" s="4">
        <f t="shared" si="261"/>
        <v>38616.036921039529</v>
      </c>
      <c r="S541">
        <f t="shared" si="242"/>
        <v>3.8616036921039526E-5</v>
      </c>
      <c r="T541" s="41">
        <f t="shared" si="243"/>
        <v>1.4118833512084431E-4</v>
      </c>
      <c r="U541" s="42">
        <f t="shared" si="262"/>
        <v>6.929840905665148E-2</v>
      </c>
      <c r="V541" s="42">
        <f t="shared" si="263"/>
        <v>0.45652421216304884</v>
      </c>
      <c r="W541" s="42">
        <f t="shared" si="264"/>
        <v>0.45279233563481419</v>
      </c>
      <c r="X541" s="42">
        <f t="shared" si="265"/>
        <v>3.7318765282346456E-3</v>
      </c>
      <c r="Y541" s="42">
        <f t="shared" si="239"/>
        <v>2.1782978934506082E-3</v>
      </c>
      <c r="Z541" s="10">
        <f t="shared" si="266"/>
        <v>15.428313476366048</v>
      </c>
      <c r="AA541">
        <f t="shared" si="244"/>
        <v>5088977.4185687043</v>
      </c>
      <c r="AB541" s="10">
        <f t="shared" si="245"/>
        <v>5.088977418568704</v>
      </c>
      <c r="AC541" s="10">
        <f t="shared" si="246"/>
        <v>4.987977418568704</v>
      </c>
      <c r="AD541" s="3">
        <f t="shared" si="247"/>
        <v>723.41949507885488</v>
      </c>
      <c r="AI541" s="94">
        <f t="shared" si="248"/>
        <v>0.45279233563481419</v>
      </c>
    </row>
    <row r="542" spans="2:35">
      <c r="B542" s="39">
        <f t="shared" si="249"/>
        <v>514</v>
      </c>
      <c r="C542" s="42">
        <f t="shared" si="250"/>
        <v>3.4143405275743706</v>
      </c>
      <c r="D542" s="10">
        <f t="shared" si="251"/>
        <v>2.1256594724251734</v>
      </c>
      <c r="E542" s="40">
        <f t="shared" si="252"/>
        <v>26.828681055149652</v>
      </c>
      <c r="F542" s="40">
        <f t="shared" si="253"/>
        <v>31.08</v>
      </c>
      <c r="G542" s="3">
        <f t="shared" si="254"/>
        <v>199.0852757794087</v>
      </c>
      <c r="H542" s="3">
        <f t="shared" si="255"/>
        <v>81.256230789298584</v>
      </c>
      <c r="I542">
        <f t="shared" si="240"/>
        <v>8.1256230789298584E-5</v>
      </c>
      <c r="J542" s="4">
        <f t="shared" si="256"/>
        <v>565.31241912429107</v>
      </c>
      <c r="K542" s="40">
        <f t="shared" si="257"/>
        <v>6.9571577912612517</v>
      </c>
      <c r="L542" s="40">
        <f t="shared" si="241"/>
        <v>0</v>
      </c>
      <c r="M542" s="10">
        <f t="shared" si="258"/>
        <v>5.088977418568704</v>
      </c>
      <c r="N542" s="10">
        <f t="shared" si="267"/>
        <v>8.26</v>
      </c>
      <c r="O542" s="10">
        <f t="shared" si="268"/>
        <v>0.31900000000000001</v>
      </c>
      <c r="P542" s="10">
        <f t="shared" si="259"/>
        <v>13.880182756917332</v>
      </c>
      <c r="Q542" s="42">
        <f t="shared" si="260"/>
        <v>0.2494920756915289</v>
      </c>
      <c r="R542" s="4">
        <f t="shared" si="261"/>
        <v>38494.296218558222</v>
      </c>
      <c r="S542">
        <f t="shared" si="242"/>
        <v>3.8494296218558221E-5</v>
      </c>
      <c r="T542" s="41">
        <f t="shared" si="243"/>
        <v>1.4131007582332561E-4</v>
      </c>
      <c r="U542" s="42">
        <f t="shared" si="262"/>
        <v>6.9079939279013652E-2</v>
      </c>
      <c r="V542" s="42">
        <f t="shared" si="263"/>
        <v>0.45650216017325068</v>
      </c>
      <c r="W542" s="42">
        <f t="shared" si="264"/>
        <v>0.45277312009962051</v>
      </c>
      <c r="X542" s="42">
        <f t="shared" si="265"/>
        <v>3.7290400736301743E-3</v>
      </c>
      <c r="Y542" s="42">
        <f t="shared" ref="Y542:Y605" si="269">IF((X542*(Q542-Q541)+Y541)&lt;0,0,X542*(Q542-Q541)+Y541)</f>
        <v>2.1800825127290349E-3</v>
      </c>
      <c r="Z542" s="10">
        <f t="shared" si="266"/>
        <v>15.427650859480861</v>
      </c>
      <c r="AA542">
        <f t="shared" si="244"/>
        <v>5088763.1943720328</v>
      </c>
      <c r="AB542" s="10">
        <f t="shared" si="245"/>
        <v>5.0887631943720324</v>
      </c>
      <c r="AC542" s="10">
        <f t="shared" si="246"/>
        <v>4.9877631943720324</v>
      </c>
      <c r="AD542" s="3">
        <f t="shared" si="247"/>
        <v>723.3884255797002</v>
      </c>
      <c r="AI542" s="94">
        <f t="shared" si="248"/>
        <v>0.45277312009962051</v>
      </c>
    </row>
    <row r="543" spans="2:35">
      <c r="B543" s="39">
        <f t="shared" si="249"/>
        <v>515</v>
      </c>
      <c r="C543" s="42">
        <f t="shared" si="250"/>
        <v>3.4209832134256826</v>
      </c>
      <c r="D543" s="10">
        <f t="shared" si="251"/>
        <v>2.1190167865738605</v>
      </c>
      <c r="E543" s="40">
        <f t="shared" si="252"/>
        <v>26.841966426852277</v>
      </c>
      <c r="F543" s="40">
        <f t="shared" si="253"/>
        <v>31.08</v>
      </c>
      <c r="G543" s="3">
        <f t="shared" si="254"/>
        <v>199.03213429259822</v>
      </c>
      <c r="H543" s="3">
        <f t="shared" si="255"/>
        <v>81.256230789298584</v>
      </c>
      <c r="I543">
        <f t="shared" si="240"/>
        <v>8.1256230789298584E-5</v>
      </c>
      <c r="J543" s="4">
        <f t="shared" si="256"/>
        <v>565.87243511206589</v>
      </c>
      <c r="K543" s="40">
        <f t="shared" si="257"/>
        <v>6.9640497672037114</v>
      </c>
      <c r="L543" s="40">
        <f t="shared" si="241"/>
        <v>0</v>
      </c>
      <c r="M543" s="10">
        <f t="shared" si="258"/>
        <v>5.0887631943720324</v>
      </c>
      <c r="N543" s="10">
        <f t="shared" si="267"/>
        <v>8.26</v>
      </c>
      <c r="O543" s="10">
        <f t="shared" si="268"/>
        <v>0.31900000000000001</v>
      </c>
      <c r="P543" s="10">
        <f t="shared" si="259"/>
        <v>13.879996363705596</v>
      </c>
      <c r="Q543" s="42">
        <f t="shared" si="260"/>
        <v>0.24997065548919237</v>
      </c>
      <c r="R543" s="4">
        <f t="shared" si="261"/>
        <v>38372.559825656535</v>
      </c>
      <c r="S543">
        <f t="shared" si="242"/>
        <v>3.8372559825656533E-5</v>
      </c>
      <c r="T543" s="41">
        <f t="shared" si="243"/>
        <v>1.4143181221622729E-4</v>
      </c>
      <c r="U543" s="42">
        <f t="shared" si="262"/>
        <v>6.8861477235131932E-2</v>
      </c>
      <c r="V543" s="42">
        <f t="shared" si="263"/>
        <v>0.45647987012468833</v>
      </c>
      <c r="W543" s="42">
        <f t="shared" si="264"/>
        <v>0.45275367435041436</v>
      </c>
      <c r="X543" s="42">
        <f t="shared" si="265"/>
        <v>3.726195774273966E-3</v>
      </c>
      <c r="Y543" s="42">
        <f t="shared" si="269"/>
        <v>2.1818657947487415E-3</v>
      </c>
      <c r="Z543" s="10">
        <f t="shared" si="266"/>
        <v>15.426980398250199</v>
      </c>
      <c r="AA543">
        <f t="shared" si="244"/>
        <v>5088546.4340966027</v>
      </c>
      <c r="AB543" s="10">
        <f t="shared" si="245"/>
        <v>5.0885464340966031</v>
      </c>
      <c r="AC543" s="10">
        <f t="shared" si="246"/>
        <v>4.9875464340966031</v>
      </c>
      <c r="AD543" s="3">
        <f t="shared" si="247"/>
        <v>723.35698826636735</v>
      </c>
      <c r="AI543" s="94">
        <f t="shared" si="248"/>
        <v>0.45275367435041436</v>
      </c>
    </row>
    <row r="544" spans="2:35">
      <c r="B544" s="39">
        <f t="shared" si="249"/>
        <v>516</v>
      </c>
      <c r="C544" s="42">
        <f t="shared" si="250"/>
        <v>3.4276258992769946</v>
      </c>
      <c r="D544" s="10">
        <f t="shared" si="251"/>
        <v>2.1123741007225476</v>
      </c>
      <c r="E544" s="40">
        <f t="shared" si="252"/>
        <v>26.855251798554903</v>
      </c>
      <c r="F544" s="40">
        <f t="shared" si="253"/>
        <v>31.08</v>
      </c>
      <c r="G544" s="3">
        <f t="shared" si="254"/>
        <v>198.97899280578773</v>
      </c>
      <c r="H544" s="3">
        <f t="shared" si="255"/>
        <v>81.256230789298584</v>
      </c>
      <c r="I544">
        <f t="shared" si="240"/>
        <v>8.1256230789298584E-5</v>
      </c>
      <c r="J544" s="4">
        <f t="shared" si="256"/>
        <v>566.43272834712252</v>
      </c>
      <c r="K544" s="40">
        <f t="shared" si="257"/>
        <v>6.9709451551587538</v>
      </c>
      <c r="L544" s="40">
        <f t="shared" si="241"/>
        <v>0</v>
      </c>
      <c r="M544" s="10">
        <f t="shared" si="258"/>
        <v>5.0885464340966031</v>
      </c>
      <c r="N544" s="10">
        <f t="shared" si="267"/>
        <v>8.26</v>
      </c>
      <c r="O544" s="10">
        <f t="shared" si="268"/>
        <v>0.31900000000000001</v>
      </c>
      <c r="P544" s="10">
        <f t="shared" si="259"/>
        <v>13.879807758451408</v>
      </c>
      <c r="Q544" s="42">
        <f t="shared" si="260"/>
        <v>0.25044924179001971</v>
      </c>
      <c r="R544" s="4">
        <f t="shared" si="261"/>
        <v>38250.827786534435</v>
      </c>
      <c r="S544">
        <f t="shared" si="242"/>
        <v>3.8250827786534436E-5</v>
      </c>
      <c r="T544" s="41">
        <f t="shared" si="243"/>
        <v>1.4155354425534938E-4</v>
      </c>
      <c r="U544" s="42">
        <f t="shared" si="262"/>
        <v>6.8643023004325371E-2</v>
      </c>
      <c r="V544" s="42">
        <f t="shared" si="263"/>
        <v>0.45645734202779431</v>
      </c>
      <c r="W544" s="42">
        <f t="shared" si="264"/>
        <v>0.45273399839401263</v>
      </c>
      <c r="X544" s="42">
        <f t="shared" si="265"/>
        <v>3.7233436337816839E-3</v>
      </c>
      <c r="Y544" s="42">
        <f t="shared" si="269"/>
        <v>2.1836477360051422E-3</v>
      </c>
      <c r="Z544" s="10">
        <f t="shared" si="266"/>
        <v>15.426302092910126</v>
      </c>
      <c r="AA544">
        <f t="shared" si="244"/>
        <v>5088327.1378187323</v>
      </c>
      <c r="AB544" s="10">
        <f t="shared" si="245"/>
        <v>5.088327137818732</v>
      </c>
      <c r="AC544" s="10">
        <f t="shared" si="246"/>
        <v>4.987327137818732</v>
      </c>
      <c r="AD544" s="3">
        <f t="shared" si="247"/>
        <v>723.3251831499249</v>
      </c>
      <c r="AI544" s="94">
        <f t="shared" si="248"/>
        <v>0.45273399839401263</v>
      </c>
    </row>
    <row r="545" spans="2:35">
      <c r="B545" s="39">
        <f t="shared" si="249"/>
        <v>517</v>
      </c>
      <c r="C545" s="42">
        <f t="shared" si="250"/>
        <v>3.4342685851283066</v>
      </c>
      <c r="D545" s="10">
        <f t="shared" si="251"/>
        <v>2.1057314148712347</v>
      </c>
      <c r="E545" s="40">
        <f t="shared" si="252"/>
        <v>26.868537170257529</v>
      </c>
      <c r="F545" s="40">
        <f t="shared" si="253"/>
        <v>31.08</v>
      </c>
      <c r="G545" s="3">
        <f t="shared" si="254"/>
        <v>198.92585131897724</v>
      </c>
      <c r="H545" s="3">
        <f t="shared" si="255"/>
        <v>81.256230789298584</v>
      </c>
      <c r="I545">
        <f t="shared" si="240"/>
        <v>8.1256230789298584E-5</v>
      </c>
      <c r="J545" s="4">
        <f t="shared" si="256"/>
        <v>566.99329882946063</v>
      </c>
      <c r="K545" s="40">
        <f t="shared" si="257"/>
        <v>6.9778439551263736</v>
      </c>
      <c r="L545" s="40">
        <f t="shared" si="241"/>
        <v>0</v>
      </c>
      <c r="M545" s="10">
        <f t="shared" si="258"/>
        <v>5.088327137818732</v>
      </c>
      <c r="N545" s="10">
        <f t="shared" si="267"/>
        <v>8.26</v>
      </c>
      <c r="O545" s="10">
        <f t="shared" si="268"/>
        <v>0.31900000000000001</v>
      </c>
      <c r="P545" s="10">
        <f t="shared" si="259"/>
        <v>13.879616941028745</v>
      </c>
      <c r="Q545" s="42">
        <f t="shared" si="260"/>
        <v>0.25092783467046698</v>
      </c>
      <c r="R545" s="4">
        <f t="shared" si="261"/>
        <v>38129.10014539196</v>
      </c>
      <c r="S545">
        <f t="shared" si="242"/>
        <v>3.8129100145391959E-5</v>
      </c>
      <c r="T545" s="41">
        <f t="shared" si="243"/>
        <v>1.4167527189649188E-4</v>
      </c>
      <c r="U545" s="42">
        <f t="shared" si="262"/>
        <v>6.8424576665913131E-2</v>
      </c>
      <c r="V545" s="42">
        <f t="shared" si="263"/>
        <v>0.4564345758927506</v>
      </c>
      <c r="W545" s="42">
        <f t="shared" si="264"/>
        <v>0.45271409223734327</v>
      </c>
      <c r="X545" s="42">
        <f t="shared" si="265"/>
        <v>3.7204836554073362E-3</v>
      </c>
      <c r="Y545" s="42">
        <f t="shared" si="269"/>
        <v>2.1854283329944407E-3</v>
      </c>
      <c r="Z545" s="10">
        <f t="shared" si="266"/>
        <v>15.425615943699174</v>
      </c>
      <c r="AA545">
        <f t="shared" si="244"/>
        <v>5088105.3056155406</v>
      </c>
      <c r="AB545" s="10">
        <f t="shared" si="245"/>
        <v>5.0881053056155405</v>
      </c>
      <c r="AC545" s="10">
        <f t="shared" si="246"/>
        <v>4.9871053056155406</v>
      </c>
      <c r="AD545" s="3">
        <f t="shared" si="247"/>
        <v>723.29301024155768</v>
      </c>
      <c r="AI545" s="94">
        <f t="shared" si="248"/>
        <v>0.45271409223734327</v>
      </c>
    </row>
    <row r="546" spans="2:35">
      <c r="B546" s="39">
        <f t="shared" si="249"/>
        <v>518</v>
      </c>
      <c r="C546" s="42">
        <f t="shared" si="250"/>
        <v>3.4409112709796186</v>
      </c>
      <c r="D546" s="10">
        <f t="shared" si="251"/>
        <v>2.0990887290199218</v>
      </c>
      <c r="E546" s="40">
        <f t="shared" si="252"/>
        <v>26.881822541960155</v>
      </c>
      <c r="F546" s="40">
        <f t="shared" si="253"/>
        <v>31.08</v>
      </c>
      <c r="G546" s="3">
        <f t="shared" si="254"/>
        <v>198.87270983216675</v>
      </c>
      <c r="H546" s="3">
        <f t="shared" si="255"/>
        <v>81.256230789298584</v>
      </c>
      <c r="I546">
        <f t="shared" si="240"/>
        <v>8.1256230789298584E-5</v>
      </c>
      <c r="J546" s="4">
        <f t="shared" si="256"/>
        <v>567.55414655908021</v>
      </c>
      <c r="K546" s="40">
        <f t="shared" si="257"/>
        <v>6.9847461671065707</v>
      </c>
      <c r="L546" s="40">
        <f t="shared" si="241"/>
        <v>0</v>
      </c>
      <c r="M546" s="10">
        <f t="shared" si="258"/>
        <v>5.0881053056155405</v>
      </c>
      <c r="N546" s="10">
        <f t="shared" si="267"/>
        <v>8.26</v>
      </c>
      <c r="O546" s="10">
        <f t="shared" si="268"/>
        <v>0.31900000000000001</v>
      </c>
      <c r="P546" s="10">
        <f t="shared" si="259"/>
        <v>13.879423911310028</v>
      </c>
      <c r="Q546" s="42">
        <f t="shared" si="260"/>
        <v>0.25140643420700098</v>
      </c>
      <c r="R546" s="4">
        <f t="shared" si="261"/>
        <v>38007.376946429111</v>
      </c>
      <c r="S546">
        <f t="shared" si="242"/>
        <v>3.8007376946429112E-5</v>
      </c>
      <c r="T546" s="41">
        <f t="shared" si="243"/>
        <v>1.4179699509545474E-4</v>
      </c>
      <c r="U546" s="42">
        <f t="shared" si="262"/>
        <v>6.8206138299214361E-2</v>
      </c>
      <c r="V546" s="42">
        <f t="shared" si="263"/>
        <v>0.45641157173007069</v>
      </c>
      <c r="W546" s="42">
        <f t="shared" si="264"/>
        <v>0.4526939558874063</v>
      </c>
      <c r="X546" s="42">
        <f t="shared" si="265"/>
        <v>3.7176158426643902E-3</v>
      </c>
      <c r="Y546" s="42">
        <f t="shared" si="269"/>
        <v>2.1872075822137512E-3</v>
      </c>
      <c r="Z546" s="10">
        <f t="shared" si="266"/>
        <v>15.424921950859179</v>
      </c>
      <c r="AA546">
        <f t="shared" si="244"/>
        <v>5087880.9375652121</v>
      </c>
      <c r="AB546" s="10">
        <f t="shared" si="245"/>
        <v>5.0878809375652123</v>
      </c>
      <c r="AC546" s="10">
        <f t="shared" si="246"/>
        <v>4.9868809375652123</v>
      </c>
      <c r="AD546" s="3">
        <f t="shared" si="247"/>
        <v>723.26046955260506</v>
      </c>
      <c r="AI546" s="94">
        <f t="shared" si="248"/>
        <v>0.4526939558874063</v>
      </c>
    </row>
    <row r="547" spans="2:35">
      <c r="B547" s="39">
        <f t="shared" si="249"/>
        <v>519</v>
      </c>
      <c r="C547" s="42">
        <f t="shared" si="250"/>
        <v>3.4475539568309306</v>
      </c>
      <c r="D547" s="10">
        <f t="shared" si="251"/>
        <v>2.0924460431686089</v>
      </c>
      <c r="E547" s="40">
        <f t="shared" si="252"/>
        <v>26.89510791366278</v>
      </c>
      <c r="F547" s="40">
        <f t="shared" si="253"/>
        <v>31.08</v>
      </c>
      <c r="G547" s="3">
        <f t="shared" si="254"/>
        <v>198.81956834535626</v>
      </c>
      <c r="H547" s="3">
        <f t="shared" si="255"/>
        <v>81.256230789298584</v>
      </c>
      <c r="I547">
        <f t="shared" si="240"/>
        <v>8.1256230789298584E-5</v>
      </c>
      <c r="J547" s="4">
        <f t="shared" si="256"/>
        <v>568.11527153598149</v>
      </c>
      <c r="K547" s="40">
        <f t="shared" si="257"/>
        <v>6.9916517910993488</v>
      </c>
      <c r="L547" s="40">
        <f t="shared" si="241"/>
        <v>0</v>
      </c>
      <c r="M547" s="10">
        <f t="shared" si="258"/>
        <v>5.0878809375652123</v>
      </c>
      <c r="N547" s="10">
        <f t="shared" si="267"/>
        <v>8.26</v>
      </c>
      <c r="O547" s="10">
        <f t="shared" si="268"/>
        <v>0.31900000000000001</v>
      </c>
      <c r="P547" s="10">
        <f t="shared" si="259"/>
        <v>13.879228669166316</v>
      </c>
      <c r="Q547" s="42">
        <f t="shared" si="260"/>
        <v>0.25188504047609928</v>
      </c>
      <c r="R547" s="4">
        <f t="shared" si="261"/>
        <v>37885.658233845839</v>
      </c>
      <c r="S547">
        <f t="shared" si="242"/>
        <v>3.7885658233845841E-5</v>
      </c>
      <c r="T547" s="41">
        <f t="shared" si="243"/>
        <v>1.4191871380803801E-4</v>
      </c>
      <c r="U547" s="42">
        <f t="shared" si="262"/>
        <v>6.7987707983548043E-2</v>
      </c>
      <c r="V547" s="42">
        <f t="shared" si="263"/>
        <v>0.45638832955081682</v>
      </c>
      <c r="W547" s="42">
        <f t="shared" si="264"/>
        <v>0.45267358935129903</v>
      </c>
      <c r="X547" s="42">
        <f t="shared" si="265"/>
        <v>3.7147401995177853E-3</v>
      </c>
      <c r="Y547" s="42">
        <f t="shared" si="269"/>
        <v>2.1889854801613118E-3</v>
      </c>
      <c r="Z547" s="10">
        <f t="shared" si="266"/>
        <v>15.42422011463672</v>
      </c>
      <c r="AA547">
        <f t="shared" si="244"/>
        <v>5087654.0337474672</v>
      </c>
      <c r="AB547" s="10">
        <f t="shared" si="245"/>
        <v>5.0876540337474676</v>
      </c>
      <c r="AC547" s="10">
        <f t="shared" si="246"/>
        <v>4.9866540337474676</v>
      </c>
      <c r="AD547" s="3">
        <f t="shared" si="247"/>
        <v>723.22756109462898</v>
      </c>
      <c r="AI547" s="94">
        <f t="shared" si="248"/>
        <v>0.45267358935129903</v>
      </c>
    </row>
    <row r="548" spans="2:35">
      <c r="B548" s="39">
        <f t="shared" si="249"/>
        <v>520</v>
      </c>
      <c r="C548" s="42">
        <f t="shared" si="250"/>
        <v>3.4541966426822426</v>
      </c>
      <c r="D548" s="10">
        <f t="shared" si="251"/>
        <v>2.085803357317296</v>
      </c>
      <c r="E548" s="40">
        <f t="shared" si="252"/>
        <v>26.908393285365406</v>
      </c>
      <c r="F548" s="40">
        <f t="shared" si="253"/>
        <v>31.08</v>
      </c>
      <c r="G548" s="3">
        <f t="shared" si="254"/>
        <v>198.76642685854577</v>
      </c>
      <c r="H548" s="3">
        <f t="shared" si="255"/>
        <v>81.256230789298584</v>
      </c>
      <c r="I548">
        <f t="shared" si="240"/>
        <v>8.1256230789298584E-5</v>
      </c>
      <c r="J548" s="4">
        <f t="shared" si="256"/>
        <v>568.67667376016414</v>
      </c>
      <c r="K548" s="40">
        <f t="shared" si="257"/>
        <v>6.9985608271047033</v>
      </c>
      <c r="L548" s="40">
        <f t="shared" si="241"/>
        <v>0</v>
      </c>
      <c r="M548" s="10">
        <f t="shared" si="258"/>
        <v>5.0876540337474676</v>
      </c>
      <c r="N548" s="10">
        <f t="shared" si="267"/>
        <v>8.26</v>
      </c>
      <c r="O548" s="10">
        <f t="shared" si="268"/>
        <v>0.31900000000000001</v>
      </c>
      <c r="P548" s="10">
        <f t="shared" si="259"/>
        <v>13.879031214467757</v>
      </c>
      <c r="Q548" s="42">
        <f t="shared" si="260"/>
        <v>0.25236365355425039</v>
      </c>
      <c r="R548" s="4">
        <f t="shared" si="261"/>
        <v>37763.944051842198</v>
      </c>
      <c r="S548">
        <f t="shared" si="242"/>
        <v>3.7763944051842197E-5</v>
      </c>
      <c r="T548" s="41">
        <f t="shared" si="243"/>
        <v>1.4204042799004164E-4</v>
      </c>
      <c r="U548" s="42">
        <f t="shared" si="262"/>
        <v>6.7769285798233408E-2</v>
      </c>
      <c r="V548" s="42">
        <f t="shared" si="263"/>
        <v>0.45636484936517285</v>
      </c>
      <c r="W548" s="42">
        <f t="shared" si="264"/>
        <v>0.45265299263625769</v>
      </c>
      <c r="X548" s="42">
        <f t="shared" si="265"/>
        <v>3.7118567289151638E-3</v>
      </c>
      <c r="Y548" s="42">
        <f t="shared" si="269"/>
        <v>2.1907620233359939E-3</v>
      </c>
      <c r="Z548" s="10">
        <f t="shared" si="266"/>
        <v>15.423510435279642</v>
      </c>
      <c r="AA548">
        <f t="shared" si="244"/>
        <v>5087424.5942424322</v>
      </c>
      <c r="AB548" s="10">
        <f t="shared" si="245"/>
        <v>5.0874245942424325</v>
      </c>
      <c r="AC548" s="10">
        <f t="shared" si="246"/>
        <v>4.9864245942424326</v>
      </c>
      <c r="AD548" s="3">
        <f t="shared" si="247"/>
        <v>723.19428487925052</v>
      </c>
      <c r="AI548" s="94">
        <f t="shared" si="248"/>
        <v>0.45265299263625769</v>
      </c>
    </row>
    <row r="549" spans="2:35">
      <c r="B549" s="39">
        <f t="shared" si="249"/>
        <v>521</v>
      </c>
      <c r="C549" s="42">
        <f t="shared" si="250"/>
        <v>3.4608393285335546</v>
      </c>
      <c r="D549" s="10">
        <f t="shared" si="251"/>
        <v>2.0791606714659832</v>
      </c>
      <c r="E549" s="40">
        <f t="shared" si="252"/>
        <v>26.921678657068032</v>
      </c>
      <c r="F549" s="40">
        <f t="shared" si="253"/>
        <v>31.08</v>
      </c>
      <c r="G549" s="3">
        <f t="shared" si="254"/>
        <v>198.71328537173528</v>
      </c>
      <c r="H549" s="3">
        <f t="shared" si="255"/>
        <v>81.256230789298584</v>
      </c>
      <c r="I549">
        <f t="shared" si="240"/>
        <v>8.1256230789298584E-5</v>
      </c>
      <c r="J549" s="4">
        <f t="shared" si="256"/>
        <v>569.23835323162848</v>
      </c>
      <c r="K549" s="40">
        <f t="shared" si="257"/>
        <v>7.0054732751226378</v>
      </c>
      <c r="L549" s="40">
        <f t="shared" si="241"/>
        <v>0</v>
      </c>
      <c r="M549" s="10">
        <f t="shared" si="258"/>
        <v>5.0874245942424325</v>
      </c>
      <c r="N549" s="10">
        <f t="shared" si="267"/>
        <v>8.26</v>
      </c>
      <c r="O549" s="10">
        <f t="shared" si="268"/>
        <v>0.31900000000000001</v>
      </c>
      <c r="P549" s="10">
        <f t="shared" si="259"/>
        <v>13.878831547082568</v>
      </c>
      <c r="Q549" s="42">
        <f t="shared" si="260"/>
        <v>0.25284227351795391</v>
      </c>
      <c r="R549" s="4">
        <f t="shared" si="261"/>
        <v>37642.234444618145</v>
      </c>
      <c r="S549">
        <f t="shared" si="242"/>
        <v>3.7642234444618148E-5</v>
      </c>
      <c r="T549" s="41">
        <f t="shared" si="243"/>
        <v>1.4216213759726568E-4</v>
      </c>
      <c r="U549" s="42">
        <f t="shared" si="262"/>
        <v>6.7550871822589481E-2</v>
      </c>
      <c r="V549" s="42">
        <f t="shared" si="263"/>
        <v>0.45634113118445624</v>
      </c>
      <c r="W549" s="42">
        <f t="shared" si="264"/>
        <v>0.45263216574955556</v>
      </c>
      <c r="X549" s="42">
        <f t="shared" si="265"/>
        <v>3.7089654349006795E-3</v>
      </c>
      <c r="Y549" s="42">
        <f t="shared" si="269"/>
        <v>2.1925372082378237E-3</v>
      </c>
      <c r="Z549" s="10">
        <f t="shared" si="266"/>
        <v>15.422792913040684</v>
      </c>
      <c r="AA549">
        <f t="shared" si="244"/>
        <v>5087192.6191318203</v>
      </c>
      <c r="AB549" s="10">
        <f t="shared" si="245"/>
        <v>5.0871926191318204</v>
      </c>
      <c r="AC549" s="10">
        <f t="shared" si="246"/>
        <v>4.9861926191318204</v>
      </c>
      <c r="AD549" s="3">
        <f t="shared" si="247"/>
        <v>723.16064091832061</v>
      </c>
      <c r="AI549" s="94">
        <f t="shared" si="248"/>
        <v>0.45263216574955556</v>
      </c>
    </row>
    <row r="550" spans="2:35">
      <c r="B550" s="39">
        <f t="shared" si="249"/>
        <v>522</v>
      </c>
      <c r="C550" s="42">
        <f t="shared" si="250"/>
        <v>3.4674820143848666</v>
      </c>
      <c r="D550" s="10">
        <f t="shared" si="251"/>
        <v>2.0725179856146703</v>
      </c>
      <c r="E550" s="40">
        <f t="shared" si="252"/>
        <v>26.934964028770658</v>
      </c>
      <c r="F550" s="40">
        <f t="shared" si="253"/>
        <v>31.08</v>
      </c>
      <c r="G550" s="3">
        <f t="shared" si="254"/>
        <v>198.66014388492479</v>
      </c>
      <c r="H550" s="3">
        <f t="shared" si="255"/>
        <v>81.256230789298584</v>
      </c>
      <c r="I550">
        <f t="shared" si="240"/>
        <v>8.1256230789298584E-5</v>
      </c>
      <c r="J550" s="4">
        <f t="shared" si="256"/>
        <v>569.80030995037441</v>
      </c>
      <c r="K550" s="40">
        <f t="shared" si="257"/>
        <v>7.0123891351531515</v>
      </c>
      <c r="L550" s="40">
        <f t="shared" si="241"/>
        <v>0</v>
      </c>
      <c r="M550" s="10">
        <f t="shared" si="258"/>
        <v>5.0871926191318204</v>
      </c>
      <c r="N550" s="10">
        <f t="shared" si="267"/>
        <v>8.26</v>
      </c>
      <c r="O550" s="10">
        <f t="shared" si="268"/>
        <v>0.31900000000000001</v>
      </c>
      <c r="P550" s="10">
        <f t="shared" si="259"/>
        <v>13.878629666878091</v>
      </c>
      <c r="Q550" s="42">
        <f t="shared" si="260"/>
        <v>0.25332090044372058</v>
      </c>
      <c r="R550" s="4">
        <f t="shared" si="261"/>
        <v>37520.529456373712</v>
      </c>
      <c r="S550">
        <f t="shared" si="242"/>
        <v>3.7520529456373709E-5</v>
      </c>
      <c r="T550" s="41">
        <f t="shared" si="243"/>
        <v>1.4228384258551012E-4</v>
      </c>
      <c r="U550" s="42">
        <f t="shared" si="262"/>
        <v>6.7332466135935437E-2</v>
      </c>
      <c r="V550" s="42">
        <f t="shared" si="263"/>
        <v>0.45631717501935448</v>
      </c>
      <c r="W550" s="42">
        <f t="shared" si="264"/>
        <v>0.45261110869861026</v>
      </c>
      <c r="X550" s="42">
        <f t="shared" si="265"/>
        <v>3.7060663207442168E-3</v>
      </c>
      <c r="Y550" s="42">
        <f t="shared" si="269"/>
        <v>2.194311031367609E-3</v>
      </c>
      <c r="Z550" s="10">
        <f t="shared" si="266"/>
        <v>15.422067548174812</v>
      </c>
      <c r="AA550">
        <f t="shared" si="244"/>
        <v>5086958.1084980592</v>
      </c>
      <c r="AB550" s="10">
        <f t="shared" si="245"/>
        <v>5.0869581084980595</v>
      </c>
      <c r="AC550" s="10">
        <f t="shared" si="246"/>
        <v>4.9859581084980595</v>
      </c>
      <c r="AD550" s="3">
        <f t="shared" si="247"/>
        <v>723.12662922379388</v>
      </c>
      <c r="AI550" s="94">
        <f t="shared" si="248"/>
        <v>0.45261110869861026</v>
      </c>
    </row>
    <row r="551" spans="2:35">
      <c r="B551" s="39">
        <f t="shared" si="249"/>
        <v>523</v>
      </c>
      <c r="C551" s="42">
        <f t="shared" si="250"/>
        <v>3.4741247002361786</v>
      </c>
      <c r="D551" s="10">
        <f t="shared" si="251"/>
        <v>2.0658752997633574</v>
      </c>
      <c r="E551" s="40">
        <f t="shared" si="252"/>
        <v>26.948249400473284</v>
      </c>
      <c r="F551" s="40">
        <f t="shared" si="253"/>
        <v>31.08</v>
      </c>
      <c r="G551" s="3">
        <f t="shared" si="254"/>
        <v>198.6070023981143</v>
      </c>
      <c r="H551" s="3">
        <f t="shared" si="255"/>
        <v>81.256230789298584</v>
      </c>
      <c r="I551">
        <f t="shared" ref="I551:I614" si="270">H551/1000^2</f>
        <v>8.1256230789298584E-5</v>
      </c>
      <c r="J551" s="4">
        <f t="shared" si="256"/>
        <v>570.36254391640182</v>
      </c>
      <c r="K551" s="40">
        <f t="shared" si="257"/>
        <v>7.0193084071962435</v>
      </c>
      <c r="L551" s="40">
        <f t="shared" ref="L551:L614" si="271">IF((gstar-K551)&lt;0,0,gstar-K551)</f>
        <v>0</v>
      </c>
      <c r="M551" s="10">
        <f t="shared" si="258"/>
        <v>5.0869581084980595</v>
      </c>
      <c r="N551" s="10">
        <f t="shared" si="267"/>
        <v>8.26</v>
      </c>
      <c r="O551" s="10">
        <f t="shared" si="268"/>
        <v>0.31900000000000001</v>
      </c>
      <c r="P551" s="10">
        <f t="shared" si="259"/>
        <v>13.878425573720012</v>
      </c>
      <c r="Q551" s="42">
        <f t="shared" si="260"/>
        <v>0.25379953440807246</v>
      </c>
      <c r="R551" s="4">
        <f t="shared" si="261"/>
        <v>37398.82913130887</v>
      </c>
      <c r="S551">
        <f t="shared" ref="S551:S614" si="272">R551/1000^3</f>
        <v>3.7398829131308868E-5</v>
      </c>
      <c r="T551" s="41">
        <f t="shared" ref="T551:T614" si="273">(vc/1000^3-S551)</f>
        <v>1.4240554291057497E-4</v>
      </c>
      <c r="U551" s="42">
        <f t="shared" si="262"/>
        <v>6.7114068817590328E-2</v>
      </c>
      <c r="V551" s="42">
        <f t="shared" si="263"/>
        <v>0.45629298088120623</v>
      </c>
      <c r="W551" s="42">
        <f t="shared" si="264"/>
        <v>0.45258982149090377</v>
      </c>
      <c r="X551" s="42">
        <f t="shared" si="265"/>
        <v>3.7031593903024684E-3</v>
      </c>
      <c r="Y551" s="42">
        <f t="shared" si="269"/>
        <v>2.1960834892272166E-3</v>
      </c>
      <c r="Z551" s="10">
        <f t="shared" si="266"/>
        <v>15.421334340941138</v>
      </c>
      <c r="AA551">
        <f t="shared" ref="AA551:AA614" si="274">Z551*rat*to+patm*1000000</f>
        <v>5086721.0624249233</v>
      </c>
      <c r="AB551" s="10">
        <f t="shared" ref="AB551:AB614" si="275">AA551/1000000</f>
        <v>5.0867210624249237</v>
      </c>
      <c r="AC551" s="10">
        <f t="shared" ref="AC551:AC614" si="276">AB551-patm</f>
        <v>4.9857210624249237</v>
      </c>
      <c r="AD551" s="3">
        <f t="shared" ref="AD551:AD614" si="277">AC551*1000000/6895</f>
        <v>723.09224980782062</v>
      </c>
      <c r="AI551" s="94">
        <f t="shared" ref="AI551:AI614" si="278">($M551-patm)*1000000*$I551/SQRT(rat*to)*SQRT(k)*(2/(k+1))^((k+1)/2/(k-1))</f>
        <v>0.45258982149090377</v>
      </c>
    </row>
    <row r="552" spans="2:35">
      <c r="B552" s="39">
        <f t="shared" ref="B552:B615" si="279">1+B551</f>
        <v>524</v>
      </c>
      <c r="C552" s="42">
        <f t="shared" ref="C552:C615" si="280">xincp+C551</f>
        <v>3.4807673860874906</v>
      </c>
      <c r="D552" s="10">
        <f t="shared" ref="D552:D615" si="281">(F552-E552)/2</f>
        <v>2.0592326139120445</v>
      </c>
      <c r="E552" s="40">
        <f t="shared" ref="E552:E615" si="282">E551+ci*2*xincp</f>
        <v>26.961534772175909</v>
      </c>
      <c r="F552" s="40">
        <f t="shared" ref="F552:F615" si="283">F551-osi*2*xincp</f>
        <v>31.08</v>
      </c>
      <c r="G552" s="3">
        <f t="shared" ref="G552:G615" si="284">G551-ei*n*2*xincp</f>
        <v>198.55386091130381</v>
      </c>
      <c r="H552" s="3">
        <f t="shared" ref="H552:H615" si="285">PI()/4*(dto+erate*(two-D552)/two)^2</f>
        <v>81.256230789298584</v>
      </c>
      <c r="I552">
        <f t="shared" si="270"/>
        <v>8.1256230789298584E-5</v>
      </c>
      <c r="J552" s="4">
        <f t="shared" ref="J552:J615" si="286">PI()/4*dc^2-PI()/4*(F552^2-E552^2)</f>
        <v>570.92505512971081</v>
      </c>
      <c r="K552" s="40">
        <f t="shared" ref="K552:K615" si="287">J552/H552</f>
        <v>7.0262310912519146</v>
      </c>
      <c r="L552" s="40">
        <f t="shared" si="271"/>
        <v>0</v>
      </c>
      <c r="M552" s="10">
        <f t="shared" ref="M552:M615" si="288">AB551</f>
        <v>5.0867210624249237</v>
      </c>
      <c r="N552" s="10">
        <f t="shared" si="267"/>
        <v>8.26</v>
      </c>
      <c r="O552" s="10">
        <f t="shared" si="268"/>
        <v>0.31900000000000001</v>
      </c>
      <c r="P552" s="10">
        <f t="shared" ref="P552:P615" si="289">(1+kv*L552)*N552*M552^O552</f>
        <v>13.87821926747292</v>
      </c>
      <c r="Q552" s="42">
        <f t="shared" ref="Q552:Q615" si="290">xincp/P552+Q551</f>
        <v>0.254278175487543</v>
      </c>
      <c r="R552" s="4">
        <f t="shared" ref="R552:R615" si="291">PI()/4*(F552^2-E552^2)*G552</f>
        <v>37277.133513623623</v>
      </c>
      <c r="S552">
        <f t="shared" si="272"/>
        <v>3.7277133513623621E-5</v>
      </c>
      <c r="T552" s="41">
        <f t="shared" si="273"/>
        <v>1.4252723852826023E-4</v>
      </c>
      <c r="U552" s="42">
        <f t="shared" ref="U552:U615" si="292">rhopgrain*R552/1000^2</f>
        <v>6.689567994687326E-2</v>
      </c>
      <c r="V552" s="42">
        <f t="shared" ref="V552:V615" si="293">(U551-U552)/(Q552-Q551)</f>
        <v>0.45626854878115003</v>
      </c>
      <c r="W552" s="42">
        <f t="shared" ref="W552:W615" si="294">IF(V552&lt;AI552,IF(AB551&gt;pbd,AI552,0),AI552)</f>
        <v>0.45256830413404048</v>
      </c>
      <c r="X552" s="42">
        <f t="shared" ref="X552:X615" si="295">V552-W552</f>
        <v>3.7002446471095518E-3</v>
      </c>
      <c r="Y552" s="42">
        <f t="shared" si="269"/>
        <v>2.197854578319414E-3</v>
      </c>
      <c r="Z552" s="10">
        <f t="shared" ref="Z552:Z615" si="296">Y552/T552</f>
        <v>15.420593291601763</v>
      </c>
      <c r="AA552">
        <f t="shared" si="274"/>
        <v>5086481.480997147</v>
      </c>
      <c r="AB552" s="10">
        <f t="shared" si="275"/>
        <v>5.086481480997147</v>
      </c>
      <c r="AC552" s="10">
        <f t="shared" si="276"/>
        <v>4.9854814809971471</v>
      </c>
      <c r="AD552" s="3">
        <f t="shared" si="277"/>
        <v>723.05750268268991</v>
      </c>
      <c r="AI552" s="94">
        <f t="shared" si="278"/>
        <v>0.45256830413404048</v>
      </c>
    </row>
    <row r="553" spans="2:35">
      <c r="B553" s="39">
        <f t="shared" si="279"/>
        <v>525</v>
      </c>
      <c r="C553" s="42">
        <f t="shared" si="280"/>
        <v>3.4874100719388026</v>
      </c>
      <c r="D553" s="10">
        <f t="shared" si="281"/>
        <v>2.0525899280607316</v>
      </c>
      <c r="E553" s="40">
        <f t="shared" si="282"/>
        <v>26.974820143878535</v>
      </c>
      <c r="F553" s="40">
        <f t="shared" si="283"/>
        <v>31.08</v>
      </c>
      <c r="G553" s="3">
        <f t="shared" si="284"/>
        <v>198.50071942449333</v>
      </c>
      <c r="H553" s="3">
        <f t="shared" si="285"/>
        <v>81.256230789298584</v>
      </c>
      <c r="I553">
        <f t="shared" si="270"/>
        <v>8.1256230789298584E-5</v>
      </c>
      <c r="J553" s="4">
        <f t="shared" si="286"/>
        <v>571.4878435903014</v>
      </c>
      <c r="K553" s="40">
        <f t="shared" si="287"/>
        <v>7.0331571873201648</v>
      </c>
      <c r="L553" s="40">
        <f t="shared" si="271"/>
        <v>0</v>
      </c>
      <c r="M553" s="10">
        <f t="shared" si="288"/>
        <v>5.086481480997147</v>
      </c>
      <c r="N553" s="10">
        <f t="shared" si="267"/>
        <v>8.26</v>
      </c>
      <c r="O553" s="10">
        <f t="shared" si="268"/>
        <v>0.31900000000000001</v>
      </c>
      <c r="P553" s="10">
        <f t="shared" si="289"/>
        <v>13.878010747999976</v>
      </c>
      <c r="Q553" s="42">
        <f t="shared" si="290"/>
        <v>0.2547568237586772</v>
      </c>
      <c r="R553" s="4">
        <f t="shared" si="291"/>
        <v>37155.442647517979</v>
      </c>
      <c r="S553">
        <f t="shared" si="272"/>
        <v>3.7155442647517977E-5</v>
      </c>
      <c r="T553" s="41">
        <f t="shared" si="273"/>
        <v>1.4264892939436585E-4</v>
      </c>
      <c r="U553" s="42">
        <f t="shared" si="292"/>
        <v>6.6677299603103382E-2</v>
      </c>
      <c r="V553" s="42">
        <f t="shared" si="293"/>
        <v>0.4562438787304246</v>
      </c>
      <c r="W553" s="42">
        <f t="shared" si="294"/>
        <v>0.45254655663571208</v>
      </c>
      <c r="X553" s="42">
        <f t="shared" si="295"/>
        <v>3.6973220947125185E-3</v>
      </c>
      <c r="Y553" s="42">
        <f t="shared" si="269"/>
        <v>2.1996242951478743E-3</v>
      </c>
      <c r="Z553" s="10">
        <f t="shared" si="296"/>
        <v>15.419844400421781</v>
      </c>
      <c r="AA553">
        <f t="shared" si="274"/>
        <v>5086239.3643004354</v>
      </c>
      <c r="AB553" s="10">
        <f t="shared" si="275"/>
        <v>5.0862393643004351</v>
      </c>
      <c r="AC553" s="10">
        <f t="shared" si="276"/>
        <v>4.9852393643004351</v>
      </c>
      <c r="AD553" s="3">
        <f t="shared" si="277"/>
        <v>723.02238786083183</v>
      </c>
      <c r="AI553" s="94">
        <f t="shared" si="278"/>
        <v>0.45254655663571208</v>
      </c>
    </row>
    <row r="554" spans="2:35">
      <c r="B554" s="39">
        <f t="shared" si="279"/>
        <v>526</v>
      </c>
      <c r="C554" s="42">
        <f t="shared" si="280"/>
        <v>3.4940527577901146</v>
      </c>
      <c r="D554" s="10">
        <f t="shared" si="281"/>
        <v>2.0459472422094187</v>
      </c>
      <c r="E554" s="40">
        <f t="shared" si="282"/>
        <v>26.988105515581161</v>
      </c>
      <c r="F554" s="40">
        <f t="shared" si="283"/>
        <v>31.08</v>
      </c>
      <c r="G554" s="3">
        <f t="shared" si="284"/>
        <v>198.44757793768284</v>
      </c>
      <c r="H554" s="3">
        <f t="shared" si="285"/>
        <v>81.256230789298584</v>
      </c>
      <c r="I554">
        <f t="shared" si="270"/>
        <v>8.1256230789298584E-5</v>
      </c>
      <c r="J554" s="4">
        <f t="shared" si="286"/>
        <v>572.05090929817345</v>
      </c>
      <c r="K554" s="40">
        <f t="shared" si="287"/>
        <v>7.0400866954009924</v>
      </c>
      <c r="L554" s="40">
        <f t="shared" si="271"/>
        <v>0</v>
      </c>
      <c r="M554" s="10">
        <f t="shared" si="288"/>
        <v>5.0862393643004351</v>
      </c>
      <c r="N554" s="10">
        <f t="shared" si="267"/>
        <v>8.26</v>
      </c>
      <c r="O554" s="10">
        <f t="shared" si="268"/>
        <v>0.31900000000000001</v>
      </c>
      <c r="P554" s="10">
        <f t="shared" si="289"/>
        <v>13.877800015162908</v>
      </c>
      <c r="Q554" s="42">
        <f t="shared" si="290"/>
        <v>0.2552354792980317</v>
      </c>
      <c r="R554" s="4">
        <f t="shared" si="291"/>
        <v>37033.756577191933</v>
      </c>
      <c r="S554">
        <f t="shared" si="272"/>
        <v>3.7033756577191931E-5</v>
      </c>
      <c r="T554" s="41">
        <f t="shared" si="273"/>
        <v>1.427706154646919E-4</v>
      </c>
      <c r="U554" s="42">
        <f t="shared" si="292"/>
        <v>6.6458927865599773E-2</v>
      </c>
      <c r="V554" s="42">
        <f t="shared" si="293"/>
        <v>0.45621897074062501</v>
      </c>
      <c r="W554" s="42">
        <f t="shared" si="294"/>
        <v>0.45252457900369836</v>
      </c>
      <c r="X554" s="42">
        <f t="shared" si="295"/>
        <v>3.6943917369266499E-3</v>
      </c>
      <c r="Y554" s="42">
        <f t="shared" si="269"/>
        <v>2.2013926362172997E-3</v>
      </c>
      <c r="Z554" s="10">
        <f t="shared" si="296"/>
        <v>15.419087667670091</v>
      </c>
      <c r="AA554">
        <f t="shared" si="274"/>
        <v>5085994.7124217255</v>
      </c>
      <c r="AB554" s="10">
        <f t="shared" si="275"/>
        <v>5.0859947124217255</v>
      </c>
      <c r="AC554" s="10">
        <f t="shared" si="276"/>
        <v>4.9849947124217255</v>
      </c>
      <c r="AD554" s="3">
        <f t="shared" si="277"/>
        <v>722.98690535485503</v>
      </c>
      <c r="AI554" s="94">
        <f t="shared" si="278"/>
        <v>0.45252457900369836</v>
      </c>
    </row>
    <row r="555" spans="2:35">
      <c r="B555" s="39">
        <f t="shared" si="279"/>
        <v>527</v>
      </c>
      <c r="C555" s="42">
        <f t="shared" si="280"/>
        <v>3.5006954436414266</v>
      </c>
      <c r="D555" s="10">
        <f t="shared" si="281"/>
        <v>2.0393045563581058</v>
      </c>
      <c r="E555" s="40">
        <f t="shared" si="282"/>
        <v>27.001390887283787</v>
      </c>
      <c r="F555" s="40">
        <f t="shared" si="283"/>
        <v>31.08</v>
      </c>
      <c r="G555" s="3">
        <f t="shared" si="284"/>
        <v>198.39443645087235</v>
      </c>
      <c r="H555" s="3">
        <f t="shared" si="285"/>
        <v>81.256230789298584</v>
      </c>
      <c r="I555">
        <f t="shared" si="270"/>
        <v>8.1256230789298584E-5</v>
      </c>
      <c r="J555" s="4">
        <f t="shared" si="286"/>
        <v>572.61425225332709</v>
      </c>
      <c r="K555" s="40">
        <f t="shared" si="287"/>
        <v>7.0470196154943991</v>
      </c>
      <c r="L555" s="40">
        <f t="shared" si="271"/>
        <v>0</v>
      </c>
      <c r="M555" s="10">
        <f t="shared" si="288"/>
        <v>5.0859947124217255</v>
      </c>
      <c r="N555" s="10">
        <f t="shared" si="267"/>
        <v>8.26</v>
      </c>
      <c r="O555" s="10">
        <f t="shared" si="268"/>
        <v>0.31900000000000001</v>
      </c>
      <c r="P555" s="10">
        <f t="shared" si="289"/>
        <v>13.877587068822248</v>
      </c>
      <c r="Q555" s="42">
        <f t="shared" si="290"/>
        <v>0.25571414218217497</v>
      </c>
      <c r="R555" s="4">
        <f t="shared" si="291"/>
        <v>36912.075346845471</v>
      </c>
      <c r="S555">
        <f t="shared" si="272"/>
        <v>3.6912075346845471E-5</v>
      </c>
      <c r="T555" s="41">
        <f t="shared" si="273"/>
        <v>1.4289229669503837E-4</v>
      </c>
      <c r="U555" s="42">
        <f t="shared" si="292"/>
        <v>6.6240564813681527E-2</v>
      </c>
      <c r="V555" s="42">
        <f t="shared" si="293"/>
        <v>0.4561938248232435</v>
      </c>
      <c r="W555" s="42">
        <f t="shared" si="294"/>
        <v>0.45250237124589071</v>
      </c>
      <c r="X555" s="42">
        <f t="shared" si="295"/>
        <v>3.6914535773527879E-3</v>
      </c>
      <c r="Y555" s="42">
        <f t="shared" si="269"/>
        <v>2.2031595980333166E-3</v>
      </c>
      <c r="Z555" s="10">
        <f t="shared" si="296"/>
        <v>15.418323093618639</v>
      </c>
      <c r="AA555">
        <f t="shared" si="274"/>
        <v>5085747.525448937</v>
      </c>
      <c r="AB555" s="10">
        <f t="shared" si="275"/>
        <v>5.0857475254489373</v>
      </c>
      <c r="AC555" s="10">
        <f t="shared" si="276"/>
        <v>4.9847475254489373</v>
      </c>
      <c r="AD555" s="3">
        <f t="shared" si="277"/>
        <v>722.95105517751085</v>
      </c>
      <c r="AI555" s="94">
        <f t="shared" si="278"/>
        <v>0.45250237124589071</v>
      </c>
    </row>
    <row r="556" spans="2:35">
      <c r="B556" s="39">
        <f t="shared" si="279"/>
        <v>528</v>
      </c>
      <c r="C556" s="42">
        <f t="shared" si="280"/>
        <v>3.5073381294927386</v>
      </c>
      <c r="D556" s="10">
        <f t="shared" si="281"/>
        <v>2.0326618705067929</v>
      </c>
      <c r="E556" s="40">
        <f t="shared" si="282"/>
        <v>27.014676258986412</v>
      </c>
      <c r="F556" s="40">
        <f t="shared" si="283"/>
        <v>31.08</v>
      </c>
      <c r="G556" s="3">
        <f t="shared" si="284"/>
        <v>198.34129496406186</v>
      </c>
      <c r="H556" s="3">
        <f t="shared" si="285"/>
        <v>81.256230789298584</v>
      </c>
      <c r="I556">
        <f t="shared" si="270"/>
        <v>8.1256230789298584E-5</v>
      </c>
      <c r="J556" s="4">
        <f t="shared" si="286"/>
        <v>573.17787245576244</v>
      </c>
      <c r="K556" s="40">
        <f t="shared" si="287"/>
        <v>7.0539559476003868</v>
      </c>
      <c r="L556" s="40">
        <f t="shared" si="271"/>
        <v>0</v>
      </c>
      <c r="M556" s="10">
        <f t="shared" si="288"/>
        <v>5.0857475254489373</v>
      </c>
      <c r="N556" s="10">
        <f t="shared" si="267"/>
        <v>8.26</v>
      </c>
      <c r="O556" s="10">
        <f t="shared" si="268"/>
        <v>0.31900000000000001</v>
      </c>
      <c r="P556" s="10">
        <f t="shared" si="289"/>
        <v>13.877371908837107</v>
      </c>
      <c r="Q556" s="42">
        <f t="shared" si="290"/>
        <v>0.25619281248768738</v>
      </c>
      <c r="R556" s="4">
        <f t="shared" si="291"/>
        <v>36790.399000678604</v>
      </c>
      <c r="S556">
        <f t="shared" si="272"/>
        <v>3.6790399000678605E-5</v>
      </c>
      <c r="T556" s="41">
        <f t="shared" si="273"/>
        <v>1.4301397304120522E-4</v>
      </c>
      <c r="U556" s="42">
        <f t="shared" si="292"/>
        <v>6.6022210526667777E-2</v>
      </c>
      <c r="V556" s="42">
        <f t="shared" si="293"/>
        <v>0.45616844098989157</v>
      </c>
      <c r="W556" s="42">
        <f t="shared" si="294"/>
        <v>0.45247993337026982</v>
      </c>
      <c r="X556" s="42">
        <f t="shared" si="295"/>
        <v>3.6885076196217503E-3</v>
      </c>
      <c r="Y556" s="42">
        <f t="shared" si="269"/>
        <v>2.2049251771024858E-3</v>
      </c>
      <c r="Z556" s="10">
        <f t="shared" si="296"/>
        <v>15.417550678542455</v>
      </c>
      <c r="AA556">
        <f t="shared" si="274"/>
        <v>5085497.803470985</v>
      </c>
      <c r="AB556" s="10">
        <f t="shared" si="275"/>
        <v>5.085497803470985</v>
      </c>
      <c r="AC556" s="10">
        <f t="shared" si="276"/>
        <v>4.984497803470985</v>
      </c>
      <c r="AD556" s="3">
        <f t="shared" si="277"/>
        <v>722.91483734169469</v>
      </c>
      <c r="AI556" s="94">
        <f t="shared" si="278"/>
        <v>0.45247993337026982</v>
      </c>
    </row>
    <row r="557" spans="2:35">
      <c r="B557" s="39">
        <f t="shared" si="279"/>
        <v>529</v>
      </c>
      <c r="C557" s="42">
        <f t="shared" si="280"/>
        <v>3.5139808153440506</v>
      </c>
      <c r="D557" s="10">
        <f t="shared" si="281"/>
        <v>2.02601918465548</v>
      </c>
      <c r="E557" s="40">
        <f t="shared" si="282"/>
        <v>27.027961630689038</v>
      </c>
      <c r="F557" s="40">
        <f t="shared" si="283"/>
        <v>31.08</v>
      </c>
      <c r="G557" s="3">
        <f t="shared" si="284"/>
        <v>198.28815347725137</v>
      </c>
      <c r="H557" s="3">
        <f t="shared" si="285"/>
        <v>81.256230789298584</v>
      </c>
      <c r="I557">
        <f t="shared" si="270"/>
        <v>8.1256230789298584E-5</v>
      </c>
      <c r="J557" s="4">
        <f t="shared" si="286"/>
        <v>573.74176990547915</v>
      </c>
      <c r="K557" s="40">
        <f t="shared" si="287"/>
        <v>7.0608956917189509</v>
      </c>
      <c r="L557" s="40">
        <f t="shared" si="271"/>
        <v>0</v>
      </c>
      <c r="M557" s="10">
        <f t="shared" si="288"/>
        <v>5.085497803470985</v>
      </c>
      <c r="N557" s="10">
        <f t="shared" si="267"/>
        <v>8.26</v>
      </c>
      <c r="O557" s="10">
        <f t="shared" si="268"/>
        <v>0.31900000000000001</v>
      </c>
      <c r="P557" s="10">
        <f t="shared" si="289"/>
        <v>13.877154535065195</v>
      </c>
      <c r="Q557" s="42">
        <f t="shared" si="290"/>
        <v>0.25667149029116121</v>
      </c>
      <c r="R557" s="4">
        <f t="shared" si="291"/>
        <v>36668.727582891341</v>
      </c>
      <c r="S557">
        <f t="shared" si="272"/>
        <v>3.6668727582891337E-5</v>
      </c>
      <c r="T557" s="41">
        <f t="shared" si="273"/>
        <v>1.4313564445899248E-4</v>
      </c>
      <c r="U557" s="42">
        <f t="shared" si="292"/>
        <v>6.5803865083877658E-2</v>
      </c>
      <c r="V557" s="42">
        <f t="shared" si="293"/>
        <v>0.45614281925244504</v>
      </c>
      <c r="W557" s="42">
        <f t="shared" si="294"/>
        <v>0.45245726538490688</v>
      </c>
      <c r="X557" s="42">
        <f t="shared" si="295"/>
        <v>3.6855538675381605E-3</v>
      </c>
      <c r="Y557" s="42">
        <f t="shared" si="269"/>
        <v>2.2066893699323833E-3</v>
      </c>
      <c r="Z557" s="10">
        <f t="shared" si="296"/>
        <v>15.416770422720155</v>
      </c>
      <c r="AA557">
        <f t="shared" si="274"/>
        <v>5085245.5465779491</v>
      </c>
      <c r="AB557" s="10">
        <f t="shared" si="275"/>
        <v>5.0852455465779487</v>
      </c>
      <c r="AC557" s="10">
        <f t="shared" si="276"/>
        <v>4.9842455465779487</v>
      </c>
      <c r="AD557" s="3">
        <f t="shared" si="277"/>
        <v>722.87825186047121</v>
      </c>
      <c r="AI557" s="94">
        <f t="shared" si="278"/>
        <v>0.45245726538490688</v>
      </c>
    </row>
    <row r="558" spans="2:35">
      <c r="B558" s="39">
        <f t="shared" si="279"/>
        <v>530</v>
      </c>
      <c r="C558" s="42">
        <f t="shared" si="280"/>
        <v>3.5206235011953626</v>
      </c>
      <c r="D558" s="10">
        <f t="shared" si="281"/>
        <v>2.0193764988041671</v>
      </c>
      <c r="E558" s="40">
        <f t="shared" si="282"/>
        <v>27.041247002391664</v>
      </c>
      <c r="F558" s="40">
        <f t="shared" si="283"/>
        <v>31.08</v>
      </c>
      <c r="G558" s="3">
        <f t="shared" si="284"/>
        <v>198.23501199044088</v>
      </c>
      <c r="H558" s="3">
        <f t="shared" si="285"/>
        <v>81.256230789298584</v>
      </c>
      <c r="I558">
        <f t="shared" si="270"/>
        <v>8.1256230789298584E-5</v>
      </c>
      <c r="J558" s="4">
        <f t="shared" si="286"/>
        <v>574.30594460247767</v>
      </c>
      <c r="K558" s="40">
        <f t="shared" si="287"/>
        <v>7.0678388478500969</v>
      </c>
      <c r="L558" s="40">
        <f t="shared" si="271"/>
        <v>0</v>
      </c>
      <c r="M558" s="10">
        <f t="shared" si="288"/>
        <v>5.0852455465779487</v>
      </c>
      <c r="N558" s="10">
        <f t="shared" si="267"/>
        <v>8.26</v>
      </c>
      <c r="O558" s="10">
        <f t="shared" si="268"/>
        <v>0.31900000000000001</v>
      </c>
      <c r="P558" s="10">
        <f t="shared" si="289"/>
        <v>13.876934947362962</v>
      </c>
      <c r="Q558" s="42">
        <f t="shared" si="290"/>
        <v>0.25715017566920101</v>
      </c>
      <c r="R558" s="4">
        <f t="shared" si="291"/>
        <v>36547.061137683639</v>
      </c>
      <c r="S558">
        <f t="shared" si="272"/>
        <v>3.6547061137683641E-5</v>
      </c>
      <c r="T558" s="41">
        <f t="shared" si="273"/>
        <v>1.4325731090420019E-4</v>
      </c>
      <c r="U558" s="42">
        <f t="shared" si="292"/>
        <v>6.5585528564630166E-2</v>
      </c>
      <c r="V558" s="42">
        <f t="shared" si="293"/>
        <v>0.45611695962298254</v>
      </c>
      <c r="W558" s="42">
        <f t="shared" si="294"/>
        <v>0.45243436729797865</v>
      </c>
      <c r="X558" s="42">
        <f t="shared" si="295"/>
        <v>3.6825923250038972E-3</v>
      </c>
      <c r="Y558" s="42">
        <f t="shared" si="269"/>
        <v>2.2084521730316442E-3</v>
      </c>
      <c r="Z558" s="10">
        <f t="shared" si="296"/>
        <v>15.415982326434234</v>
      </c>
      <c r="AA558">
        <f t="shared" si="274"/>
        <v>5084990.7548611583</v>
      </c>
      <c r="AB558" s="10">
        <f t="shared" si="275"/>
        <v>5.0849907548611579</v>
      </c>
      <c r="AC558" s="10">
        <f t="shared" si="276"/>
        <v>4.9839907548611579</v>
      </c>
      <c r="AD558" s="3">
        <f t="shared" si="277"/>
        <v>722.84129874708606</v>
      </c>
      <c r="AI558" s="94">
        <f t="shared" si="278"/>
        <v>0.45243436729797865</v>
      </c>
    </row>
    <row r="559" spans="2:35">
      <c r="B559" s="39">
        <f t="shared" si="279"/>
        <v>531</v>
      </c>
      <c r="C559" s="42">
        <f t="shared" si="280"/>
        <v>3.5272661870466746</v>
      </c>
      <c r="D559" s="10">
        <f t="shared" si="281"/>
        <v>2.0127338129528543</v>
      </c>
      <c r="E559" s="40">
        <f t="shared" si="282"/>
        <v>27.05453237409429</v>
      </c>
      <c r="F559" s="40">
        <f t="shared" si="283"/>
        <v>31.08</v>
      </c>
      <c r="G559" s="3">
        <f t="shared" si="284"/>
        <v>198.18187050363039</v>
      </c>
      <c r="H559" s="3">
        <f t="shared" si="285"/>
        <v>81.256230789298584</v>
      </c>
      <c r="I559">
        <f t="shared" si="270"/>
        <v>8.1256230789298584E-5</v>
      </c>
      <c r="J559" s="4">
        <f t="shared" si="286"/>
        <v>574.87039654675743</v>
      </c>
      <c r="K559" s="40">
        <f t="shared" si="287"/>
        <v>7.0747854159938175</v>
      </c>
      <c r="L559" s="40">
        <f t="shared" si="271"/>
        <v>0</v>
      </c>
      <c r="M559" s="10">
        <f t="shared" si="288"/>
        <v>5.0849907548611579</v>
      </c>
      <c r="N559" s="10">
        <f t="shared" si="267"/>
        <v>8.26</v>
      </c>
      <c r="O559" s="10">
        <f t="shared" si="268"/>
        <v>0.31900000000000001</v>
      </c>
      <c r="P559" s="10">
        <f t="shared" si="289"/>
        <v>13.87671314558567</v>
      </c>
      <c r="Q559" s="42">
        <f t="shared" si="290"/>
        <v>0.2576288686984235</v>
      </c>
      <c r="R559" s="4">
        <f t="shared" si="291"/>
        <v>36425.399709255558</v>
      </c>
      <c r="S559">
        <f t="shared" si="272"/>
        <v>3.642539970925556E-5</v>
      </c>
      <c r="T559" s="41">
        <f t="shared" si="273"/>
        <v>1.4337897233262828E-4</v>
      </c>
      <c r="U559" s="42">
        <f t="shared" si="292"/>
        <v>6.5367201048244561E-2</v>
      </c>
      <c r="V559" s="42">
        <f t="shared" si="293"/>
        <v>0.45609086211307781</v>
      </c>
      <c r="W559" s="42">
        <f t="shared" si="294"/>
        <v>0.45241123911777531</v>
      </c>
      <c r="X559" s="42">
        <f t="shared" si="295"/>
        <v>3.6796229953025006E-3</v>
      </c>
      <c r="Y559" s="42">
        <f t="shared" si="269"/>
        <v>2.2102135829096623E-3</v>
      </c>
      <c r="Z559" s="10">
        <f t="shared" si="296"/>
        <v>15.415186389968923</v>
      </c>
      <c r="AA559">
        <f t="shared" si="274"/>
        <v>5084733.4284125045</v>
      </c>
      <c r="AB559" s="10">
        <f t="shared" si="275"/>
        <v>5.0847334284125045</v>
      </c>
      <c r="AC559" s="10">
        <f t="shared" si="276"/>
        <v>4.9837334284125046</v>
      </c>
      <c r="AD559" s="3">
        <f t="shared" si="277"/>
        <v>722.80397801486652</v>
      </c>
      <c r="AI559" s="94">
        <f t="shared" si="278"/>
        <v>0.45241123911777531</v>
      </c>
    </row>
    <row r="560" spans="2:35">
      <c r="B560" s="39">
        <f t="shared" si="279"/>
        <v>532</v>
      </c>
      <c r="C560" s="42">
        <f t="shared" si="280"/>
        <v>3.5339088728979866</v>
      </c>
      <c r="D560" s="10">
        <f t="shared" si="281"/>
        <v>2.0060911271015414</v>
      </c>
      <c r="E560" s="40">
        <f t="shared" si="282"/>
        <v>27.067817745796916</v>
      </c>
      <c r="F560" s="40">
        <f t="shared" si="283"/>
        <v>31.08</v>
      </c>
      <c r="G560" s="3">
        <f t="shared" si="284"/>
        <v>198.1287290168199</v>
      </c>
      <c r="H560" s="3">
        <f t="shared" si="285"/>
        <v>81.256230789298584</v>
      </c>
      <c r="I560">
        <f t="shared" si="270"/>
        <v>8.1256230789298584E-5</v>
      </c>
      <c r="J560" s="4">
        <f t="shared" si="286"/>
        <v>575.43512573831902</v>
      </c>
      <c r="K560" s="40">
        <f t="shared" si="287"/>
        <v>7.0817353961501199</v>
      </c>
      <c r="L560" s="40">
        <f t="shared" si="271"/>
        <v>0</v>
      </c>
      <c r="M560" s="10">
        <f t="shared" si="288"/>
        <v>5.0847334284125045</v>
      </c>
      <c r="N560" s="10">
        <f t="shared" si="267"/>
        <v>8.26</v>
      </c>
      <c r="O560" s="10">
        <f t="shared" si="268"/>
        <v>0.31900000000000001</v>
      </c>
      <c r="P560" s="10">
        <f t="shared" si="289"/>
        <v>13.876489129586805</v>
      </c>
      <c r="Q560" s="42">
        <f t="shared" si="290"/>
        <v>0.25810756945545782</v>
      </c>
      <c r="R560" s="4">
        <f t="shared" si="291"/>
        <v>36303.743341807036</v>
      </c>
      <c r="S560">
        <f t="shared" si="272"/>
        <v>3.6303743341807034E-5</v>
      </c>
      <c r="T560" s="41">
        <f t="shared" si="273"/>
        <v>1.435006287000768E-4</v>
      </c>
      <c r="U560" s="42">
        <f t="shared" si="292"/>
        <v>6.514888261403981E-2</v>
      </c>
      <c r="V560" s="42">
        <f t="shared" si="293"/>
        <v>0.45606452673543035</v>
      </c>
      <c r="W560" s="42">
        <f t="shared" si="294"/>
        <v>0.45238788085263815</v>
      </c>
      <c r="X560" s="42">
        <f t="shared" si="295"/>
        <v>3.6766458827922066E-3</v>
      </c>
      <c r="Y560" s="42">
        <f t="shared" si="269"/>
        <v>2.2119735960771021E-3</v>
      </c>
      <c r="Z560" s="10">
        <f t="shared" si="296"/>
        <v>15.414382613613721</v>
      </c>
      <c r="AA560">
        <f t="shared" si="274"/>
        <v>5084473.5673255837</v>
      </c>
      <c r="AB560" s="10">
        <f t="shared" si="275"/>
        <v>5.0844735673255839</v>
      </c>
      <c r="AC560" s="10">
        <f t="shared" si="276"/>
        <v>4.9834735673255839</v>
      </c>
      <c r="AD560" s="3">
        <f t="shared" si="277"/>
        <v>722.76628967738702</v>
      </c>
      <c r="AI560" s="94">
        <f t="shared" si="278"/>
        <v>0.45238788085263815</v>
      </c>
    </row>
    <row r="561" spans="2:35">
      <c r="B561" s="39">
        <f t="shared" si="279"/>
        <v>533</v>
      </c>
      <c r="C561" s="42">
        <f t="shared" si="280"/>
        <v>3.5405515587492986</v>
      </c>
      <c r="D561" s="10">
        <f t="shared" si="281"/>
        <v>1.9994484412502285</v>
      </c>
      <c r="E561" s="40">
        <f t="shared" si="282"/>
        <v>27.081103117499541</v>
      </c>
      <c r="F561" s="40">
        <f t="shared" si="283"/>
        <v>31.08</v>
      </c>
      <c r="G561" s="3">
        <f t="shared" si="284"/>
        <v>198.07558753000941</v>
      </c>
      <c r="H561" s="3">
        <f t="shared" si="285"/>
        <v>81.256230789298584</v>
      </c>
      <c r="I561">
        <f t="shared" si="270"/>
        <v>8.1256230789298584E-5</v>
      </c>
      <c r="J561" s="4">
        <f t="shared" si="286"/>
        <v>576.00013217716196</v>
      </c>
      <c r="K561" s="40">
        <f t="shared" si="287"/>
        <v>7.0886887883189997</v>
      </c>
      <c r="L561" s="40">
        <f t="shared" si="271"/>
        <v>0</v>
      </c>
      <c r="M561" s="10">
        <f t="shared" si="288"/>
        <v>5.0844735673255839</v>
      </c>
      <c r="N561" s="10">
        <f t="shared" si="267"/>
        <v>8.26</v>
      </c>
      <c r="O561" s="10">
        <f t="shared" si="268"/>
        <v>0.31900000000000001</v>
      </c>
      <c r="P561" s="10">
        <f t="shared" si="289"/>
        <v>13.876262899219046</v>
      </c>
      <c r="Q561" s="42">
        <f t="shared" si="290"/>
        <v>0.25858627801694567</v>
      </c>
      <c r="R561" s="4">
        <f t="shared" si="291"/>
        <v>36182.09207953811</v>
      </c>
      <c r="S561">
        <f t="shared" si="272"/>
        <v>3.6182092079538107E-5</v>
      </c>
      <c r="T561" s="41">
        <f t="shared" si="273"/>
        <v>1.4362227996234572E-4</v>
      </c>
      <c r="U561" s="42">
        <f t="shared" si="292"/>
        <v>6.4930573341335118E-2</v>
      </c>
      <c r="V561" s="42">
        <f t="shared" si="293"/>
        <v>0.45603795350176252</v>
      </c>
      <c r="W561" s="42">
        <f t="shared" si="294"/>
        <v>0.45236429251106314</v>
      </c>
      <c r="X561" s="42">
        <f t="shared" si="295"/>
        <v>3.6736609906993789E-3</v>
      </c>
      <c r="Y561" s="42">
        <f t="shared" si="269"/>
        <v>2.2137322090453539E-3</v>
      </c>
      <c r="Z561" s="10">
        <f t="shared" si="296"/>
        <v>15.41357099765956</v>
      </c>
      <c r="AA561">
        <f t="shared" si="274"/>
        <v>5084211.1716944538</v>
      </c>
      <c r="AB561" s="10">
        <f t="shared" si="275"/>
        <v>5.084211171694454</v>
      </c>
      <c r="AC561" s="10">
        <f t="shared" si="276"/>
        <v>4.983211171694454</v>
      </c>
      <c r="AD561" s="3">
        <f t="shared" si="277"/>
        <v>722.7282337482892</v>
      </c>
      <c r="AI561" s="94">
        <f t="shared" si="278"/>
        <v>0.45236429251106314</v>
      </c>
    </row>
    <row r="562" spans="2:35">
      <c r="B562" s="39">
        <f t="shared" si="279"/>
        <v>534</v>
      </c>
      <c r="C562" s="42">
        <f t="shared" si="280"/>
        <v>3.5471942446006106</v>
      </c>
      <c r="D562" s="10">
        <f t="shared" si="281"/>
        <v>1.9928057553989156</v>
      </c>
      <c r="E562" s="40">
        <f t="shared" si="282"/>
        <v>27.094388489202167</v>
      </c>
      <c r="F562" s="40">
        <f t="shared" si="283"/>
        <v>31.08</v>
      </c>
      <c r="G562" s="3">
        <f t="shared" si="284"/>
        <v>198.02244604319893</v>
      </c>
      <c r="H562" s="3">
        <f t="shared" si="285"/>
        <v>81.256230789298584</v>
      </c>
      <c r="I562">
        <f t="shared" si="270"/>
        <v>8.1256230789298584E-5</v>
      </c>
      <c r="J562" s="4">
        <f t="shared" si="286"/>
        <v>576.5654158632866</v>
      </c>
      <c r="K562" s="40">
        <f t="shared" si="287"/>
        <v>7.0956455925004596</v>
      </c>
      <c r="L562" s="40">
        <f t="shared" si="271"/>
        <v>0</v>
      </c>
      <c r="M562" s="10">
        <f t="shared" si="288"/>
        <v>5.084211171694454</v>
      </c>
      <c r="N562" s="10">
        <f t="shared" si="267"/>
        <v>8.26</v>
      </c>
      <c r="O562" s="10">
        <f t="shared" si="268"/>
        <v>0.31900000000000001</v>
      </c>
      <c r="P562" s="10">
        <f t="shared" si="289"/>
        <v>13.876034454333212</v>
      </c>
      <c r="Q562" s="42">
        <f t="shared" si="290"/>
        <v>0.25906499445954123</v>
      </c>
      <c r="R562" s="4">
        <f t="shared" si="291"/>
        <v>36060.44596664876</v>
      </c>
      <c r="S562">
        <f t="shared" si="272"/>
        <v>3.6060445966648759E-5</v>
      </c>
      <c r="T562" s="41">
        <f t="shared" si="273"/>
        <v>1.4374392607523507E-4</v>
      </c>
      <c r="U562" s="42">
        <f t="shared" si="292"/>
        <v>6.4712273309449522E-2</v>
      </c>
      <c r="V562" s="42">
        <f t="shared" si="293"/>
        <v>0.4560111424249208</v>
      </c>
      <c r="W562" s="42">
        <f t="shared" si="294"/>
        <v>0.45234047410158817</v>
      </c>
      <c r="X562" s="42">
        <f t="shared" si="295"/>
        <v>3.6706683233326265E-3</v>
      </c>
      <c r="Y562" s="42">
        <f t="shared" si="269"/>
        <v>2.2154894183270481E-3</v>
      </c>
      <c r="Z562" s="10">
        <f t="shared" si="296"/>
        <v>15.412751542402345</v>
      </c>
      <c r="AA562">
        <f t="shared" si="274"/>
        <v>5083946.2416147804</v>
      </c>
      <c r="AB562" s="10">
        <f t="shared" si="275"/>
        <v>5.0839462416147807</v>
      </c>
      <c r="AC562" s="10">
        <f t="shared" si="276"/>
        <v>4.9829462416147807</v>
      </c>
      <c r="AD562" s="3">
        <f t="shared" si="277"/>
        <v>722.6898102414475</v>
      </c>
      <c r="AI562" s="94">
        <f t="shared" si="278"/>
        <v>0.45234047410158817</v>
      </c>
    </row>
    <row r="563" spans="2:35">
      <c r="B563" s="39">
        <f t="shared" si="279"/>
        <v>535</v>
      </c>
      <c r="C563" s="42">
        <f t="shared" si="280"/>
        <v>3.5538369304519226</v>
      </c>
      <c r="D563" s="10">
        <f t="shared" si="281"/>
        <v>1.9861630695476027</v>
      </c>
      <c r="E563" s="40">
        <f t="shared" si="282"/>
        <v>27.107673860904793</v>
      </c>
      <c r="F563" s="40">
        <f t="shared" si="283"/>
        <v>31.08</v>
      </c>
      <c r="G563" s="3">
        <f t="shared" si="284"/>
        <v>197.96930455638844</v>
      </c>
      <c r="H563" s="3">
        <f t="shared" si="285"/>
        <v>81.256230789298584</v>
      </c>
      <c r="I563">
        <f t="shared" si="270"/>
        <v>8.1256230789298584E-5</v>
      </c>
      <c r="J563" s="4">
        <f t="shared" si="286"/>
        <v>577.13097679669283</v>
      </c>
      <c r="K563" s="40">
        <f t="shared" si="287"/>
        <v>7.1026058086944976</v>
      </c>
      <c r="L563" s="40">
        <f t="shared" si="271"/>
        <v>0</v>
      </c>
      <c r="M563" s="10">
        <f t="shared" si="288"/>
        <v>5.0839462416147807</v>
      </c>
      <c r="N563" s="10">
        <f t="shared" si="267"/>
        <v>8.26</v>
      </c>
      <c r="O563" s="10">
        <f t="shared" si="268"/>
        <v>0.31900000000000001</v>
      </c>
      <c r="P563" s="10">
        <f t="shared" si="289"/>
        <v>13.875803794779241</v>
      </c>
      <c r="Q563" s="42">
        <f t="shared" si="290"/>
        <v>0.25954371885991157</v>
      </c>
      <c r="R563" s="4">
        <f t="shared" si="291"/>
        <v>35938.805047338989</v>
      </c>
      <c r="S563">
        <f t="shared" si="272"/>
        <v>3.5938805047338987E-5</v>
      </c>
      <c r="T563" s="41">
        <f t="shared" si="273"/>
        <v>1.4386556699454484E-4</v>
      </c>
      <c r="U563" s="42">
        <f t="shared" si="292"/>
        <v>6.4493982597702171E-2</v>
      </c>
      <c r="V563" s="42">
        <f t="shared" si="293"/>
        <v>0.45598409351703217</v>
      </c>
      <c r="W563" s="42">
        <f t="shared" si="294"/>
        <v>0.45231642563289715</v>
      </c>
      <c r="X563" s="42">
        <f t="shared" si="295"/>
        <v>3.6676678841350285E-3</v>
      </c>
      <c r="Y563" s="42">
        <f t="shared" si="269"/>
        <v>2.2172452204356381E-3</v>
      </c>
      <c r="Z563" s="10">
        <f t="shared" si="296"/>
        <v>15.41192424814002</v>
      </c>
      <c r="AA563">
        <f t="shared" si="274"/>
        <v>5083678.7771828901</v>
      </c>
      <c r="AB563" s="10">
        <f t="shared" si="275"/>
        <v>5.0836787771828904</v>
      </c>
      <c r="AC563" s="10">
        <f t="shared" si="276"/>
        <v>4.9826787771828904</v>
      </c>
      <c r="AD563" s="3">
        <f t="shared" si="277"/>
        <v>722.65101917083246</v>
      </c>
      <c r="AI563" s="94">
        <f t="shared" si="278"/>
        <v>0.45231642563289715</v>
      </c>
    </row>
    <row r="564" spans="2:35">
      <c r="B564" s="39">
        <f t="shared" si="279"/>
        <v>536</v>
      </c>
      <c r="C564" s="42">
        <f t="shared" si="280"/>
        <v>3.5604796163032346</v>
      </c>
      <c r="D564" s="10">
        <f t="shared" si="281"/>
        <v>1.9795203836962898</v>
      </c>
      <c r="E564" s="40">
        <f t="shared" si="282"/>
        <v>27.120959232607419</v>
      </c>
      <c r="F564" s="40">
        <f t="shared" si="283"/>
        <v>31.08</v>
      </c>
      <c r="G564" s="3">
        <f t="shared" si="284"/>
        <v>197.91616306957795</v>
      </c>
      <c r="H564" s="3">
        <f t="shared" si="285"/>
        <v>81.256230789298584</v>
      </c>
      <c r="I564">
        <f t="shared" si="270"/>
        <v>8.1256230789298584E-5</v>
      </c>
      <c r="J564" s="4">
        <f t="shared" si="286"/>
        <v>577.69681497738054</v>
      </c>
      <c r="K564" s="40">
        <f t="shared" si="287"/>
        <v>7.1095694369011149</v>
      </c>
      <c r="L564" s="40">
        <f t="shared" si="271"/>
        <v>0</v>
      </c>
      <c r="M564" s="10">
        <f t="shared" si="288"/>
        <v>5.0836787771828904</v>
      </c>
      <c r="N564" s="10">
        <f t="shared" si="267"/>
        <v>8.26</v>
      </c>
      <c r="O564" s="10">
        <f t="shared" si="268"/>
        <v>0.31900000000000001</v>
      </c>
      <c r="P564" s="10">
        <f t="shared" si="289"/>
        <v>13.875570920405375</v>
      </c>
      <c r="Q564" s="42">
        <f t="shared" si="290"/>
        <v>0.2600224512947365</v>
      </c>
      <c r="R564" s="4">
        <f t="shared" si="291"/>
        <v>35817.169365808797</v>
      </c>
      <c r="S564">
        <f t="shared" si="272"/>
        <v>3.5817169365808798E-5</v>
      </c>
      <c r="T564" s="41">
        <f t="shared" si="273"/>
        <v>1.4398720267607502E-4</v>
      </c>
      <c r="U564" s="42">
        <f t="shared" si="292"/>
        <v>6.4275701285412171E-2</v>
      </c>
      <c r="V564" s="42">
        <f t="shared" si="293"/>
        <v>0.45595680679087885</v>
      </c>
      <c r="W564" s="42">
        <f t="shared" si="294"/>
        <v>0.45229214711373389</v>
      </c>
      <c r="X564" s="42">
        <f t="shared" si="295"/>
        <v>3.6646596771449658E-3</v>
      </c>
      <c r="Y564" s="42">
        <f t="shared" si="269"/>
        <v>2.2189996118856825E-3</v>
      </c>
      <c r="Z564" s="10">
        <f t="shared" si="296"/>
        <v>15.411089115174487</v>
      </c>
      <c r="AA564">
        <f t="shared" si="274"/>
        <v>5083408.7784963865</v>
      </c>
      <c r="AB564" s="10">
        <f t="shared" si="275"/>
        <v>5.0834087784963868</v>
      </c>
      <c r="AC564" s="10">
        <f t="shared" si="276"/>
        <v>4.9824087784963869</v>
      </c>
      <c r="AD564" s="3">
        <f t="shared" si="277"/>
        <v>722.61186055059989</v>
      </c>
      <c r="AI564" s="94">
        <f t="shared" si="278"/>
        <v>0.45229214711373389</v>
      </c>
    </row>
    <row r="565" spans="2:35">
      <c r="B565" s="39">
        <f t="shared" si="279"/>
        <v>537</v>
      </c>
      <c r="C565" s="42">
        <f t="shared" si="280"/>
        <v>3.5671223021545466</v>
      </c>
      <c r="D565" s="10">
        <f t="shared" si="281"/>
        <v>1.9728776978449769</v>
      </c>
      <c r="E565" s="40">
        <f t="shared" si="282"/>
        <v>27.134244604310044</v>
      </c>
      <c r="F565" s="40">
        <f t="shared" si="283"/>
        <v>31.08</v>
      </c>
      <c r="G565" s="3">
        <f t="shared" si="284"/>
        <v>197.86302158276746</v>
      </c>
      <c r="H565" s="3">
        <f t="shared" si="285"/>
        <v>81.256230789298584</v>
      </c>
      <c r="I565">
        <f t="shared" si="270"/>
        <v>8.1256230789298584E-5</v>
      </c>
      <c r="J565" s="4">
        <f t="shared" si="286"/>
        <v>578.26293040534983</v>
      </c>
      <c r="K565" s="40">
        <f t="shared" si="287"/>
        <v>7.1165364771203103</v>
      </c>
      <c r="L565" s="40">
        <f t="shared" si="271"/>
        <v>0</v>
      </c>
      <c r="M565" s="10">
        <f t="shared" si="288"/>
        <v>5.0834087784963868</v>
      </c>
      <c r="N565" s="10">
        <f t="shared" si="267"/>
        <v>8.26</v>
      </c>
      <c r="O565" s="10">
        <f t="shared" si="268"/>
        <v>0.31900000000000001</v>
      </c>
      <c r="P565" s="10">
        <f t="shared" si="289"/>
        <v>13.875335831058679</v>
      </c>
      <c r="Q565" s="42">
        <f t="shared" si="290"/>
        <v>0.26050119184070897</v>
      </c>
      <c r="R565" s="4">
        <f t="shared" si="291"/>
        <v>35695.538966258173</v>
      </c>
      <c r="S565">
        <f t="shared" si="272"/>
        <v>3.5695538966258176E-5</v>
      </c>
      <c r="T565" s="41">
        <f t="shared" si="273"/>
        <v>1.4410883307562565E-4</v>
      </c>
      <c r="U565" s="42">
        <f t="shared" si="292"/>
        <v>6.4057429451898601E-2</v>
      </c>
      <c r="V565" s="42">
        <f t="shared" si="293"/>
        <v>0.45592928225912754</v>
      </c>
      <c r="W565" s="42">
        <f t="shared" si="294"/>
        <v>0.45226763855295821</v>
      </c>
      <c r="X565" s="42">
        <f t="shared" si="295"/>
        <v>3.6616437061693374E-3</v>
      </c>
      <c r="Y565" s="42">
        <f t="shared" si="269"/>
        <v>2.2207525891927305E-3</v>
      </c>
      <c r="Z565" s="10">
        <f t="shared" si="296"/>
        <v>15.410246143810772</v>
      </c>
      <c r="AA565">
        <f t="shared" si="274"/>
        <v>5083136.2456538854</v>
      </c>
      <c r="AB565" s="10">
        <f t="shared" si="275"/>
        <v>5.0831362456538853</v>
      </c>
      <c r="AC565" s="10">
        <f t="shared" si="276"/>
        <v>4.9821362456538854</v>
      </c>
      <c r="AD565" s="3">
        <f t="shared" si="277"/>
        <v>722.57233439505228</v>
      </c>
      <c r="AI565" s="94">
        <f t="shared" si="278"/>
        <v>0.45226763855295821</v>
      </c>
    </row>
    <row r="566" spans="2:35">
      <c r="B566" s="39">
        <f t="shared" si="279"/>
        <v>538</v>
      </c>
      <c r="C566" s="42">
        <f t="shared" si="280"/>
        <v>3.5737649880058586</v>
      </c>
      <c r="D566" s="10">
        <f t="shared" si="281"/>
        <v>1.966235011993664</v>
      </c>
      <c r="E566" s="40">
        <f t="shared" si="282"/>
        <v>27.14752997601267</v>
      </c>
      <c r="F566" s="40">
        <f t="shared" si="283"/>
        <v>31.08</v>
      </c>
      <c r="G566" s="3">
        <f t="shared" si="284"/>
        <v>197.80988009595697</v>
      </c>
      <c r="H566" s="3">
        <f t="shared" si="285"/>
        <v>81.256230789298584</v>
      </c>
      <c r="I566">
        <f t="shared" si="270"/>
        <v>8.1256230789298584E-5</v>
      </c>
      <c r="J566" s="4">
        <f t="shared" si="286"/>
        <v>578.82932308060072</v>
      </c>
      <c r="K566" s="40">
        <f t="shared" si="287"/>
        <v>7.123506929352085</v>
      </c>
      <c r="L566" s="40">
        <f t="shared" si="271"/>
        <v>0</v>
      </c>
      <c r="M566" s="10">
        <f t="shared" si="288"/>
        <v>5.0831362456538853</v>
      </c>
      <c r="N566" s="10">
        <f t="shared" si="267"/>
        <v>8.26</v>
      </c>
      <c r="O566" s="10">
        <f t="shared" si="268"/>
        <v>0.31900000000000001</v>
      </c>
      <c r="P566" s="10">
        <f t="shared" si="289"/>
        <v>13.875098526584841</v>
      </c>
      <c r="Q566" s="42">
        <f t="shared" si="290"/>
        <v>0.26097994057453489</v>
      </c>
      <c r="R566" s="4">
        <f t="shared" si="291"/>
        <v>35573.913892887147</v>
      </c>
      <c r="S566">
        <f t="shared" si="272"/>
        <v>3.5573913892887148E-5</v>
      </c>
      <c r="T566" s="41">
        <f t="shared" si="273"/>
        <v>1.4423045814899668E-4</v>
      </c>
      <c r="U566" s="42">
        <f t="shared" si="292"/>
        <v>6.3839167176480624E-2</v>
      </c>
      <c r="V566" s="42">
        <f t="shared" si="293"/>
        <v>0.45590151993454942</v>
      </c>
      <c r="W566" s="42">
        <f t="shared" si="294"/>
        <v>0.45224289995952155</v>
      </c>
      <c r="X566" s="42">
        <f t="shared" si="295"/>
        <v>3.6586199750278658E-3</v>
      </c>
      <c r="Y566" s="42">
        <f t="shared" si="269"/>
        <v>2.2225041488733253E-3</v>
      </c>
      <c r="Z566" s="10">
        <f t="shared" si="296"/>
        <v>15.409395334357022</v>
      </c>
      <c r="AA566">
        <f t="shared" si="274"/>
        <v>5082861.1787550105</v>
      </c>
      <c r="AB566" s="10">
        <f t="shared" si="275"/>
        <v>5.0828611787550102</v>
      </c>
      <c r="AC566" s="10">
        <f t="shared" si="276"/>
        <v>4.9818611787550102</v>
      </c>
      <c r="AD566" s="3">
        <f t="shared" si="277"/>
        <v>722.53244071863821</v>
      </c>
      <c r="AI566" s="94">
        <f t="shared" si="278"/>
        <v>0.45224289995952155</v>
      </c>
    </row>
    <row r="567" spans="2:35">
      <c r="B567" s="39">
        <f t="shared" si="279"/>
        <v>539</v>
      </c>
      <c r="C567" s="42">
        <f t="shared" si="280"/>
        <v>3.5804076738571706</v>
      </c>
      <c r="D567" s="10">
        <f t="shared" si="281"/>
        <v>1.9595923261423511</v>
      </c>
      <c r="E567" s="40">
        <f t="shared" si="282"/>
        <v>27.160815347715296</v>
      </c>
      <c r="F567" s="40">
        <f t="shared" si="283"/>
        <v>31.08</v>
      </c>
      <c r="G567" s="3">
        <f t="shared" si="284"/>
        <v>197.75673860914648</v>
      </c>
      <c r="H567" s="3">
        <f t="shared" si="285"/>
        <v>81.256230789298584</v>
      </c>
      <c r="I567">
        <f t="shared" si="270"/>
        <v>8.1256230789298584E-5</v>
      </c>
      <c r="J567" s="4">
        <f t="shared" si="286"/>
        <v>579.39599300313307</v>
      </c>
      <c r="K567" s="40">
        <f t="shared" si="287"/>
        <v>7.1304807935964378</v>
      </c>
      <c r="L567" s="40">
        <f t="shared" si="271"/>
        <v>0</v>
      </c>
      <c r="M567" s="10">
        <f t="shared" si="288"/>
        <v>5.0828611787550102</v>
      </c>
      <c r="N567" s="10">
        <f t="shared" si="267"/>
        <v>8.26</v>
      </c>
      <c r="O567" s="10">
        <f t="shared" si="268"/>
        <v>0.31900000000000001</v>
      </c>
      <c r="P567" s="10">
        <f t="shared" si="289"/>
        <v>13.87485900682813</v>
      </c>
      <c r="Q567" s="42">
        <f t="shared" si="290"/>
        <v>0.26145869757293344</v>
      </c>
      <c r="R567" s="4">
        <f t="shared" si="291"/>
        <v>35452.294189895678</v>
      </c>
      <c r="S567">
        <f t="shared" si="272"/>
        <v>3.5452294189895676E-5</v>
      </c>
      <c r="T567" s="41">
        <f t="shared" si="273"/>
        <v>1.4435207785198816E-4</v>
      </c>
      <c r="U567" s="42">
        <f t="shared" si="292"/>
        <v>6.3620914538477291E-2</v>
      </c>
      <c r="V567" s="42">
        <f t="shared" si="293"/>
        <v>0.4558735198302879</v>
      </c>
      <c r="W567" s="42">
        <f t="shared" si="294"/>
        <v>0.45221793134246724</v>
      </c>
      <c r="X567" s="42">
        <f t="shared" si="295"/>
        <v>3.6555884878206601E-3</v>
      </c>
      <c r="Y567" s="42">
        <f t="shared" si="269"/>
        <v>2.2242542874451347E-3</v>
      </c>
      <c r="Z567" s="10">
        <f t="shared" si="296"/>
        <v>15.408536687125352</v>
      </c>
      <c r="AA567">
        <f t="shared" si="274"/>
        <v>5082583.5779006695</v>
      </c>
      <c r="AB567" s="10">
        <f t="shared" si="275"/>
        <v>5.0825835779006692</v>
      </c>
      <c r="AC567" s="10">
        <f t="shared" si="276"/>
        <v>4.9815835779006692</v>
      </c>
      <c r="AD567" s="3">
        <f t="shared" si="277"/>
        <v>722.4921795359927</v>
      </c>
      <c r="AI567" s="94">
        <f t="shared" si="278"/>
        <v>0.45221793134246724</v>
      </c>
    </row>
    <row r="568" spans="2:35">
      <c r="B568" s="39">
        <f t="shared" si="279"/>
        <v>540</v>
      </c>
      <c r="C568" s="42">
        <f t="shared" si="280"/>
        <v>3.5870503597084826</v>
      </c>
      <c r="D568" s="10">
        <f t="shared" si="281"/>
        <v>1.9529496402910382</v>
      </c>
      <c r="E568" s="40">
        <f t="shared" si="282"/>
        <v>27.174100719417922</v>
      </c>
      <c r="F568" s="40">
        <f t="shared" si="283"/>
        <v>31.08</v>
      </c>
      <c r="G568" s="3">
        <f t="shared" si="284"/>
        <v>197.70359712233599</v>
      </c>
      <c r="H568" s="3">
        <f t="shared" si="285"/>
        <v>81.256230789298584</v>
      </c>
      <c r="I568">
        <f t="shared" si="270"/>
        <v>8.1256230789298584E-5</v>
      </c>
      <c r="J568" s="4">
        <f t="shared" si="286"/>
        <v>579.96294017294713</v>
      </c>
      <c r="K568" s="40">
        <f t="shared" si="287"/>
        <v>7.1374580698533707</v>
      </c>
      <c r="L568" s="40">
        <f t="shared" si="271"/>
        <v>0</v>
      </c>
      <c r="M568" s="10">
        <f t="shared" si="288"/>
        <v>5.0825835779006692</v>
      </c>
      <c r="N568" s="10">
        <f t="shared" si="267"/>
        <v>8.26</v>
      </c>
      <c r="O568" s="10">
        <f t="shared" si="268"/>
        <v>0.31900000000000001</v>
      </c>
      <c r="P568" s="10">
        <f t="shared" si="289"/>
        <v>13.874617271631665</v>
      </c>
      <c r="Q568" s="42">
        <f t="shared" si="290"/>
        <v>0.2619374629126372</v>
      </c>
      <c r="R568" s="4">
        <f t="shared" si="291"/>
        <v>35330.679901483782</v>
      </c>
      <c r="S568">
        <f t="shared" si="272"/>
        <v>3.5330679901483782E-5</v>
      </c>
      <c r="T568" s="41">
        <f t="shared" si="273"/>
        <v>1.4447369214040006E-4</v>
      </c>
      <c r="U568" s="42">
        <f t="shared" si="292"/>
        <v>6.3402671617207709E-2</v>
      </c>
      <c r="V568" s="42">
        <f t="shared" si="293"/>
        <v>0.45584528195926372</v>
      </c>
      <c r="W568" s="42">
        <f t="shared" si="294"/>
        <v>0.45219273271095495</v>
      </c>
      <c r="X568" s="42">
        <f t="shared" si="295"/>
        <v>3.6525492483087674E-3</v>
      </c>
      <c r="Y568" s="42">
        <f t="shared" si="269"/>
        <v>2.226003001426786E-3</v>
      </c>
      <c r="Z568" s="10">
        <f t="shared" si="296"/>
        <v>15.407670202430683</v>
      </c>
      <c r="AA568">
        <f t="shared" si="274"/>
        <v>5082303.4431926757</v>
      </c>
      <c r="AB568" s="10">
        <f t="shared" si="275"/>
        <v>5.0823034431926759</v>
      </c>
      <c r="AC568" s="10">
        <f t="shared" si="276"/>
        <v>4.9813034431926759</v>
      </c>
      <c r="AD568" s="3">
        <f t="shared" si="277"/>
        <v>722.45155086188186</v>
      </c>
      <c r="AI568" s="94">
        <f t="shared" si="278"/>
        <v>0.45219273271095495</v>
      </c>
    </row>
    <row r="569" spans="2:35">
      <c r="B569" s="39">
        <f t="shared" si="279"/>
        <v>541</v>
      </c>
      <c r="C569" s="42">
        <f t="shared" si="280"/>
        <v>3.5936930455597946</v>
      </c>
      <c r="D569" s="10">
        <f t="shared" si="281"/>
        <v>1.9463069544397253</v>
      </c>
      <c r="E569" s="40">
        <f t="shared" si="282"/>
        <v>27.187386091120548</v>
      </c>
      <c r="F569" s="40">
        <f t="shared" si="283"/>
        <v>31.08</v>
      </c>
      <c r="G569" s="3">
        <f t="shared" si="284"/>
        <v>197.6504556355255</v>
      </c>
      <c r="H569" s="3">
        <f t="shared" si="285"/>
        <v>81.256230789298584</v>
      </c>
      <c r="I569">
        <f t="shared" si="270"/>
        <v>8.1256230789298584E-5</v>
      </c>
      <c r="J569" s="4">
        <f t="shared" si="286"/>
        <v>580.53016459004266</v>
      </c>
      <c r="K569" s="40">
        <f t="shared" si="287"/>
        <v>7.1444387581228819</v>
      </c>
      <c r="L569" s="40">
        <f t="shared" si="271"/>
        <v>0</v>
      </c>
      <c r="M569" s="10">
        <f t="shared" si="288"/>
        <v>5.0823034431926759</v>
      </c>
      <c r="N569" s="10">
        <f t="shared" si="267"/>
        <v>8.26</v>
      </c>
      <c r="O569" s="10">
        <f t="shared" si="268"/>
        <v>0.31900000000000001</v>
      </c>
      <c r="P569" s="10">
        <f t="shared" si="289"/>
        <v>13.874373320837075</v>
      </c>
      <c r="Q569" s="42">
        <f t="shared" si="290"/>
        <v>0.26241623667039216</v>
      </c>
      <c r="R569" s="4">
        <f t="shared" si="291"/>
        <v>35209.07107185146</v>
      </c>
      <c r="S569">
        <f t="shared" si="272"/>
        <v>3.5209071071851462E-5</v>
      </c>
      <c r="T569" s="41">
        <f t="shared" si="273"/>
        <v>1.4459530097003236E-4</v>
      </c>
      <c r="U569" s="42">
        <f t="shared" si="292"/>
        <v>6.3184438491991027E-2</v>
      </c>
      <c r="V569" s="42">
        <f t="shared" si="293"/>
        <v>0.45581680633460459</v>
      </c>
      <c r="W569" s="42">
        <f t="shared" si="294"/>
        <v>0.45216730407422651</v>
      </c>
      <c r="X569" s="42">
        <f t="shared" si="295"/>
        <v>3.6495022603780791E-3</v>
      </c>
      <c r="Y569" s="42">
        <f t="shared" si="269"/>
        <v>2.2277502873379227E-3</v>
      </c>
      <c r="Z569" s="10">
        <f t="shared" si="296"/>
        <v>15.406795880591085</v>
      </c>
      <c r="AA569">
        <f t="shared" si="274"/>
        <v>5082020.774733861</v>
      </c>
      <c r="AB569" s="10">
        <f t="shared" si="275"/>
        <v>5.082020774733861</v>
      </c>
      <c r="AC569" s="10">
        <f t="shared" si="276"/>
        <v>4.9810207747338611</v>
      </c>
      <c r="AD569" s="3">
        <f t="shared" si="277"/>
        <v>722.4105547112199</v>
      </c>
      <c r="AI569" s="94">
        <f t="shared" si="278"/>
        <v>0.45216730407422651</v>
      </c>
    </row>
    <row r="570" spans="2:35">
      <c r="B570" s="39">
        <f t="shared" si="279"/>
        <v>542</v>
      </c>
      <c r="C570" s="42">
        <f t="shared" si="280"/>
        <v>3.6003357314111066</v>
      </c>
      <c r="D570" s="10">
        <f t="shared" si="281"/>
        <v>1.9396642685884125</v>
      </c>
      <c r="E570" s="40">
        <f t="shared" si="282"/>
        <v>27.200671462823173</v>
      </c>
      <c r="F570" s="40">
        <f t="shared" si="283"/>
        <v>31.08</v>
      </c>
      <c r="G570" s="3">
        <f t="shared" si="284"/>
        <v>197.59731414871501</v>
      </c>
      <c r="H570" s="3">
        <f t="shared" si="285"/>
        <v>81.256230789298584</v>
      </c>
      <c r="I570">
        <f t="shared" si="270"/>
        <v>8.1256230789298584E-5</v>
      </c>
      <c r="J570" s="4">
        <f t="shared" si="286"/>
        <v>581.09766625441978</v>
      </c>
      <c r="K570" s="40">
        <f t="shared" si="287"/>
        <v>7.1514228584049722</v>
      </c>
      <c r="L570" s="40">
        <f t="shared" si="271"/>
        <v>0</v>
      </c>
      <c r="M570" s="10">
        <f t="shared" si="288"/>
        <v>5.082020774733861</v>
      </c>
      <c r="N570" s="10">
        <f t="shared" si="267"/>
        <v>8.26</v>
      </c>
      <c r="O570" s="10">
        <f t="shared" si="268"/>
        <v>0.31900000000000001</v>
      </c>
      <c r="P570" s="10">
        <f t="shared" si="289"/>
        <v>13.874127154284583</v>
      </c>
      <c r="Q570" s="42">
        <f t="shared" si="290"/>
        <v>0.26289501892295791</v>
      </c>
      <c r="R570" s="4">
        <f t="shared" si="291"/>
        <v>35087.467745198694</v>
      </c>
      <c r="S570">
        <f t="shared" si="272"/>
        <v>3.5087467745198691E-5</v>
      </c>
      <c r="T570" s="41">
        <f t="shared" si="273"/>
        <v>1.4471690429668514E-4</v>
      </c>
      <c r="U570" s="42">
        <f t="shared" si="292"/>
        <v>6.2966215242146309E-2</v>
      </c>
      <c r="V570" s="42">
        <f t="shared" si="293"/>
        <v>0.45578809296977146</v>
      </c>
      <c r="W570" s="42">
        <f t="shared" si="294"/>
        <v>0.45214164544161622</v>
      </c>
      <c r="X570" s="42">
        <f t="shared" si="295"/>
        <v>3.6464475281552389E-3</v>
      </c>
      <c r="Y570" s="42">
        <f t="shared" si="269"/>
        <v>2.2294961416993156E-3</v>
      </c>
      <c r="Z570" s="10">
        <f t="shared" si="296"/>
        <v>15.405913721928503</v>
      </c>
      <c r="AA570">
        <f t="shared" si="274"/>
        <v>5081735.572628309</v>
      </c>
      <c r="AB570" s="10">
        <f t="shared" si="275"/>
        <v>5.0817355726283093</v>
      </c>
      <c r="AC570" s="10">
        <f t="shared" si="276"/>
        <v>4.9807355726283093</v>
      </c>
      <c r="AD570" s="3">
        <f t="shared" si="277"/>
        <v>722.36919109910207</v>
      </c>
      <c r="AI570" s="94">
        <f t="shared" si="278"/>
        <v>0.45214164544161622</v>
      </c>
    </row>
    <row r="571" spans="2:35">
      <c r="B571" s="39">
        <f t="shared" si="279"/>
        <v>543</v>
      </c>
      <c r="C571" s="42">
        <f t="shared" si="280"/>
        <v>3.6069784172624186</v>
      </c>
      <c r="D571" s="10">
        <f t="shared" si="281"/>
        <v>1.9330215827370996</v>
      </c>
      <c r="E571" s="40">
        <f t="shared" si="282"/>
        <v>27.213956834525799</v>
      </c>
      <c r="F571" s="40">
        <f t="shared" si="283"/>
        <v>31.08</v>
      </c>
      <c r="G571" s="3">
        <f t="shared" si="284"/>
        <v>197.54417266190453</v>
      </c>
      <c r="H571" s="3">
        <f t="shared" si="285"/>
        <v>81.256230789298584</v>
      </c>
      <c r="I571">
        <f t="shared" si="270"/>
        <v>8.1256230789298584E-5</v>
      </c>
      <c r="J571" s="4">
        <f t="shared" si="286"/>
        <v>581.66544516607837</v>
      </c>
      <c r="K571" s="40">
        <f t="shared" si="287"/>
        <v>7.1584103706996398</v>
      </c>
      <c r="L571" s="40">
        <f t="shared" si="271"/>
        <v>0</v>
      </c>
      <c r="M571" s="10">
        <f t="shared" si="288"/>
        <v>5.0817355726283093</v>
      </c>
      <c r="N571" s="10">
        <f t="shared" si="267"/>
        <v>8.26</v>
      </c>
      <c r="O571" s="10">
        <f t="shared" si="268"/>
        <v>0.31900000000000001</v>
      </c>
      <c r="P571" s="10">
        <f t="shared" si="289"/>
        <v>13.873878771813242</v>
      </c>
      <c r="Q571" s="42">
        <f t="shared" si="290"/>
        <v>0.26337380974710778</v>
      </c>
      <c r="R571" s="4">
        <f t="shared" si="291"/>
        <v>34965.869965725513</v>
      </c>
      <c r="S571">
        <f t="shared" si="272"/>
        <v>3.4965869965725511E-5</v>
      </c>
      <c r="T571" s="41">
        <f t="shared" si="273"/>
        <v>1.4483850207615832E-4</v>
      </c>
      <c r="U571" s="42">
        <f t="shared" si="292"/>
        <v>6.2748001946992718E-2</v>
      </c>
      <c r="V571" s="42">
        <f t="shared" si="293"/>
        <v>0.45575914187797384</v>
      </c>
      <c r="W571" s="42">
        <f t="shared" si="294"/>
        <v>0.45211575682257221</v>
      </c>
      <c r="X571" s="42">
        <f t="shared" si="295"/>
        <v>3.6433850554016267E-3</v>
      </c>
      <c r="Y571" s="42">
        <f t="shared" si="269"/>
        <v>2.2312405610326867E-3</v>
      </c>
      <c r="Z571" s="10">
        <f t="shared" si="296"/>
        <v>15.405023726767528</v>
      </c>
      <c r="AA571">
        <f t="shared" si="274"/>
        <v>5081447.8369809631</v>
      </c>
      <c r="AB571" s="10">
        <f t="shared" si="275"/>
        <v>5.0814478369809635</v>
      </c>
      <c r="AC571" s="10">
        <f t="shared" si="276"/>
        <v>4.9804478369809635</v>
      </c>
      <c r="AD571" s="3">
        <f t="shared" si="277"/>
        <v>722.32746004074886</v>
      </c>
      <c r="AI571" s="94">
        <f t="shared" si="278"/>
        <v>0.45211575682257221</v>
      </c>
    </row>
    <row r="572" spans="2:35">
      <c r="B572" s="39">
        <f t="shared" si="279"/>
        <v>544</v>
      </c>
      <c r="C572" s="42">
        <f t="shared" si="280"/>
        <v>3.6136211031137306</v>
      </c>
      <c r="D572" s="10">
        <f t="shared" si="281"/>
        <v>1.9263788968857867</v>
      </c>
      <c r="E572" s="40">
        <f t="shared" si="282"/>
        <v>27.227242206228425</v>
      </c>
      <c r="F572" s="40">
        <f t="shared" si="283"/>
        <v>31.08</v>
      </c>
      <c r="G572" s="3">
        <f t="shared" si="284"/>
        <v>197.49103117509404</v>
      </c>
      <c r="H572" s="3">
        <f t="shared" si="285"/>
        <v>81.256230789298584</v>
      </c>
      <c r="I572">
        <f t="shared" si="270"/>
        <v>8.1256230789298584E-5</v>
      </c>
      <c r="J572" s="4">
        <f t="shared" si="286"/>
        <v>582.23350132501855</v>
      </c>
      <c r="K572" s="40">
        <f t="shared" si="287"/>
        <v>7.1654012950068866</v>
      </c>
      <c r="L572" s="40">
        <f t="shared" si="271"/>
        <v>0</v>
      </c>
      <c r="M572" s="10">
        <f t="shared" si="288"/>
        <v>5.0814478369809635</v>
      </c>
      <c r="N572" s="10">
        <f t="shared" si="267"/>
        <v>8.26</v>
      </c>
      <c r="O572" s="10">
        <f t="shared" si="268"/>
        <v>0.31900000000000001</v>
      </c>
      <c r="P572" s="10">
        <f t="shared" si="289"/>
        <v>13.873628173260556</v>
      </c>
      <c r="Q572" s="42">
        <f t="shared" si="290"/>
        <v>0.26385260921962894</v>
      </c>
      <c r="R572" s="4">
        <f t="shared" si="291"/>
        <v>34844.277777631884</v>
      </c>
      <c r="S572">
        <f t="shared" si="272"/>
        <v>3.4844277777631884E-5</v>
      </c>
      <c r="T572" s="41">
        <f t="shared" si="273"/>
        <v>1.4496009426425194E-4</v>
      </c>
      <c r="U572" s="42">
        <f t="shared" si="292"/>
        <v>6.2529798685849292E-2</v>
      </c>
      <c r="V572" s="42">
        <f t="shared" si="293"/>
        <v>0.45572995307295755</v>
      </c>
      <c r="W572" s="42">
        <f t="shared" si="294"/>
        <v>0.45208963822662035</v>
      </c>
      <c r="X572" s="42">
        <f t="shared" si="295"/>
        <v>3.6403148463372004E-3</v>
      </c>
      <c r="Y572" s="42">
        <f t="shared" si="269"/>
        <v>2.2329835418609238E-3</v>
      </c>
      <c r="Z572" s="10">
        <f t="shared" si="296"/>
        <v>15.404125895436806</v>
      </c>
      <c r="AA572">
        <f t="shared" si="274"/>
        <v>5081157.5678980732</v>
      </c>
      <c r="AB572" s="10">
        <f t="shared" si="275"/>
        <v>5.0811575678980736</v>
      </c>
      <c r="AC572" s="10">
        <f t="shared" si="276"/>
        <v>4.9801575678980736</v>
      </c>
      <c r="AD572" s="3">
        <f t="shared" si="277"/>
        <v>722.28536155156974</v>
      </c>
      <c r="AI572" s="94">
        <f t="shared" si="278"/>
        <v>0.45208963822662035</v>
      </c>
    </row>
    <row r="573" spans="2:35">
      <c r="B573" s="39">
        <f t="shared" si="279"/>
        <v>545</v>
      </c>
      <c r="C573" s="42">
        <f t="shared" si="280"/>
        <v>3.6202637889650426</v>
      </c>
      <c r="D573" s="10">
        <f t="shared" si="281"/>
        <v>1.9197362110344738</v>
      </c>
      <c r="E573" s="40">
        <f t="shared" si="282"/>
        <v>27.240527577931051</v>
      </c>
      <c r="F573" s="40">
        <f t="shared" si="283"/>
        <v>31.08</v>
      </c>
      <c r="G573" s="3">
        <f t="shared" si="284"/>
        <v>197.43788968828355</v>
      </c>
      <c r="H573" s="3">
        <f t="shared" si="285"/>
        <v>81.256230789298584</v>
      </c>
      <c r="I573">
        <f t="shared" si="270"/>
        <v>8.1256230789298584E-5</v>
      </c>
      <c r="J573" s="4">
        <f t="shared" si="286"/>
        <v>582.80183473124043</v>
      </c>
      <c r="K573" s="40">
        <f t="shared" si="287"/>
        <v>7.1723956313267143</v>
      </c>
      <c r="L573" s="40">
        <f t="shared" si="271"/>
        <v>0</v>
      </c>
      <c r="M573" s="10">
        <f t="shared" si="288"/>
        <v>5.0811575678980736</v>
      </c>
      <c r="N573" s="10">
        <f t="shared" si="267"/>
        <v>8.26</v>
      </c>
      <c r="O573" s="10">
        <f t="shared" si="268"/>
        <v>0.31900000000000001</v>
      </c>
      <c r="P573" s="10">
        <f t="shared" si="289"/>
        <v>13.873375358462896</v>
      </c>
      <c r="Q573" s="42">
        <f t="shared" si="290"/>
        <v>0.26433141741732252</v>
      </c>
      <c r="R573" s="4">
        <f t="shared" si="291"/>
        <v>34722.691225117815</v>
      </c>
      <c r="S573">
        <f t="shared" si="272"/>
        <v>3.4722691225117817E-5</v>
      </c>
      <c r="T573" s="41">
        <f t="shared" si="273"/>
        <v>1.45081680816766E-4</v>
      </c>
      <c r="U573" s="42">
        <f t="shared" si="292"/>
        <v>6.2311605538035171E-2</v>
      </c>
      <c r="V573" s="42">
        <f t="shared" si="293"/>
        <v>0.4557005265681684</v>
      </c>
      <c r="W573" s="42">
        <f t="shared" si="294"/>
        <v>0.45206328966340525</v>
      </c>
      <c r="X573" s="42">
        <f t="shared" si="295"/>
        <v>3.6372369047631414E-3</v>
      </c>
      <c r="Y573" s="42">
        <f t="shared" si="269"/>
        <v>2.2347250807078778E-3</v>
      </c>
      <c r="Z573" s="10">
        <f t="shared" si="296"/>
        <v>15.40322022826763</v>
      </c>
      <c r="AA573">
        <f t="shared" si="274"/>
        <v>5080864.7654867461</v>
      </c>
      <c r="AB573" s="10">
        <f t="shared" si="275"/>
        <v>5.080864765486746</v>
      </c>
      <c r="AC573" s="10">
        <f t="shared" si="276"/>
        <v>4.9798647654867461</v>
      </c>
      <c r="AD573" s="3">
        <f t="shared" si="277"/>
        <v>722.24289564709875</v>
      </c>
      <c r="AI573" s="94">
        <f t="shared" si="278"/>
        <v>0.45206328966340525</v>
      </c>
    </row>
    <row r="574" spans="2:35">
      <c r="B574" s="39">
        <f t="shared" si="279"/>
        <v>546</v>
      </c>
      <c r="C574" s="42">
        <f t="shared" si="280"/>
        <v>3.6269064748163546</v>
      </c>
      <c r="D574" s="10">
        <f t="shared" si="281"/>
        <v>1.9130935251831609</v>
      </c>
      <c r="E574" s="40">
        <f t="shared" si="282"/>
        <v>27.253812949633677</v>
      </c>
      <c r="F574" s="40">
        <f t="shared" si="283"/>
        <v>31.08</v>
      </c>
      <c r="G574" s="3">
        <f t="shared" si="284"/>
        <v>197.38474820147306</v>
      </c>
      <c r="H574" s="3">
        <f t="shared" si="285"/>
        <v>81.256230789298584</v>
      </c>
      <c r="I574">
        <f t="shared" si="270"/>
        <v>8.1256230789298584E-5</v>
      </c>
      <c r="J574" s="4">
        <f t="shared" si="286"/>
        <v>583.37044538474379</v>
      </c>
      <c r="K574" s="40">
        <f t="shared" si="287"/>
        <v>7.1793933796591194</v>
      </c>
      <c r="L574" s="40">
        <f t="shared" si="271"/>
        <v>0</v>
      </c>
      <c r="M574" s="10">
        <f t="shared" si="288"/>
        <v>5.080864765486746</v>
      </c>
      <c r="N574" s="10">
        <f t="shared" si="267"/>
        <v>8.26</v>
      </c>
      <c r="O574" s="10">
        <f t="shared" si="268"/>
        <v>0.31900000000000001</v>
      </c>
      <c r="P574" s="10">
        <f t="shared" si="289"/>
        <v>13.873120327255087</v>
      </c>
      <c r="Q574" s="42">
        <f t="shared" si="290"/>
        <v>0.26481023441700369</v>
      </c>
      <c r="R574" s="4">
        <f t="shared" si="291"/>
        <v>34601.110352383301</v>
      </c>
      <c r="S574">
        <f t="shared" si="272"/>
        <v>3.4601110352383301E-5</v>
      </c>
      <c r="T574" s="41">
        <f t="shared" si="273"/>
        <v>1.4520326168950053E-4</v>
      </c>
      <c r="U574" s="42">
        <f t="shared" si="292"/>
        <v>6.2093422582869449E-2</v>
      </c>
      <c r="V574" s="42">
        <f t="shared" si="293"/>
        <v>0.4556708623774966</v>
      </c>
      <c r="W574" s="42">
        <f t="shared" si="294"/>
        <v>0.45203671114264937</v>
      </c>
      <c r="X574" s="42">
        <f t="shared" si="295"/>
        <v>3.6341512348472271E-3</v>
      </c>
      <c r="Y574" s="42">
        <f t="shared" si="269"/>
        <v>2.236465174098535E-3</v>
      </c>
      <c r="Z574" s="10">
        <f t="shared" si="296"/>
        <v>15.402306725595071</v>
      </c>
      <c r="AA574">
        <f t="shared" si="274"/>
        <v>5080569.4298553113</v>
      </c>
      <c r="AB574" s="10">
        <f t="shared" si="275"/>
        <v>5.080569429855311</v>
      </c>
      <c r="AC574" s="10">
        <f t="shared" si="276"/>
        <v>4.979569429855311</v>
      </c>
      <c r="AD574" s="3">
        <f t="shared" si="277"/>
        <v>722.20006234304731</v>
      </c>
      <c r="AI574" s="94">
        <f t="shared" si="278"/>
        <v>0.45203671114264937</v>
      </c>
    </row>
    <row r="575" spans="2:35">
      <c r="B575" s="39">
        <f t="shared" si="279"/>
        <v>547</v>
      </c>
      <c r="C575" s="42">
        <f t="shared" si="280"/>
        <v>3.6335491606676666</v>
      </c>
      <c r="D575" s="10">
        <f t="shared" si="281"/>
        <v>1.906450839331848</v>
      </c>
      <c r="E575" s="40">
        <f t="shared" si="282"/>
        <v>27.267098321336302</v>
      </c>
      <c r="F575" s="40">
        <f t="shared" si="283"/>
        <v>31.08</v>
      </c>
      <c r="G575" s="3">
        <f t="shared" si="284"/>
        <v>197.33160671466257</v>
      </c>
      <c r="H575" s="3">
        <f t="shared" si="285"/>
        <v>81.256230789298584</v>
      </c>
      <c r="I575">
        <f t="shared" si="270"/>
        <v>8.1256230789298584E-5</v>
      </c>
      <c r="J575" s="4">
        <f t="shared" si="286"/>
        <v>583.93933328552873</v>
      </c>
      <c r="K575" s="40">
        <f t="shared" si="287"/>
        <v>7.1863945400041045</v>
      </c>
      <c r="L575" s="40">
        <f t="shared" si="271"/>
        <v>0</v>
      </c>
      <c r="M575" s="10">
        <f t="shared" si="288"/>
        <v>5.080569429855311</v>
      </c>
      <c r="N575" s="10">
        <f t="shared" si="267"/>
        <v>8.26</v>
      </c>
      <c r="O575" s="10">
        <f t="shared" si="268"/>
        <v>0.31900000000000001</v>
      </c>
      <c r="P575" s="10">
        <f t="shared" si="289"/>
        <v>13.872863079470747</v>
      </c>
      <c r="Q575" s="42">
        <f t="shared" si="290"/>
        <v>0.26528906029550181</v>
      </c>
      <c r="R575" s="4">
        <f t="shared" si="291"/>
        <v>34479.535203628358</v>
      </c>
      <c r="S575">
        <f t="shared" si="272"/>
        <v>3.4479535203628357E-5</v>
      </c>
      <c r="T575" s="41">
        <f t="shared" si="273"/>
        <v>1.4532483683825549E-4</v>
      </c>
      <c r="U575" s="42">
        <f t="shared" si="292"/>
        <v>6.1875249899671268E-2</v>
      </c>
      <c r="V575" s="42">
        <f t="shared" si="293"/>
        <v>0.45564096051470226</v>
      </c>
      <c r="W575" s="42">
        <f t="shared" si="294"/>
        <v>0.45200990267418611</v>
      </c>
      <c r="X575" s="42">
        <f t="shared" si="295"/>
        <v>3.6310578405161498E-3</v>
      </c>
      <c r="Y575" s="42">
        <f t="shared" si="269"/>
        <v>2.2382038185588976E-3</v>
      </c>
      <c r="Z575" s="10">
        <f t="shared" si="296"/>
        <v>15.401385387757133</v>
      </c>
      <c r="AA575">
        <f t="shared" si="274"/>
        <v>5080271.5611130437</v>
      </c>
      <c r="AB575" s="10">
        <f t="shared" si="275"/>
        <v>5.0802715611130438</v>
      </c>
      <c r="AC575" s="10">
        <f t="shared" si="276"/>
        <v>4.9792715611130438</v>
      </c>
      <c r="AD575" s="3">
        <f t="shared" si="277"/>
        <v>722.15686165526381</v>
      </c>
      <c r="AI575" s="94">
        <f t="shared" si="278"/>
        <v>0.45200990267418611</v>
      </c>
    </row>
    <row r="576" spans="2:35">
      <c r="B576" s="39">
        <f t="shared" si="279"/>
        <v>548</v>
      </c>
      <c r="C576" s="42">
        <f t="shared" si="280"/>
        <v>3.6401918465189786</v>
      </c>
      <c r="D576" s="10">
        <f t="shared" si="281"/>
        <v>1.8998081534805351</v>
      </c>
      <c r="E576" s="40">
        <f t="shared" si="282"/>
        <v>27.280383693038928</v>
      </c>
      <c r="F576" s="40">
        <f t="shared" si="283"/>
        <v>31.08</v>
      </c>
      <c r="G576" s="3">
        <f t="shared" si="284"/>
        <v>197.27846522785208</v>
      </c>
      <c r="H576" s="3">
        <f t="shared" si="285"/>
        <v>81.256230789298584</v>
      </c>
      <c r="I576">
        <f t="shared" si="270"/>
        <v>8.1256230789298584E-5</v>
      </c>
      <c r="J576" s="4">
        <f t="shared" si="286"/>
        <v>584.50849843359515</v>
      </c>
      <c r="K576" s="40">
        <f t="shared" si="287"/>
        <v>7.1933991123616661</v>
      </c>
      <c r="L576" s="40">
        <f t="shared" si="271"/>
        <v>0</v>
      </c>
      <c r="M576" s="10">
        <f t="shared" si="288"/>
        <v>5.0802715611130438</v>
      </c>
      <c r="N576" s="10">
        <f t="shared" si="267"/>
        <v>8.26</v>
      </c>
      <c r="O576" s="10">
        <f t="shared" si="268"/>
        <v>0.31900000000000001</v>
      </c>
      <c r="P576" s="10">
        <f t="shared" si="289"/>
        <v>13.872603614942026</v>
      </c>
      <c r="Q576" s="42">
        <f t="shared" si="290"/>
        <v>0.26576789512966065</v>
      </c>
      <c r="R576" s="4">
        <f t="shared" si="291"/>
        <v>34357.965823052975</v>
      </c>
      <c r="S576">
        <f t="shared" si="272"/>
        <v>3.4357965823052973E-5</v>
      </c>
      <c r="T576" s="41">
        <f t="shared" si="273"/>
        <v>1.4544640621883085E-4</v>
      </c>
      <c r="U576" s="42">
        <f t="shared" si="292"/>
        <v>6.1657087567759714E-2</v>
      </c>
      <c r="V576" s="42">
        <f t="shared" si="293"/>
        <v>0.45561082099383565</v>
      </c>
      <c r="W576" s="42">
        <f t="shared" si="294"/>
        <v>0.45198286426793455</v>
      </c>
      <c r="X576" s="42">
        <f t="shared" si="295"/>
        <v>3.6279567259011047E-3</v>
      </c>
      <c r="Y576" s="42">
        <f t="shared" si="269"/>
        <v>2.2399410106160797E-3</v>
      </c>
      <c r="Z576" s="10">
        <f t="shared" si="296"/>
        <v>15.400456215095373</v>
      </c>
      <c r="AA576">
        <f t="shared" si="274"/>
        <v>5079971.1593703702</v>
      </c>
      <c r="AB576" s="10">
        <f t="shared" si="275"/>
        <v>5.0799711593703698</v>
      </c>
      <c r="AC576" s="10">
        <f t="shared" si="276"/>
        <v>4.9789711593703698</v>
      </c>
      <c r="AD576" s="3">
        <f t="shared" si="277"/>
        <v>722.11329359976367</v>
      </c>
      <c r="AI576" s="94">
        <f t="shared" si="278"/>
        <v>0.45198286426793455</v>
      </c>
    </row>
    <row r="577" spans="2:35">
      <c r="B577" s="39">
        <f t="shared" si="279"/>
        <v>549</v>
      </c>
      <c r="C577" s="42">
        <f t="shared" si="280"/>
        <v>3.6468345323702906</v>
      </c>
      <c r="D577" s="10">
        <f t="shared" si="281"/>
        <v>1.8931654676292222</v>
      </c>
      <c r="E577" s="40">
        <f t="shared" si="282"/>
        <v>27.293669064741554</v>
      </c>
      <c r="F577" s="40">
        <f t="shared" si="283"/>
        <v>31.08</v>
      </c>
      <c r="G577" s="3">
        <f t="shared" si="284"/>
        <v>197.22532374104159</v>
      </c>
      <c r="H577" s="3">
        <f t="shared" si="285"/>
        <v>81.256230789298584</v>
      </c>
      <c r="I577">
        <f t="shared" si="270"/>
        <v>8.1256230789298584E-5</v>
      </c>
      <c r="J577" s="4">
        <f t="shared" si="286"/>
        <v>585.07794082894316</v>
      </c>
      <c r="K577" s="40">
        <f t="shared" si="287"/>
        <v>7.2004070967318077</v>
      </c>
      <c r="L577" s="40">
        <f t="shared" si="271"/>
        <v>0</v>
      </c>
      <c r="M577" s="10">
        <f t="shared" si="288"/>
        <v>5.0799711593703698</v>
      </c>
      <c r="N577" s="10">
        <f t="shared" si="267"/>
        <v>8.26</v>
      </c>
      <c r="O577" s="10">
        <f t="shared" si="268"/>
        <v>0.31900000000000001</v>
      </c>
      <c r="P577" s="10">
        <f t="shared" si="289"/>
        <v>13.872341933499793</v>
      </c>
      <c r="Q577" s="42">
        <f t="shared" si="290"/>
        <v>0.26624673899633833</v>
      </c>
      <c r="R577" s="4">
        <f t="shared" si="291"/>
        <v>34236.402254857159</v>
      </c>
      <c r="S577">
        <f t="shared" si="272"/>
        <v>3.4236402254857159E-5</v>
      </c>
      <c r="T577" s="41">
        <f t="shared" si="273"/>
        <v>1.4556796978702668E-4</v>
      </c>
      <c r="U577" s="42">
        <f t="shared" si="292"/>
        <v>6.1438935666453906E-2</v>
      </c>
      <c r="V577" s="42">
        <f t="shared" si="293"/>
        <v>0.45558044382899016</v>
      </c>
      <c r="W577" s="42">
        <f t="shared" si="294"/>
        <v>0.4519555959339186</v>
      </c>
      <c r="X577" s="42">
        <f t="shared" si="295"/>
        <v>3.624847895071559E-3</v>
      </c>
      <c r="Y577" s="42">
        <f t="shared" si="269"/>
        <v>2.241676746798274E-3</v>
      </c>
      <c r="Z577" s="10">
        <f t="shared" si="296"/>
        <v>15.399519207954611</v>
      </c>
      <c r="AA577">
        <f t="shared" si="274"/>
        <v>5079668.224738772</v>
      </c>
      <c r="AB577" s="10">
        <f t="shared" si="275"/>
        <v>5.0796682247387723</v>
      </c>
      <c r="AC577" s="10">
        <f t="shared" si="276"/>
        <v>4.9786682247387724</v>
      </c>
      <c r="AD577" s="3">
        <f t="shared" si="277"/>
        <v>722.0693581927153</v>
      </c>
      <c r="AI577" s="94">
        <f t="shared" si="278"/>
        <v>0.4519555959339186</v>
      </c>
    </row>
    <row r="578" spans="2:35">
      <c r="B578" s="39">
        <f t="shared" si="279"/>
        <v>550</v>
      </c>
      <c r="C578" s="42">
        <f t="shared" si="280"/>
        <v>3.6534772182216027</v>
      </c>
      <c r="D578" s="10">
        <f t="shared" si="281"/>
        <v>1.8865227817779093</v>
      </c>
      <c r="E578" s="40">
        <f t="shared" si="282"/>
        <v>27.30695443644418</v>
      </c>
      <c r="F578" s="40">
        <f t="shared" si="283"/>
        <v>31.08</v>
      </c>
      <c r="G578" s="3">
        <f t="shared" si="284"/>
        <v>197.1721822542311</v>
      </c>
      <c r="H578" s="3">
        <f t="shared" si="285"/>
        <v>81.256230789298584</v>
      </c>
      <c r="I578">
        <f t="shared" si="270"/>
        <v>8.1256230789298584E-5</v>
      </c>
      <c r="J578" s="4">
        <f t="shared" si="286"/>
        <v>585.64766047157275</v>
      </c>
      <c r="K578" s="40">
        <f t="shared" si="287"/>
        <v>7.2074184931145284</v>
      </c>
      <c r="L578" s="40">
        <f t="shared" si="271"/>
        <v>0</v>
      </c>
      <c r="M578" s="10">
        <f t="shared" si="288"/>
        <v>5.0796682247387723</v>
      </c>
      <c r="N578" s="10">
        <f t="shared" si="267"/>
        <v>8.26</v>
      </c>
      <c r="O578" s="10">
        <f t="shared" si="268"/>
        <v>0.31900000000000001</v>
      </c>
      <c r="P578" s="10">
        <f t="shared" si="289"/>
        <v>13.872078034973562</v>
      </c>
      <c r="Q578" s="42">
        <f t="shared" si="290"/>
        <v>0.26672559197240758</v>
      </c>
      <c r="R578" s="4">
        <f t="shared" si="291"/>
        <v>34114.84454324087</v>
      </c>
      <c r="S578">
        <f t="shared" si="272"/>
        <v>3.4114844543240868E-5</v>
      </c>
      <c r="T578" s="41">
        <f t="shared" si="273"/>
        <v>1.4568952749864297E-4</v>
      </c>
      <c r="U578" s="42">
        <f t="shared" si="292"/>
        <v>6.1220794275072897E-2</v>
      </c>
      <c r="V578" s="42">
        <f t="shared" si="293"/>
        <v>0.45554982903449659</v>
      </c>
      <c r="W578" s="42">
        <f t="shared" si="294"/>
        <v>0.45192809768225761</v>
      </c>
      <c r="X578" s="42">
        <f t="shared" si="295"/>
        <v>3.6217313522389771E-3</v>
      </c>
      <c r="Y578" s="42">
        <f t="shared" si="269"/>
        <v>2.243411023634817E-3</v>
      </c>
      <c r="Z578" s="10">
        <f t="shared" si="296"/>
        <v>15.398574366683381</v>
      </c>
      <c r="AA578">
        <f t="shared" si="274"/>
        <v>5079362.757330928</v>
      </c>
      <c r="AB578" s="10">
        <f t="shared" si="275"/>
        <v>5.0793627573309283</v>
      </c>
      <c r="AC578" s="10">
        <f t="shared" si="276"/>
        <v>4.9783627573309284</v>
      </c>
      <c r="AD578" s="3">
        <f t="shared" si="277"/>
        <v>722.02505545046097</v>
      </c>
      <c r="AI578" s="94">
        <f t="shared" si="278"/>
        <v>0.45192809768225761</v>
      </c>
    </row>
    <row r="579" spans="2:35">
      <c r="B579" s="39">
        <f t="shared" si="279"/>
        <v>551</v>
      </c>
      <c r="C579" s="42">
        <f t="shared" si="280"/>
        <v>3.6601199040729147</v>
      </c>
      <c r="D579" s="10">
        <f t="shared" si="281"/>
        <v>1.8798800959265964</v>
      </c>
      <c r="E579" s="40">
        <f t="shared" si="282"/>
        <v>27.320239808146805</v>
      </c>
      <c r="F579" s="40">
        <f t="shared" si="283"/>
        <v>31.08</v>
      </c>
      <c r="G579" s="3">
        <f t="shared" si="284"/>
        <v>197.11904076742061</v>
      </c>
      <c r="H579" s="3">
        <f t="shared" si="285"/>
        <v>81.256230789298584</v>
      </c>
      <c r="I579">
        <f t="shared" si="270"/>
        <v>8.1256230789298584E-5</v>
      </c>
      <c r="J579" s="4">
        <f t="shared" si="286"/>
        <v>586.21765736148393</v>
      </c>
      <c r="K579" s="40">
        <f t="shared" si="287"/>
        <v>7.2144333015098283</v>
      </c>
      <c r="L579" s="40">
        <f t="shared" si="271"/>
        <v>0</v>
      </c>
      <c r="M579" s="10">
        <f t="shared" si="288"/>
        <v>5.0793627573309283</v>
      </c>
      <c r="N579" s="10">
        <f t="shared" si="267"/>
        <v>8.26</v>
      </c>
      <c r="O579" s="10">
        <f t="shared" si="268"/>
        <v>0.31900000000000001</v>
      </c>
      <c r="P579" s="10">
        <f t="shared" si="289"/>
        <v>13.871811919191588</v>
      </c>
      <c r="Q579" s="42">
        <f t="shared" si="290"/>
        <v>0.2672044541347558</v>
      </c>
      <c r="R579" s="4">
        <f t="shared" si="291"/>
        <v>33993.292732404145</v>
      </c>
      <c r="S579">
        <f t="shared" si="272"/>
        <v>3.3993292732404145E-5</v>
      </c>
      <c r="T579" s="41">
        <f t="shared" si="273"/>
        <v>1.458110793094797E-4</v>
      </c>
      <c r="U579" s="42">
        <f t="shared" si="292"/>
        <v>6.1002663472935856E-2</v>
      </c>
      <c r="V579" s="42">
        <f t="shared" si="293"/>
        <v>0.45551897662447338</v>
      </c>
      <c r="W579" s="42">
        <f t="shared" si="294"/>
        <v>0.45190036952317991</v>
      </c>
      <c r="X579" s="42">
        <f t="shared" si="295"/>
        <v>3.6186071012934695E-3</v>
      </c>
      <c r="Y579" s="42">
        <f t="shared" si="269"/>
        <v>2.2451438376560311E-3</v>
      </c>
      <c r="Z579" s="10">
        <f t="shared" si="296"/>
        <v>15.397621691632773</v>
      </c>
      <c r="AA579">
        <f t="shared" si="274"/>
        <v>5079054.7572603468</v>
      </c>
      <c r="AB579" s="10">
        <f t="shared" si="275"/>
        <v>5.0790547572603471</v>
      </c>
      <c r="AC579" s="10">
        <f t="shared" si="276"/>
        <v>4.9780547572603471</v>
      </c>
      <c r="AD579" s="3">
        <f t="shared" si="277"/>
        <v>721.98038538946287</v>
      </c>
      <c r="AI579" s="94">
        <f t="shared" si="278"/>
        <v>0.45190036952317991</v>
      </c>
    </row>
    <row r="580" spans="2:35">
      <c r="B580" s="39">
        <f t="shared" si="279"/>
        <v>552</v>
      </c>
      <c r="C580" s="42">
        <f t="shared" si="280"/>
        <v>3.6667625899242267</v>
      </c>
      <c r="D580" s="10">
        <f t="shared" si="281"/>
        <v>1.8732374100752835</v>
      </c>
      <c r="E580" s="40">
        <f t="shared" si="282"/>
        <v>27.333525179849431</v>
      </c>
      <c r="F580" s="40">
        <f t="shared" si="283"/>
        <v>31.08</v>
      </c>
      <c r="G580" s="3">
        <f t="shared" si="284"/>
        <v>197.06589928061013</v>
      </c>
      <c r="H580" s="3">
        <f t="shared" si="285"/>
        <v>81.256230789298584</v>
      </c>
      <c r="I580">
        <f t="shared" si="270"/>
        <v>8.1256230789298584E-5</v>
      </c>
      <c r="J580" s="4">
        <f t="shared" si="286"/>
        <v>586.78793149867658</v>
      </c>
      <c r="K580" s="40">
        <f t="shared" si="287"/>
        <v>7.2214515219177056</v>
      </c>
      <c r="L580" s="40">
        <f t="shared" si="271"/>
        <v>0</v>
      </c>
      <c r="M580" s="10">
        <f t="shared" si="288"/>
        <v>5.0790547572603471</v>
      </c>
      <c r="N580" s="10">
        <f t="shared" si="267"/>
        <v>8.26</v>
      </c>
      <c r="O580" s="10">
        <f t="shared" si="268"/>
        <v>0.31900000000000001</v>
      </c>
      <c r="P580" s="10">
        <f t="shared" si="289"/>
        <v>13.871543585980573</v>
      </c>
      <c r="Q580" s="42">
        <f t="shared" si="290"/>
        <v>0.26768332556028523</v>
      </c>
      <c r="R580" s="4">
        <f t="shared" si="291"/>
        <v>33871.746866546979</v>
      </c>
      <c r="S580">
        <f t="shared" si="272"/>
        <v>3.3871746866546976E-5</v>
      </c>
      <c r="T580" s="41">
        <f t="shared" si="273"/>
        <v>1.4593262517533686E-4</v>
      </c>
      <c r="U580" s="42">
        <f t="shared" si="292"/>
        <v>6.0784543339361875E-2</v>
      </c>
      <c r="V580" s="42">
        <f t="shared" si="293"/>
        <v>0.45548788661346495</v>
      </c>
      <c r="W580" s="42">
        <f t="shared" si="294"/>
        <v>0.45187241146698887</v>
      </c>
      <c r="X580" s="42">
        <f t="shared" si="295"/>
        <v>3.6154751464760881E-3</v>
      </c>
      <c r="Y580" s="42">
        <f t="shared" si="269"/>
        <v>2.2468751853933905E-3</v>
      </c>
      <c r="Z580" s="10">
        <f t="shared" si="296"/>
        <v>15.396661183157558</v>
      </c>
      <c r="AA580">
        <f t="shared" si="274"/>
        <v>5078744.2246417264</v>
      </c>
      <c r="AB580" s="10">
        <f t="shared" si="275"/>
        <v>5.078744224641726</v>
      </c>
      <c r="AC580" s="10">
        <f t="shared" si="276"/>
        <v>4.9777442246417261</v>
      </c>
      <c r="AD580" s="3">
        <f t="shared" si="277"/>
        <v>721.93534802635622</v>
      </c>
      <c r="AI580" s="94">
        <f t="shared" si="278"/>
        <v>0.45187241146698887</v>
      </c>
    </row>
    <row r="581" spans="2:35">
      <c r="B581" s="39">
        <f t="shared" si="279"/>
        <v>553</v>
      </c>
      <c r="C581" s="42">
        <f t="shared" si="280"/>
        <v>3.6734052757755387</v>
      </c>
      <c r="D581" s="10">
        <f t="shared" si="281"/>
        <v>1.8665947242239707</v>
      </c>
      <c r="E581" s="40">
        <f t="shared" si="282"/>
        <v>27.346810551552057</v>
      </c>
      <c r="F581" s="40">
        <f t="shared" si="283"/>
        <v>31.08</v>
      </c>
      <c r="G581" s="3">
        <f t="shared" si="284"/>
        <v>197.01275779379964</v>
      </c>
      <c r="H581" s="3">
        <f t="shared" si="285"/>
        <v>81.256230789298584</v>
      </c>
      <c r="I581">
        <f t="shared" si="270"/>
        <v>8.1256230789298584E-5</v>
      </c>
      <c r="J581" s="4">
        <f t="shared" si="286"/>
        <v>587.35848288315094</v>
      </c>
      <c r="K581" s="40">
        <f t="shared" si="287"/>
        <v>7.2284731543381637</v>
      </c>
      <c r="L581" s="40">
        <f t="shared" si="271"/>
        <v>0</v>
      </c>
      <c r="M581" s="10">
        <f t="shared" si="288"/>
        <v>5.078744224641726</v>
      </c>
      <c r="N581" s="10">
        <f t="shared" si="267"/>
        <v>8.26</v>
      </c>
      <c r="O581" s="10">
        <f t="shared" si="268"/>
        <v>0.31900000000000001</v>
      </c>
      <c r="P581" s="10">
        <f t="shared" si="289"/>
        <v>13.871273035165972</v>
      </c>
      <c r="Q581" s="42">
        <f t="shared" si="290"/>
        <v>0.26816220632591298</v>
      </c>
      <c r="R581" s="4">
        <f t="shared" si="291"/>
        <v>33750.206989869344</v>
      </c>
      <c r="S581">
        <f t="shared" si="272"/>
        <v>3.3750206989869344E-5</v>
      </c>
      <c r="T581" s="41">
        <f t="shared" si="273"/>
        <v>1.4605416505201449E-4</v>
      </c>
      <c r="U581" s="42">
        <f t="shared" si="292"/>
        <v>6.0566433953670028E-2</v>
      </c>
      <c r="V581" s="42">
        <f t="shared" si="293"/>
        <v>0.45545655901618437</v>
      </c>
      <c r="W581" s="42">
        <f t="shared" si="294"/>
        <v>0.45184422352409598</v>
      </c>
      <c r="X581" s="42">
        <f t="shared" si="295"/>
        <v>3.6123354920883921E-3</v>
      </c>
      <c r="Y581" s="42">
        <f t="shared" si="269"/>
        <v>2.2486050633795458E-3</v>
      </c>
      <c r="Z581" s="10">
        <f t="shared" si="296"/>
        <v>15.395692841616306</v>
      </c>
      <c r="AA581">
        <f t="shared" si="274"/>
        <v>5078431.1595909912</v>
      </c>
      <c r="AB581" s="10">
        <f t="shared" si="275"/>
        <v>5.0784311595909912</v>
      </c>
      <c r="AC581" s="10">
        <f t="shared" si="276"/>
        <v>4.9774311595909912</v>
      </c>
      <c r="AD581" s="3">
        <f t="shared" si="277"/>
        <v>721.88994337795373</v>
      </c>
      <c r="AI581" s="94">
        <f t="shared" si="278"/>
        <v>0.45184422352409598</v>
      </c>
    </row>
    <row r="582" spans="2:35">
      <c r="B582" s="39">
        <f t="shared" si="279"/>
        <v>554</v>
      </c>
      <c r="C582" s="42">
        <f t="shared" si="280"/>
        <v>3.6800479616268507</v>
      </c>
      <c r="D582" s="10">
        <f t="shared" si="281"/>
        <v>1.8599520383726578</v>
      </c>
      <c r="E582" s="40">
        <f t="shared" si="282"/>
        <v>27.360095923254683</v>
      </c>
      <c r="F582" s="40">
        <f t="shared" si="283"/>
        <v>31.08</v>
      </c>
      <c r="G582" s="3">
        <f t="shared" si="284"/>
        <v>196.95961630698915</v>
      </c>
      <c r="H582" s="3">
        <f t="shared" si="285"/>
        <v>81.256230789298584</v>
      </c>
      <c r="I582">
        <f t="shared" si="270"/>
        <v>8.1256230789298584E-5</v>
      </c>
      <c r="J582" s="4">
        <f t="shared" si="286"/>
        <v>587.92931151490666</v>
      </c>
      <c r="K582" s="40">
        <f t="shared" si="287"/>
        <v>7.2354981987711975</v>
      </c>
      <c r="L582" s="40">
        <f t="shared" si="271"/>
        <v>0</v>
      </c>
      <c r="M582" s="10">
        <f t="shared" si="288"/>
        <v>5.0784311595909912</v>
      </c>
      <c r="N582" s="10">
        <f t="shared" si="267"/>
        <v>8.26</v>
      </c>
      <c r="O582" s="10">
        <f t="shared" si="268"/>
        <v>0.31900000000000001</v>
      </c>
      <c r="P582" s="10">
        <f t="shared" si="289"/>
        <v>13.871000266572011</v>
      </c>
      <c r="Q582" s="42">
        <f t="shared" si="290"/>
        <v>0.26864109650857126</v>
      </c>
      <c r="R582" s="4">
        <f t="shared" si="291"/>
        <v>33628.673146571273</v>
      </c>
      <c r="S582">
        <f t="shared" si="272"/>
        <v>3.3628673146571271E-5</v>
      </c>
      <c r="T582" s="41">
        <f t="shared" si="273"/>
        <v>1.4617569889531257E-4</v>
      </c>
      <c r="U582" s="42">
        <f t="shared" si="292"/>
        <v>6.0348335395179468E-2</v>
      </c>
      <c r="V582" s="42">
        <f t="shared" si="293"/>
        <v>0.45542499384704221</v>
      </c>
      <c r="W582" s="42">
        <f t="shared" si="294"/>
        <v>0.45181580570502411</v>
      </c>
      <c r="X582" s="42">
        <f t="shared" si="295"/>
        <v>3.6091881420181049E-3</v>
      </c>
      <c r="Y582" s="42">
        <f t="shared" si="269"/>
        <v>2.2503334681481251E-3</v>
      </c>
      <c r="Z582" s="10">
        <f t="shared" si="296"/>
        <v>15.394716667369988</v>
      </c>
      <c r="AA582">
        <f t="shared" si="274"/>
        <v>5078115.5622248445</v>
      </c>
      <c r="AB582" s="10">
        <f t="shared" si="275"/>
        <v>5.0781155622248448</v>
      </c>
      <c r="AC582" s="10">
        <f t="shared" si="276"/>
        <v>4.9771155622248449</v>
      </c>
      <c r="AD582" s="3">
        <f t="shared" si="277"/>
        <v>721.84417146118119</v>
      </c>
      <c r="AI582" s="94">
        <f t="shared" si="278"/>
        <v>0.45181580570502411</v>
      </c>
    </row>
    <row r="583" spans="2:35">
      <c r="B583" s="39">
        <f t="shared" si="279"/>
        <v>555</v>
      </c>
      <c r="C583" s="42">
        <f t="shared" si="280"/>
        <v>3.6866906474781627</v>
      </c>
      <c r="D583" s="10">
        <f t="shared" si="281"/>
        <v>1.8533093525213449</v>
      </c>
      <c r="E583" s="40">
        <f t="shared" si="282"/>
        <v>27.373381294957309</v>
      </c>
      <c r="F583" s="40">
        <f t="shared" si="283"/>
        <v>31.08</v>
      </c>
      <c r="G583" s="3">
        <f t="shared" si="284"/>
        <v>196.90647482017866</v>
      </c>
      <c r="H583" s="3">
        <f t="shared" si="285"/>
        <v>81.256230789298584</v>
      </c>
      <c r="I583">
        <f t="shared" si="270"/>
        <v>8.1256230789298584E-5</v>
      </c>
      <c r="J583" s="4">
        <f t="shared" si="286"/>
        <v>588.50041739394419</v>
      </c>
      <c r="K583" s="40">
        <f t="shared" si="287"/>
        <v>7.2425266552168139</v>
      </c>
      <c r="L583" s="40">
        <f t="shared" si="271"/>
        <v>0</v>
      </c>
      <c r="M583" s="10">
        <f t="shared" si="288"/>
        <v>5.0781155622248448</v>
      </c>
      <c r="N583" s="10">
        <f t="shared" si="267"/>
        <v>8.26</v>
      </c>
      <c r="O583" s="10">
        <f t="shared" si="268"/>
        <v>0.31900000000000001</v>
      </c>
      <c r="P583" s="10">
        <f t="shared" si="289"/>
        <v>13.870725280021311</v>
      </c>
      <c r="Q583" s="42">
        <f t="shared" si="290"/>
        <v>0.26911999618520749</v>
      </c>
      <c r="R583" s="4">
        <f t="shared" si="291"/>
        <v>33507.145380852729</v>
      </c>
      <c r="S583">
        <f t="shared" si="272"/>
        <v>3.3507145380852731E-5</v>
      </c>
      <c r="T583" s="41">
        <f t="shared" si="273"/>
        <v>1.462972266610311E-4</v>
      </c>
      <c r="U583" s="42">
        <f t="shared" si="292"/>
        <v>6.0130247743209263E-2</v>
      </c>
      <c r="V583" s="42">
        <f t="shared" si="293"/>
        <v>0.45539319112104309</v>
      </c>
      <c r="W583" s="42">
        <f t="shared" si="294"/>
        <v>0.45178715802036673</v>
      </c>
      <c r="X583" s="42">
        <f t="shared" si="295"/>
        <v>3.6060331006763646E-3</v>
      </c>
      <c r="Y583" s="42">
        <f t="shared" si="269"/>
        <v>2.2520603962339785E-3</v>
      </c>
      <c r="Z583" s="10">
        <f t="shared" si="296"/>
        <v>15.39373266078362</v>
      </c>
      <c r="AA583">
        <f t="shared" si="274"/>
        <v>5077797.4326612968</v>
      </c>
      <c r="AB583" s="10">
        <f t="shared" si="275"/>
        <v>5.0777974326612965</v>
      </c>
      <c r="AC583" s="10">
        <f t="shared" si="276"/>
        <v>4.9767974326612965</v>
      </c>
      <c r="AD583" s="3">
        <f t="shared" si="277"/>
        <v>721.79803229315405</v>
      </c>
      <c r="AI583" s="94">
        <f t="shared" si="278"/>
        <v>0.45178715802036673</v>
      </c>
    </row>
    <row r="584" spans="2:35">
      <c r="B584" s="39">
        <f t="shared" si="279"/>
        <v>556</v>
      </c>
      <c r="C584" s="42">
        <f t="shared" si="280"/>
        <v>3.6933333333294747</v>
      </c>
      <c r="D584" s="10">
        <f t="shared" si="281"/>
        <v>1.846666666670032</v>
      </c>
      <c r="E584" s="40">
        <f t="shared" si="282"/>
        <v>27.386666666659934</v>
      </c>
      <c r="F584" s="40">
        <f t="shared" si="283"/>
        <v>31.08</v>
      </c>
      <c r="G584" s="3">
        <f t="shared" si="284"/>
        <v>196.85333333336817</v>
      </c>
      <c r="H584" s="3">
        <f t="shared" si="285"/>
        <v>81.256230789298584</v>
      </c>
      <c r="I584">
        <f t="shared" si="270"/>
        <v>8.1256230789298584E-5</v>
      </c>
      <c r="J584" s="4">
        <f t="shared" si="286"/>
        <v>589.07180052026297</v>
      </c>
      <c r="K584" s="40">
        <f t="shared" si="287"/>
        <v>7.2495585236750051</v>
      </c>
      <c r="L584" s="40">
        <f t="shared" si="271"/>
        <v>0</v>
      </c>
      <c r="M584" s="10">
        <f t="shared" si="288"/>
        <v>5.0777974326612965</v>
      </c>
      <c r="N584" s="10">
        <f t="shared" si="267"/>
        <v>8.26</v>
      </c>
      <c r="O584" s="10">
        <f t="shared" si="268"/>
        <v>0.31900000000000001</v>
      </c>
      <c r="P584" s="10">
        <f t="shared" si="289"/>
        <v>13.870448075335347</v>
      </c>
      <c r="Q584" s="42">
        <f t="shared" si="290"/>
        <v>0.26959890543278431</v>
      </c>
      <c r="R584" s="4">
        <f t="shared" si="291"/>
        <v>33385.623736913753</v>
      </c>
      <c r="S584">
        <f t="shared" si="272"/>
        <v>3.3385623736913755E-5</v>
      </c>
      <c r="T584" s="41">
        <f t="shared" si="273"/>
        <v>1.4641874830497006E-4</v>
      </c>
      <c r="U584" s="42">
        <f t="shared" si="292"/>
        <v>5.9912171077078573E-2</v>
      </c>
      <c r="V584" s="42">
        <f t="shared" si="293"/>
        <v>0.45536115085292678</v>
      </c>
      <c r="W584" s="42">
        <f t="shared" si="294"/>
        <v>0.45175828048083588</v>
      </c>
      <c r="X584" s="42">
        <f t="shared" si="295"/>
        <v>3.6028703720908939E-3</v>
      </c>
      <c r="Y584" s="42">
        <f t="shared" si="269"/>
        <v>2.2537858441729936E-3</v>
      </c>
      <c r="Z584" s="10">
        <f t="shared" si="296"/>
        <v>15.392740822224955</v>
      </c>
      <c r="AA584">
        <f t="shared" si="274"/>
        <v>5077476.7710192408</v>
      </c>
      <c r="AB584" s="10">
        <f t="shared" si="275"/>
        <v>5.0774767710192412</v>
      </c>
      <c r="AC584" s="10">
        <f t="shared" si="276"/>
        <v>4.9764767710192412</v>
      </c>
      <c r="AD584" s="3">
        <f t="shared" si="277"/>
        <v>721.75152589111542</v>
      </c>
      <c r="AI584" s="94">
        <f t="shared" si="278"/>
        <v>0.45175828048083588</v>
      </c>
    </row>
    <row r="585" spans="2:35">
      <c r="B585" s="39">
        <f t="shared" si="279"/>
        <v>557</v>
      </c>
      <c r="C585" s="42">
        <f t="shared" si="280"/>
        <v>3.6999760191807867</v>
      </c>
      <c r="D585" s="10">
        <f t="shared" si="281"/>
        <v>1.8400239808187191</v>
      </c>
      <c r="E585" s="40">
        <f t="shared" si="282"/>
        <v>27.39995203836256</v>
      </c>
      <c r="F585" s="40">
        <f t="shared" si="283"/>
        <v>31.08</v>
      </c>
      <c r="G585" s="3">
        <f t="shared" si="284"/>
        <v>196.80019184655768</v>
      </c>
      <c r="H585" s="3">
        <f t="shared" si="285"/>
        <v>81.256230789298584</v>
      </c>
      <c r="I585">
        <f t="shared" si="270"/>
        <v>8.1256230789298584E-5</v>
      </c>
      <c r="J585" s="4">
        <f t="shared" si="286"/>
        <v>589.64346089386368</v>
      </c>
      <c r="K585" s="40">
        <f t="shared" si="287"/>
        <v>7.2565938041457798</v>
      </c>
      <c r="L585" s="40">
        <f t="shared" si="271"/>
        <v>0</v>
      </c>
      <c r="M585" s="10">
        <f t="shared" si="288"/>
        <v>5.0774767710192412</v>
      </c>
      <c r="N585" s="10">
        <f t="shared" si="267"/>
        <v>8.26</v>
      </c>
      <c r="O585" s="10">
        <f t="shared" si="268"/>
        <v>0.31900000000000001</v>
      </c>
      <c r="P585" s="10">
        <f t="shared" si="289"/>
        <v>13.870168652334064</v>
      </c>
      <c r="Q585" s="42">
        <f t="shared" si="290"/>
        <v>0.27007782432827981</v>
      </c>
      <c r="R585" s="4">
        <f t="shared" si="291"/>
        <v>33264.108258954293</v>
      </c>
      <c r="S585">
        <f t="shared" si="272"/>
        <v>3.326410825895429E-5</v>
      </c>
      <c r="T585" s="41">
        <f t="shared" si="273"/>
        <v>1.4654026378292954E-4</v>
      </c>
      <c r="U585" s="42">
        <f t="shared" si="292"/>
        <v>5.9694105476106422E-2</v>
      </c>
      <c r="V585" s="42">
        <f t="shared" si="293"/>
        <v>0.45532887305799929</v>
      </c>
      <c r="W585" s="42">
        <f t="shared" si="294"/>
        <v>0.45172917309722399</v>
      </c>
      <c r="X585" s="42">
        <f t="shared" si="295"/>
        <v>3.5996999607753044E-3</v>
      </c>
      <c r="Y585" s="42">
        <f t="shared" si="269"/>
        <v>2.2555098085023234E-3</v>
      </c>
      <c r="Z585" s="10">
        <f t="shared" si="296"/>
        <v>15.391741152065999</v>
      </c>
      <c r="AA585">
        <f t="shared" si="274"/>
        <v>5077153.5774189467</v>
      </c>
      <c r="AB585" s="10">
        <f t="shared" si="275"/>
        <v>5.0771535774189465</v>
      </c>
      <c r="AC585" s="10">
        <f t="shared" si="276"/>
        <v>4.9761535774189465</v>
      </c>
      <c r="AD585" s="3">
        <f t="shared" si="277"/>
        <v>721.70465227250861</v>
      </c>
      <c r="AI585" s="94">
        <f t="shared" si="278"/>
        <v>0.45172917309722399</v>
      </c>
    </row>
    <row r="586" spans="2:35">
      <c r="B586" s="39">
        <f t="shared" si="279"/>
        <v>558</v>
      </c>
      <c r="C586" s="42">
        <f t="shared" si="280"/>
        <v>3.7066187050320987</v>
      </c>
      <c r="D586" s="10">
        <f t="shared" si="281"/>
        <v>1.8333812949674062</v>
      </c>
      <c r="E586" s="40">
        <f t="shared" si="282"/>
        <v>27.413237410065186</v>
      </c>
      <c r="F586" s="40">
        <f t="shared" si="283"/>
        <v>31.08</v>
      </c>
      <c r="G586" s="3">
        <f t="shared" si="284"/>
        <v>196.74705035974719</v>
      </c>
      <c r="H586" s="3">
        <f t="shared" si="285"/>
        <v>81.256230789298584</v>
      </c>
      <c r="I586">
        <f t="shared" si="270"/>
        <v>8.1256230789298584E-5</v>
      </c>
      <c r="J586" s="4">
        <f t="shared" si="286"/>
        <v>590.21539851474563</v>
      </c>
      <c r="K586" s="40">
        <f t="shared" si="287"/>
        <v>7.2636324966291292</v>
      </c>
      <c r="L586" s="40">
        <f t="shared" si="271"/>
        <v>0</v>
      </c>
      <c r="M586" s="10">
        <f t="shared" si="288"/>
        <v>5.0771535774189465</v>
      </c>
      <c r="N586" s="10">
        <f t="shared" si="267"/>
        <v>8.26</v>
      </c>
      <c r="O586" s="10">
        <f t="shared" si="268"/>
        <v>0.31900000000000001</v>
      </c>
      <c r="P586" s="10">
        <f t="shared" si="289"/>
        <v>13.869887010836328</v>
      </c>
      <c r="Q586" s="42">
        <f t="shared" si="290"/>
        <v>0.27055675294868764</v>
      </c>
      <c r="R586" s="4">
        <f t="shared" si="291"/>
        <v>33142.598991174389</v>
      </c>
      <c r="S586">
        <f t="shared" si="272"/>
        <v>3.3142598991174392E-5</v>
      </c>
      <c r="T586" s="41">
        <f t="shared" si="273"/>
        <v>1.4666177305070944E-4</v>
      </c>
      <c r="U586" s="42">
        <f t="shared" si="292"/>
        <v>5.9476051019611995E-2</v>
      </c>
      <c r="V586" s="42">
        <f t="shared" si="293"/>
        <v>0.45529635775106997</v>
      </c>
      <c r="W586" s="42">
        <f t="shared" si="294"/>
        <v>0.4516998358804481</v>
      </c>
      <c r="X586" s="42">
        <f t="shared" si="295"/>
        <v>3.5965218706218716E-3</v>
      </c>
      <c r="Y586" s="42">
        <f t="shared" si="269"/>
        <v>2.2572322857600871E-3</v>
      </c>
      <c r="Z586" s="10">
        <f t="shared" si="296"/>
        <v>15.390733650680957</v>
      </c>
      <c r="AA586">
        <f t="shared" si="274"/>
        <v>5076827.8519813959</v>
      </c>
      <c r="AB586" s="10">
        <f t="shared" si="275"/>
        <v>5.0768278519813954</v>
      </c>
      <c r="AC586" s="10">
        <f t="shared" si="276"/>
        <v>4.9758278519813954</v>
      </c>
      <c r="AD586" s="3">
        <f t="shared" si="277"/>
        <v>721.65741145487971</v>
      </c>
      <c r="AI586" s="94">
        <f t="shared" si="278"/>
        <v>0.4516998358804481</v>
      </c>
    </row>
    <row r="587" spans="2:35">
      <c r="B587" s="39">
        <f t="shared" si="279"/>
        <v>559</v>
      </c>
      <c r="C587" s="42">
        <f t="shared" si="280"/>
        <v>3.7132613908834107</v>
      </c>
      <c r="D587" s="10">
        <f t="shared" si="281"/>
        <v>1.8267386091160933</v>
      </c>
      <c r="E587" s="40">
        <f t="shared" si="282"/>
        <v>27.426522781767812</v>
      </c>
      <c r="F587" s="40">
        <f t="shared" si="283"/>
        <v>31.08</v>
      </c>
      <c r="G587" s="3">
        <f t="shared" si="284"/>
        <v>196.6939088729367</v>
      </c>
      <c r="H587" s="3">
        <f t="shared" si="285"/>
        <v>81.256230789298584</v>
      </c>
      <c r="I587">
        <f t="shared" si="270"/>
        <v>8.1256230789298584E-5</v>
      </c>
      <c r="J587" s="4">
        <f t="shared" si="286"/>
        <v>590.78761338290929</v>
      </c>
      <c r="K587" s="40">
        <f t="shared" si="287"/>
        <v>7.2706746011250596</v>
      </c>
      <c r="L587" s="40">
        <f t="shared" si="271"/>
        <v>0</v>
      </c>
      <c r="M587" s="10">
        <f t="shared" si="288"/>
        <v>5.0768278519813954</v>
      </c>
      <c r="N587" s="10">
        <f t="shared" si="267"/>
        <v>8.26</v>
      </c>
      <c r="O587" s="10">
        <f t="shared" si="268"/>
        <v>0.31900000000000001</v>
      </c>
      <c r="P587" s="10">
        <f t="shared" si="289"/>
        <v>13.869603150659328</v>
      </c>
      <c r="Q587" s="42">
        <f t="shared" si="290"/>
        <v>0.27103569137101707</v>
      </c>
      <c r="R587" s="4">
        <f t="shared" si="291"/>
        <v>33021.095977774028</v>
      </c>
      <c r="S587">
        <f t="shared" si="272"/>
        <v>3.3021095977774029E-5</v>
      </c>
      <c r="T587" s="41">
        <f t="shared" si="273"/>
        <v>1.467832760641098E-4</v>
      </c>
      <c r="U587" s="42">
        <f t="shared" si="292"/>
        <v>5.9258007786914375E-2</v>
      </c>
      <c r="V587" s="42">
        <f t="shared" si="293"/>
        <v>0.45526360494761087</v>
      </c>
      <c r="W587" s="42">
        <f t="shared" si="294"/>
        <v>0.45167026884149025</v>
      </c>
      <c r="X587" s="42">
        <f t="shared" si="295"/>
        <v>3.5933361061206148E-3</v>
      </c>
      <c r="Y587" s="42">
        <f t="shared" si="269"/>
        <v>2.2589532724856518E-3</v>
      </c>
      <c r="Z587" s="10">
        <f t="shared" si="296"/>
        <v>15.389718318448077</v>
      </c>
      <c r="AA587">
        <f t="shared" si="274"/>
        <v>5076499.5948288748</v>
      </c>
      <c r="AB587" s="10">
        <f t="shared" si="275"/>
        <v>5.0764995948288751</v>
      </c>
      <c r="AC587" s="10">
        <f t="shared" si="276"/>
        <v>4.9754995948288752</v>
      </c>
      <c r="AD587" s="3">
        <f t="shared" si="277"/>
        <v>721.60980345596442</v>
      </c>
      <c r="AI587" s="94">
        <f t="shared" si="278"/>
        <v>0.45167026884149025</v>
      </c>
    </row>
    <row r="588" spans="2:35">
      <c r="B588" s="39">
        <f t="shared" si="279"/>
        <v>560</v>
      </c>
      <c r="C588" s="42">
        <f t="shared" si="280"/>
        <v>3.7199040767347227</v>
      </c>
      <c r="D588" s="10">
        <f t="shared" si="281"/>
        <v>1.8200959232647804</v>
      </c>
      <c r="E588" s="40">
        <f t="shared" si="282"/>
        <v>27.439808153470437</v>
      </c>
      <c r="F588" s="40">
        <f t="shared" si="283"/>
        <v>31.08</v>
      </c>
      <c r="G588" s="3">
        <f t="shared" si="284"/>
        <v>196.64076738612621</v>
      </c>
      <c r="H588" s="3">
        <f t="shared" si="285"/>
        <v>81.256230789298584</v>
      </c>
      <c r="I588">
        <f t="shared" si="270"/>
        <v>8.1256230789298584E-5</v>
      </c>
      <c r="J588" s="4">
        <f t="shared" si="286"/>
        <v>591.36010549835453</v>
      </c>
      <c r="K588" s="40">
        <f t="shared" si="287"/>
        <v>7.2777201176335691</v>
      </c>
      <c r="L588" s="40">
        <f t="shared" si="271"/>
        <v>0</v>
      </c>
      <c r="M588" s="10">
        <f t="shared" si="288"/>
        <v>5.0764995948288751</v>
      </c>
      <c r="N588" s="10">
        <f t="shared" si="267"/>
        <v>8.26</v>
      </c>
      <c r="O588" s="10">
        <f t="shared" si="268"/>
        <v>0.31900000000000001</v>
      </c>
      <c r="P588" s="10">
        <f t="shared" si="289"/>
        <v>13.869317071619097</v>
      </c>
      <c r="Q588" s="42">
        <f t="shared" si="290"/>
        <v>0.27151463967229322</v>
      </c>
      <c r="R588" s="4">
        <f t="shared" si="291"/>
        <v>32899.59926295319</v>
      </c>
      <c r="S588">
        <f t="shared" si="272"/>
        <v>3.2899599262953189E-5</v>
      </c>
      <c r="T588" s="41">
        <f t="shared" si="273"/>
        <v>1.4690477277893064E-4</v>
      </c>
      <c r="U588" s="42">
        <f t="shared" si="292"/>
        <v>5.9039975857332637E-2</v>
      </c>
      <c r="V588" s="42">
        <f t="shared" si="293"/>
        <v>0.45523061466299392</v>
      </c>
      <c r="W588" s="42">
        <f t="shared" si="294"/>
        <v>0.45164047199145074</v>
      </c>
      <c r="X588" s="42">
        <f t="shared" si="295"/>
        <v>3.5901426715431728E-3</v>
      </c>
      <c r="Y588" s="42">
        <f t="shared" si="269"/>
        <v>2.2606727652195267E-3</v>
      </c>
      <c r="Z588" s="10">
        <f t="shared" si="296"/>
        <v>15.388695155748927</v>
      </c>
      <c r="AA588">
        <f t="shared" si="274"/>
        <v>5076168.8060847456</v>
      </c>
      <c r="AB588" s="10">
        <f t="shared" si="275"/>
        <v>5.0761688060847456</v>
      </c>
      <c r="AC588" s="10">
        <f t="shared" si="276"/>
        <v>4.9751688060847457</v>
      </c>
      <c r="AD588" s="3">
        <f t="shared" si="277"/>
        <v>721.56182829365423</v>
      </c>
      <c r="AI588" s="94">
        <f t="shared" si="278"/>
        <v>0.45164047199145074</v>
      </c>
    </row>
    <row r="589" spans="2:35">
      <c r="B589" s="39">
        <f t="shared" si="279"/>
        <v>561</v>
      </c>
      <c r="C589" s="42">
        <f t="shared" si="280"/>
        <v>3.7265467625860347</v>
      </c>
      <c r="D589" s="10">
        <f t="shared" si="281"/>
        <v>1.8134532374134675</v>
      </c>
      <c r="E589" s="40">
        <f t="shared" si="282"/>
        <v>27.453093525173063</v>
      </c>
      <c r="F589" s="40">
        <f t="shared" si="283"/>
        <v>31.08</v>
      </c>
      <c r="G589" s="3">
        <f t="shared" si="284"/>
        <v>196.58762589931573</v>
      </c>
      <c r="H589" s="3">
        <f t="shared" si="285"/>
        <v>81.256230789298584</v>
      </c>
      <c r="I589">
        <f t="shared" si="270"/>
        <v>8.1256230789298584E-5</v>
      </c>
      <c r="J589" s="4">
        <f t="shared" si="286"/>
        <v>591.93287486108125</v>
      </c>
      <c r="K589" s="40">
        <f t="shared" si="287"/>
        <v>7.2847690461546559</v>
      </c>
      <c r="L589" s="40">
        <f t="shared" si="271"/>
        <v>0</v>
      </c>
      <c r="M589" s="10">
        <f t="shared" si="288"/>
        <v>5.0761688060847456</v>
      </c>
      <c r="N589" s="10">
        <f t="shared" si="267"/>
        <v>8.26</v>
      </c>
      <c r="O589" s="10">
        <f t="shared" si="268"/>
        <v>0.31900000000000001</v>
      </c>
      <c r="P589" s="10">
        <f t="shared" si="289"/>
        <v>13.869028773530321</v>
      </c>
      <c r="Q589" s="42">
        <f t="shared" si="290"/>
        <v>0.27199359792955707</v>
      </c>
      <c r="R589" s="4">
        <f t="shared" si="291"/>
        <v>32778.108890911892</v>
      </c>
      <c r="S589">
        <f t="shared" si="272"/>
        <v>3.2778108890911889E-5</v>
      </c>
      <c r="T589" s="41">
        <f t="shared" si="273"/>
        <v>1.4702626315097196E-4</v>
      </c>
      <c r="U589" s="42">
        <f t="shared" si="292"/>
        <v>5.8821955310185928E-2</v>
      </c>
      <c r="V589" s="42">
        <f t="shared" si="293"/>
        <v>0.45519738691258238</v>
      </c>
      <c r="W589" s="42">
        <f t="shared" si="294"/>
        <v>0.45161044534152733</v>
      </c>
      <c r="X589" s="42">
        <f t="shared" si="295"/>
        <v>3.5869415710550467E-3</v>
      </c>
      <c r="Y589" s="42">
        <f t="shared" si="269"/>
        <v>2.2623907605033066E-3</v>
      </c>
      <c r="Z589" s="10">
        <f t="shared" si="296"/>
        <v>15.387664162967951</v>
      </c>
      <c r="AA589">
        <f t="shared" si="274"/>
        <v>5075835.4858732987</v>
      </c>
      <c r="AB589" s="10">
        <f t="shared" si="275"/>
        <v>5.0758354858732986</v>
      </c>
      <c r="AC589" s="10">
        <f t="shared" si="276"/>
        <v>4.9748354858732986</v>
      </c>
      <c r="AD589" s="3">
        <f t="shared" si="277"/>
        <v>721.51348598597519</v>
      </c>
      <c r="AI589" s="94">
        <f t="shared" si="278"/>
        <v>0.45161044534152733</v>
      </c>
    </row>
    <row r="590" spans="2:35">
      <c r="B590" s="39">
        <f t="shared" si="279"/>
        <v>562</v>
      </c>
      <c r="C590" s="42">
        <f t="shared" si="280"/>
        <v>3.7331894484373467</v>
      </c>
      <c r="D590" s="10">
        <f t="shared" si="281"/>
        <v>1.8068105515621546</v>
      </c>
      <c r="E590" s="40">
        <f t="shared" si="282"/>
        <v>27.466378896875689</v>
      </c>
      <c r="F590" s="40">
        <f t="shared" si="283"/>
        <v>31.08</v>
      </c>
      <c r="G590" s="3">
        <f t="shared" si="284"/>
        <v>196.53448441250524</v>
      </c>
      <c r="H590" s="3">
        <f t="shared" si="285"/>
        <v>81.256230789298584</v>
      </c>
      <c r="I590">
        <f t="shared" si="270"/>
        <v>8.1256230789298584E-5</v>
      </c>
      <c r="J590" s="4">
        <f t="shared" si="286"/>
        <v>592.50592147108955</v>
      </c>
      <c r="K590" s="40">
        <f t="shared" si="287"/>
        <v>7.2918213866883219</v>
      </c>
      <c r="L590" s="40">
        <f t="shared" si="271"/>
        <v>0</v>
      </c>
      <c r="M590" s="10">
        <f t="shared" si="288"/>
        <v>5.0758354858732986</v>
      </c>
      <c r="N590" s="10">
        <f t="shared" si="267"/>
        <v>8.26</v>
      </c>
      <c r="O590" s="10">
        <f t="shared" si="268"/>
        <v>0.31900000000000001</v>
      </c>
      <c r="P590" s="10">
        <f t="shared" si="289"/>
        <v>13.868738256206193</v>
      </c>
      <c r="Q590" s="42">
        <f t="shared" si="290"/>
        <v>0.27247256621986565</v>
      </c>
      <c r="R590" s="4">
        <f t="shared" si="291"/>
        <v>32656.624905850123</v>
      </c>
      <c r="S590">
        <f t="shared" si="272"/>
        <v>3.2656624905850123E-5</v>
      </c>
      <c r="T590" s="41">
        <f t="shared" si="273"/>
        <v>1.4714774713603371E-4</v>
      </c>
      <c r="U590" s="42">
        <f t="shared" si="292"/>
        <v>5.8603946224793334E-2</v>
      </c>
      <c r="V590" s="42">
        <f t="shared" si="293"/>
        <v>0.45516392171210313</v>
      </c>
      <c r="W590" s="42">
        <f t="shared" si="294"/>
        <v>0.45158018890300228</v>
      </c>
      <c r="X590" s="42">
        <f t="shared" si="295"/>
        <v>3.583732809100848E-3</v>
      </c>
      <c r="Y590" s="42">
        <f t="shared" si="269"/>
        <v>2.2641072548798043E-3</v>
      </c>
      <c r="Z590" s="10">
        <f t="shared" si="296"/>
        <v>15.386625340493351</v>
      </c>
      <c r="AA590">
        <f t="shared" si="274"/>
        <v>5075499.6343200393</v>
      </c>
      <c r="AB590" s="10">
        <f t="shared" si="275"/>
        <v>5.0754996343200389</v>
      </c>
      <c r="AC590" s="10">
        <f t="shared" si="276"/>
        <v>4.9744996343200389</v>
      </c>
      <c r="AD590" s="3">
        <f t="shared" si="277"/>
        <v>721.46477655112972</v>
      </c>
      <c r="AI590" s="94">
        <f t="shared" si="278"/>
        <v>0.45158018890300228</v>
      </c>
    </row>
    <row r="591" spans="2:35">
      <c r="B591" s="39">
        <f t="shared" si="279"/>
        <v>563</v>
      </c>
      <c r="C591" s="42">
        <f t="shared" si="280"/>
        <v>3.7398321342886587</v>
      </c>
      <c r="D591" s="10">
        <f t="shared" si="281"/>
        <v>1.8001678657108418</v>
      </c>
      <c r="E591" s="40">
        <f t="shared" si="282"/>
        <v>27.479664268578315</v>
      </c>
      <c r="F591" s="40">
        <f t="shared" si="283"/>
        <v>31.08</v>
      </c>
      <c r="G591" s="3">
        <f t="shared" si="284"/>
        <v>196.48134292569475</v>
      </c>
      <c r="H591" s="3">
        <f t="shared" si="285"/>
        <v>81.256230789298584</v>
      </c>
      <c r="I591">
        <f t="shared" si="270"/>
        <v>8.1256230789298584E-5</v>
      </c>
      <c r="J591" s="4">
        <f t="shared" si="286"/>
        <v>593.07924532837944</v>
      </c>
      <c r="K591" s="40">
        <f t="shared" si="287"/>
        <v>7.2988771392345679</v>
      </c>
      <c r="L591" s="40">
        <f t="shared" si="271"/>
        <v>0</v>
      </c>
      <c r="M591" s="10">
        <f t="shared" si="288"/>
        <v>5.0754996343200389</v>
      </c>
      <c r="N591" s="10">
        <f t="shared" si="267"/>
        <v>8.26</v>
      </c>
      <c r="O591" s="10">
        <f t="shared" si="268"/>
        <v>0.31900000000000001</v>
      </c>
      <c r="P591" s="10">
        <f t="shared" si="289"/>
        <v>13.868445519458676</v>
      </c>
      <c r="Q591" s="42">
        <f t="shared" si="290"/>
        <v>0.27295154462029214</v>
      </c>
      <c r="R591" s="4">
        <f t="shared" si="291"/>
        <v>32535.147351967902</v>
      </c>
      <c r="S591">
        <f t="shared" si="272"/>
        <v>3.25351473519679E-5</v>
      </c>
      <c r="T591" s="41">
        <f t="shared" si="273"/>
        <v>1.4726922468991593E-4</v>
      </c>
      <c r="U591" s="42">
        <f t="shared" si="292"/>
        <v>5.8385948680473997E-2</v>
      </c>
      <c r="V591" s="42">
        <f t="shared" si="293"/>
        <v>0.45513021907716367</v>
      </c>
      <c r="W591" s="42">
        <f t="shared" si="294"/>
        <v>0.45154970268726807</v>
      </c>
      <c r="X591" s="42">
        <f t="shared" si="295"/>
        <v>3.5805163898955938E-3</v>
      </c>
      <c r="Y591" s="42">
        <f t="shared" si="269"/>
        <v>2.2658222448929373E-3</v>
      </c>
      <c r="Z591" s="10">
        <f t="shared" si="296"/>
        <v>15.385578688716263</v>
      </c>
      <c r="AA591">
        <f t="shared" si="274"/>
        <v>5075161.2515514223</v>
      </c>
      <c r="AB591" s="10">
        <f t="shared" si="275"/>
        <v>5.0751612515514219</v>
      </c>
      <c r="AC591" s="10">
        <f t="shared" si="276"/>
        <v>4.974161251551422</v>
      </c>
      <c r="AD591" s="3">
        <f t="shared" si="277"/>
        <v>721.41570000745787</v>
      </c>
      <c r="AI591" s="94">
        <f t="shared" si="278"/>
        <v>0.45154970268726807</v>
      </c>
    </row>
    <row r="592" spans="2:35">
      <c r="B592" s="39">
        <f t="shared" si="279"/>
        <v>564</v>
      </c>
      <c r="C592" s="42">
        <f t="shared" si="280"/>
        <v>3.7464748201399707</v>
      </c>
      <c r="D592" s="10">
        <f t="shared" si="281"/>
        <v>1.7935251798595289</v>
      </c>
      <c r="E592" s="40">
        <f t="shared" si="282"/>
        <v>27.492949640280941</v>
      </c>
      <c r="F592" s="40">
        <f t="shared" si="283"/>
        <v>31.08</v>
      </c>
      <c r="G592" s="3">
        <f t="shared" si="284"/>
        <v>196.42820143888426</v>
      </c>
      <c r="H592" s="3">
        <f t="shared" si="285"/>
        <v>81.256230789298584</v>
      </c>
      <c r="I592">
        <f t="shared" si="270"/>
        <v>8.1256230789298584E-5</v>
      </c>
      <c r="J592" s="4">
        <f t="shared" si="286"/>
        <v>593.65284643295092</v>
      </c>
      <c r="K592" s="40">
        <f t="shared" si="287"/>
        <v>7.3059363037933922</v>
      </c>
      <c r="L592" s="40">
        <f t="shared" si="271"/>
        <v>0</v>
      </c>
      <c r="M592" s="10">
        <f t="shared" si="288"/>
        <v>5.0751612515514219</v>
      </c>
      <c r="N592" s="10">
        <f t="shared" si="267"/>
        <v>8.26</v>
      </c>
      <c r="O592" s="10">
        <f t="shared" si="268"/>
        <v>0.31900000000000001</v>
      </c>
      <c r="P592" s="10">
        <f t="shared" si="289"/>
        <v>13.868150563098268</v>
      </c>
      <c r="Q592" s="42">
        <f t="shared" si="290"/>
        <v>0.27343053320792599</v>
      </c>
      <c r="R592" s="4">
        <f t="shared" si="291"/>
        <v>32413.676273465186</v>
      </c>
      <c r="S592">
        <f t="shared" si="272"/>
        <v>3.2413676273465189E-5</v>
      </c>
      <c r="T592" s="41">
        <f t="shared" si="273"/>
        <v>1.4739069576841864E-4</v>
      </c>
      <c r="U592" s="42">
        <f t="shared" si="292"/>
        <v>5.816796275654694E-2</v>
      </c>
      <c r="V592" s="42">
        <f t="shared" si="293"/>
        <v>0.45509627902386063</v>
      </c>
      <c r="W592" s="42">
        <f t="shared" si="294"/>
        <v>0.45151898670580354</v>
      </c>
      <c r="X592" s="42">
        <f t="shared" si="295"/>
        <v>3.5772923180570904E-3</v>
      </c>
      <c r="Y592" s="42">
        <f t="shared" si="269"/>
        <v>2.267535727087917E-3</v>
      </c>
      <c r="Z592" s="10">
        <f t="shared" si="296"/>
        <v>15.384524208032005</v>
      </c>
      <c r="AA592">
        <f t="shared" si="274"/>
        <v>5074820.337695254</v>
      </c>
      <c r="AB592" s="10">
        <f t="shared" si="275"/>
        <v>5.0748203376952539</v>
      </c>
      <c r="AC592" s="10">
        <f t="shared" si="276"/>
        <v>4.9738203376952539</v>
      </c>
      <c r="AD592" s="3">
        <f t="shared" si="277"/>
        <v>721.36625637349584</v>
      </c>
      <c r="AI592" s="94">
        <f t="shared" si="278"/>
        <v>0.45151898670580354</v>
      </c>
    </row>
    <row r="593" spans="2:35">
      <c r="B593" s="39">
        <f t="shared" si="279"/>
        <v>565</v>
      </c>
      <c r="C593" s="42">
        <f t="shared" si="280"/>
        <v>3.7531175059912827</v>
      </c>
      <c r="D593" s="10">
        <f t="shared" si="281"/>
        <v>1.786882494008216</v>
      </c>
      <c r="E593" s="40">
        <f t="shared" si="282"/>
        <v>27.506235011983566</v>
      </c>
      <c r="F593" s="40">
        <f t="shared" si="283"/>
        <v>31.08</v>
      </c>
      <c r="G593" s="3">
        <f t="shared" si="284"/>
        <v>196.37505995207377</v>
      </c>
      <c r="H593" s="3">
        <f t="shared" si="285"/>
        <v>81.256230789298584</v>
      </c>
      <c r="I593">
        <f t="shared" si="270"/>
        <v>8.1256230789298584E-5</v>
      </c>
      <c r="J593" s="4">
        <f t="shared" si="286"/>
        <v>594.22672478480399</v>
      </c>
      <c r="K593" s="40">
        <f t="shared" si="287"/>
        <v>7.3129988803647956</v>
      </c>
      <c r="L593" s="40">
        <f t="shared" si="271"/>
        <v>0</v>
      </c>
      <c r="M593" s="10">
        <f t="shared" si="288"/>
        <v>5.0748203376952539</v>
      </c>
      <c r="N593" s="10">
        <f t="shared" si="267"/>
        <v>8.26</v>
      </c>
      <c r="O593" s="10">
        <f t="shared" si="268"/>
        <v>0.31900000000000001</v>
      </c>
      <c r="P593" s="10">
        <f t="shared" si="289"/>
        <v>13.867853386934346</v>
      </c>
      <c r="Q593" s="42">
        <f t="shared" si="290"/>
        <v>0.27390953205987306</v>
      </c>
      <c r="R593" s="4">
        <f t="shared" si="291"/>
        <v>32292.211714542009</v>
      </c>
      <c r="S593">
        <f t="shared" si="272"/>
        <v>3.2292211714542011E-5</v>
      </c>
      <c r="T593" s="41">
        <f t="shared" si="273"/>
        <v>1.4751216032734182E-4</v>
      </c>
      <c r="U593" s="42">
        <f t="shared" si="292"/>
        <v>5.794998853233136E-2</v>
      </c>
      <c r="V593" s="42">
        <f t="shared" si="293"/>
        <v>0.45506210156775651</v>
      </c>
      <c r="W593" s="42">
        <f t="shared" si="294"/>
        <v>0.45148804097020984</v>
      </c>
      <c r="X593" s="42">
        <f t="shared" si="295"/>
        <v>3.5740605975466688E-3</v>
      </c>
      <c r="Y593" s="42">
        <f t="shared" si="269"/>
        <v>2.269247698010931E-3</v>
      </c>
      <c r="Z593" s="10">
        <f t="shared" si="296"/>
        <v>15.383461898837902</v>
      </c>
      <c r="AA593">
        <f t="shared" si="274"/>
        <v>5074476.8928799909</v>
      </c>
      <c r="AB593" s="10">
        <f t="shared" si="275"/>
        <v>5.074476892879991</v>
      </c>
      <c r="AC593" s="10">
        <f t="shared" si="276"/>
        <v>4.9734768928799911</v>
      </c>
      <c r="AD593" s="3">
        <f t="shared" si="277"/>
        <v>721.31644566787395</v>
      </c>
      <c r="AI593" s="94">
        <f t="shared" si="278"/>
        <v>0.45148804097020984</v>
      </c>
    </row>
    <row r="594" spans="2:35">
      <c r="B594" s="39">
        <f t="shared" si="279"/>
        <v>566</v>
      </c>
      <c r="C594" s="42">
        <f t="shared" si="280"/>
        <v>3.7597601918425947</v>
      </c>
      <c r="D594" s="10">
        <f t="shared" si="281"/>
        <v>1.7802398081569031</v>
      </c>
      <c r="E594" s="40">
        <f t="shared" si="282"/>
        <v>27.519520383686192</v>
      </c>
      <c r="F594" s="40">
        <f t="shared" si="283"/>
        <v>31.08</v>
      </c>
      <c r="G594" s="3">
        <f t="shared" si="284"/>
        <v>196.32191846526328</v>
      </c>
      <c r="H594" s="3">
        <f t="shared" si="285"/>
        <v>81.256230789298584</v>
      </c>
      <c r="I594">
        <f t="shared" si="270"/>
        <v>8.1256230789298584E-5</v>
      </c>
      <c r="J594" s="4">
        <f t="shared" si="286"/>
        <v>594.80088038393842</v>
      </c>
      <c r="K594" s="40">
        <f t="shared" si="287"/>
        <v>7.3200648689487755</v>
      </c>
      <c r="L594" s="40">
        <f t="shared" si="271"/>
        <v>0</v>
      </c>
      <c r="M594" s="10">
        <f t="shared" si="288"/>
        <v>5.074476892879991</v>
      </c>
      <c r="N594" s="10">
        <f t="shared" si="267"/>
        <v>8.26</v>
      </c>
      <c r="O594" s="10">
        <f t="shared" si="268"/>
        <v>0.31900000000000001</v>
      </c>
      <c r="P594" s="10">
        <f t="shared" si="289"/>
        <v>13.867553990774558</v>
      </c>
      <c r="Q594" s="42">
        <f t="shared" si="290"/>
        <v>0.27438854125325579</v>
      </c>
      <c r="R594" s="4">
        <f t="shared" si="291"/>
        <v>32170.753719398377</v>
      </c>
      <c r="S594">
        <f t="shared" si="272"/>
        <v>3.2170753719398376E-5</v>
      </c>
      <c r="T594" s="41">
        <f t="shared" si="273"/>
        <v>1.4763361832248546E-4</v>
      </c>
      <c r="U594" s="42">
        <f t="shared" si="292"/>
        <v>5.7732026087146351E-2</v>
      </c>
      <c r="V594" s="42">
        <f t="shared" si="293"/>
        <v>0.45502768672512039</v>
      </c>
      <c r="W594" s="42">
        <f t="shared" si="294"/>
        <v>0.45145686549214725</v>
      </c>
      <c r="X594" s="42">
        <f t="shared" si="295"/>
        <v>3.5708212329731426E-3</v>
      </c>
      <c r="Y594" s="42">
        <f t="shared" si="269"/>
        <v>2.2709581542094512E-3</v>
      </c>
      <c r="Z594" s="10">
        <f t="shared" si="296"/>
        <v>15.382391761535327</v>
      </c>
      <c r="AA594">
        <f t="shared" si="274"/>
        <v>5074130.9172353949</v>
      </c>
      <c r="AB594" s="10">
        <f t="shared" si="275"/>
        <v>5.0741309172353946</v>
      </c>
      <c r="AC594" s="10">
        <f t="shared" si="276"/>
        <v>4.9731309172353946</v>
      </c>
      <c r="AD594" s="3">
        <f t="shared" si="277"/>
        <v>721.26626790941191</v>
      </c>
      <c r="AI594" s="94">
        <f t="shared" si="278"/>
        <v>0.45145686549214725</v>
      </c>
    </row>
    <row r="595" spans="2:35">
      <c r="B595" s="39">
        <f t="shared" si="279"/>
        <v>567</v>
      </c>
      <c r="C595" s="42">
        <f t="shared" si="280"/>
        <v>3.7664028776939067</v>
      </c>
      <c r="D595" s="10">
        <f t="shared" si="281"/>
        <v>1.7735971223055902</v>
      </c>
      <c r="E595" s="40">
        <f t="shared" si="282"/>
        <v>27.532805755388818</v>
      </c>
      <c r="F595" s="40">
        <f t="shared" si="283"/>
        <v>31.08</v>
      </c>
      <c r="G595" s="3">
        <f t="shared" si="284"/>
        <v>196.26877697845279</v>
      </c>
      <c r="H595" s="3">
        <f t="shared" si="285"/>
        <v>81.256230789298584</v>
      </c>
      <c r="I595">
        <f t="shared" si="270"/>
        <v>8.1256230789298584E-5</v>
      </c>
      <c r="J595" s="4">
        <f t="shared" si="286"/>
        <v>595.37531323035466</v>
      </c>
      <c r="K595" s="40">
        <f t="shared" si="287"/>
        <v>7.3271342695453381</v>
      </c>
      <c r="L595" s="40">
        <f t="shared" si="271"/>
        <v>0</v>
      </c>
      <c r="M595" s="10">
        <f t="shared" si="288"/>
        <v>5.0741309172353946</v>
      </c>
      <c r="N595" s="10">
        <f t="shared" si="267"/>
        <v>8.26</v>
      </c>
      <c r="O595" s="10">
        <f t="shared" si="268"/>
        <v>0.31900000000000001</v>
      </c>
      <c r="P595" s="10">
        <f t="shared" si="289"/>
        <v>13.8672523744254</v>
      </c>
      <c r="Q595" s="42">
        <f t="shared" si="290"/>
        <v>0.27486756086521313</v>
      </c>
      <c r="R595" s="4">
        <f t="shared" si="291"/>
        <v>32049.302332234241</v>
      </c>
      <c r="S595">
        <f t="shared" si="272"/>
        <v>3.2049302332234244E-5</v>
      </c>
      <c r="T595" s="41">
        <f t="shared" si="273"/>
        <v>1.4775506970964958E-4</v>
      </c>
      <c r="U595" s="42">
        <f t="shared" si="292"/>
        <v>5.751407550031095E-2</v>
      </c>
      <c r="V595" s="42">
        <f t="shared" si="293"/>
        <v>0.45499303451235268</v>
      </c>
      <c r="W595" s="42">
        <f t="shared" si="294"/>
        <v>0.45142546028339492</v>
      </c>
      <c r="X595" s="42">
        <f t="shared" si="295"/>
        <v>3.5675742289577594E-3</v>
      </c>
      <c r="Y595" s="42">
        <f t="shared" si="269"/>
        <v>2.2726670922322357E-3</v>
      </c>
      <c r="Z595" s="10">
        <f t="shared" si="296"/>
        <v>15.381313796529666</v>
      </c>
      <c r="AA595">
        <f t="shared" si="274"/>
        <v>5073782.4108925276</v>
      </c>
      <c r="AB595" s="10">
        <f t="shared" si="275"/>
        <v>5.0737824108925276</v>
      </c>
      <c r="AC595" s="10">
        <f t="shared" si="276"/>
        <v>4.9727824108925276</v>
      </c>
      <c r="AD595" s="3">
        <f t="shared" si="277"/>
        <v>721.21572311711782</v>
      </c>
      <c r="AI595" s="94">
        <f t="shared" si="278"/>
        <v>0.45142546028339492</v>
      </c>
    </row>
    <row r="596" spans="2:35">
      <c r="B596" s="39">
        <f t="shared" si="279"/>
        <v>568</v>
      </c>
      <c r="C596" s="42">
        <f t="shared" si="280"/>
        <v>3.7730455635452187</v>
      </c>
      <c r="D596" s="10">
        <f t="shared" si="281"/>
        <v>1.7669544364542773</v>
      </c>
      <c r="E596" s="40">
        <f t="shared" si="282"/>
        <v>27.546091127091444</v>
      </c>
      <c r="F596" s="40">
        <f t="shared" si="283"/>
        <v>31.08</v>
      </c>
      <c r="G596" s="3">
        <f t="shared" si="284"/>
        <v>196.2156354916423</v>
      </c>
      <c r="H596" s="3">
        <f t="shared" si="285"/>
        <v>81.256230789298584</v>
      </c>
      <c r="I596">
        <f t="shared" si="270"/>
        <v>8.1256230789298584E-5</v>
      </c>
      <c r="J596" s="4">
        <f t="shared" si="286"/>
        <v>595.95002332405238</v>
      </c>
      <c r="K596" s="40">
        <f t="shared" si="287"/>
        <v>7.3342070821544771</v>
      </c>
      <c r="L596" s="40">
        <f t="shared" si="271"/>
        <v>0</v>
      </c>
      <c r="M596" s="10">
        <f t="shared" si="288"/>
        <v>5.0737824108925276</v>
      </c>
      <c r="N596" s="10">
        <f t="shared" si="267"/>
        <v>8.26</v>
      </c>
      <c r="O596" s="10">
        <f t="shared" si="268"/>
        <v>0.31900000000000001</v>
      </c>
      <c r="P596" s="10">
        <f t="shared" si="289"/>
        <v>13.866948537692195</v>
      </c>
      <c r="Q596" s="42">
        <f t="shared" si="290"/>
        <v>0.27534659097290093</v>
      </c>
      <c r="R596" s="4">
        <f t="shared" si="291"/>
        <v>31927.85759724964</v>
      </c>
      <c r="S596">
        <f t="shared" si="272"/>
        <v>3.1927857597249638E-5</v>
      </c>
      <c r="T596" s="41">
        <f t="shared" si="273"/>
        <v>1.4787651444463421E-4</v>
      </c>
      <c r="U596" s="42">
        <f t="shared" si="292"/>
        <v>5.7296136851144333E-2</v>
      </c>
      <c r="V596" s="42">
        <f t="shared" si="293"/>
        <v>0.45495814494536441</v>
      </c>
      <c r="W596" s="42">
        <f t="shared" si="294"/>
        <v>0.45139382535584949</v>
      </c>
      <c r="X596" s="42">
        <f t="shared" si="295"/>
        <v>3.5643195895149193E-3</v>
      </c>
      <c r="Y596" s="42">
        <f t="shared" si="269"/>
        <v>2.2743745086290347E-3</v>
      </c>
      <c r="Z596" s="10">
        <f t="shared" si="296"/>
        <v>15.380228004228307</v>
      </c>
      <c r="AA596">
        <f t="shared" si="274"/>
        <v>5073431.3739831001</v>
      </c>
      <c r="AB596" s="10">
        <f t="shared" si="275"/>
        <v>5.0734313739830998</v>
      </c>
      <c r="AC596" s="10">
        <f t="shared" si="276"/>
        <v>4.9724313739830999</v>
      </c>
      <c r="AD596" s="3">
        <f t="shared" si="277"/>
        <v>721.16481131009425</v>
      </c>
      <c r="AI596" s="94">
        <f t="shared" si="278"/>
        <v>0.45139382535584949</v>
      </c>
    </row>
    <row r="597" spans="2:35">
      <c r="B597" s="39">
        <f t="shared" si="279"/>
        <v>569</v>
      </c>
      <c r="C597" s="42">
        <f t="shared" si="280"/>
        <v>3.7796882493965307</v>
      </c>
      <c r="D597" s="10">
        <f t="shared" si="281"/>
        <v>1.7603117506029644</v>
      </c>
      <c r="E597" s="40">
        <f t="shared" si="282"/>
        <v>27.559376498794069</v>
      </c>
      <c r="F597" s="40">
        <f t="shared" si="283"/>
        <v>31.08</v>
      </c>
      <c r="G597" s="3">
        <f t="shared" si="284"/>
        <v>196.16249400483181</v>
      </c>
      <c r="H597" s="3">
        <f t="shared" si="285"/>
        <v>81.256230789298584</v>
      </c>
      <c r="I597">
        <f t="shared" si="270"/>
        <v>8.1256230789298584E-5</v>
      </c>
      <c r="J597" s="4">
        <f t="shared" si="286"/>
        <v>596.52501066503146</v>
      </c>
      <c r="K597" s="40">
        <f t="shared" si="287"/>
        <v>7.3412833067761936</v>
      </c>
      <c r="L597" s="40">
        <f t="shared" si="271"/>
        <v>0</v>
      </c>
      <c r="M597" s="10">
        <f t="shared" si="288"/>
        <v>5.0734313739830998</v>
      </c>
      <c r="N597" s="10">
        <f t="shared" si="267"/>
        <v>8.26</v>
      </c>
      <c r="O597" s="10">
        <f t="shared" si="268"/>
        <v>0.31900000000000001</v>
      </c>
      <c r="P597" s="10">
        <f t="shared" si="289"/>
        <v>13.866642480378538</v>
      </c>
      <c r="Q597" s="42">
        <f t="shared" si="290"/>
        <v>0.27582563165349189</v>
      </c>
      <c r="R597" s="4">
        <f t="shared" si="291"/>
        <v>31806.419558644571</v>
      </c>
      <c r="S597">
        <f t="shared" si="272"/>
        <v>3.1806419558644574E-5</v>
      </c>
      <c r="T597" s="41">
        <f t="shared" si="273"/>
        <v>1.4799795248323925E-4</v>
      </c>
      <c r="U597" s="42">
        <f t="shared" si="292"/>
        <v>5.7078210218965614E-2</v>
      </c>
      <c r="V597" s="42">
        <f t="shared" si="293"/>
        <v>0.45492301804071972</v>
      </c>
      <c r="W597" s="42">
        <f t="shared" si="294"/>
        <v>0.45136196072146689</v>
      </c>
      <c r="X597" s="42">
        <f t="shared" si="295"/>
        <v>3.561057319252825E-3</v>
      </c>
      <c r="Y597" s="42">
        <f t="shared" si="269"/>
        <v>2.276080399950873E-3</v>
      </c>
      <c r="Z597" s="10">
        <f t="shared" si="296"/>
        <v>15.379134385042514</v>
      </c>
      <c r="AA597">
        <f t="shared" si="274"/>
        <v>5073077.8066400718</v>
      </c>
      <c r="AB597" s="10">
        <f t="shared" si="275"/>
        <v>5.0730778066400717</v>
      </c>
      <c r="AC597" s="10">
        <f t="shared" si="276"/>
        <v>4.9720778066400717</v>
      </c>
      <c r="AD597" s="3">
        <f t="shared" si="277"/>
        <v>721.11353250762465</v>
      </c>
      <c r="AI597" s="94">
        <f t="shared" si="278"/>
        <v>0.45136196072146689</v>
      </c>
    </row>
    <row r="598" spans="2:35">
      <c r="B598" s="39">
        <f t="shared" si="279"/>
        <v>570</v>
      </c>
      <c r="C598" s="42">
        <f t="shared" si="280"/>
        <v>3.7863309352478427</v>
      </c>
      <c r="D598" s="10">
        <f t="shared" si="281"/>
        <v>1.7536690647516515</v>
      </c>
      <c r="E598" s="40">
        <f t="shared" si="282"/>
        <v>27.572661870496695</v>
      </c>
      <c r="F598" s="40">
        <f t="shared" si="283"/>
        <v>31.08</v>
      </c>
      <c r="G598" s="3">
        <f t="shared" si="284"/>
        <v>196.10935251802132</v>
      </c>
      <c r="H598" s="3">
        <f t="shared" si="285"/>
        <v>81.256230789298584</v>
      </c>
      <c r="I598">
        <f t="shared" si="270"/>
        <v>8.1256230789298584E-5</v>
      </c>
      <c r="J598" s="4">
        <f t="shared" si="286"/>
        <v>597.10027525329235</v>
      </c>
      <c r="K598" s="40">
        <f t="shared" si="287"/>
        <v>7.3483629434104918</v>
      </c>
      <c r="L598" s="40">
        <f t="shared" si="271"/>
        <v>0</v>
      </c>
      <c r="M598" s="10">
        <f t="shared" si="288"/>
        <v>5.0730778066400717</v>
      </c>
      <c r="N598" s="10">
        <f t="shared" si="267"/>
        <v>8.26</v>
      </c>
      <c r="O598" s="10">
        <f t="shared" si="268"/>
        <v>0.31900000000000001</v>
      </c>
      <c r="P598" s="10">
        <f t="shared" si="289"/>
        <v>13.866334202286817</v>
      </c>
      <c r="Q598" s="42">
        <f t="shared" si="290"/>
        <v>0.27630468298417571</v>
      </c>
      <c r="R598" s="4">
        <f t="shared" si="291"/>
        <v>31684.988260619004</v>
      </c>
      <c r="S598">
        <f t="shared" si="272"/>
        <v>3.1684988260619007E-5</v>
      </c>
      <c r="T598" s="41">
        <f t="shared" si="273"/>
        <v>1.4811938378126482E-4</v>
      </c>
      <c r="U598" s="42">
        <f t="shared" si="292"/>
        <v>5.686029568309383E-2</v>
      </c>
      <c r="V598" s="42">
        <f t="shared" si="293"/>
        <v>0.45488765381513913</v>
      </c>
      <c r="W598" s="42">
        <f t="shared" si="294"/>
        <v>0.45132986639231609</v>
      </c>
      <c r="X598" s="42">
        <f t="shared" si="295"/>
        <v>3.5577874228230333E-3</v>
      </c>
      <c r="Y598" s="42">
        <f t="shared" si="269"/>
        <v>2.2777847627500664E-3</v>
      </c>
      <c r="Z598" s="10">
        <f t="shared" si="296"/>
        <v>15.378032939387483</v>
      </c>
      <c r="AA598">
        <f t="shared" si="274"/>
        <v>5072721.7089976761</v>
      </c>
      <c r="AB598" s="10">
        <f t="shared" si="275"/>
        <v>5.0727217089976762</v>
      </c>
      <c r="AC598" s="10">
        <f t="shared" si="276"/>
        <v>4.9717217089976762</v>
      </c>
      <c r="AD598" s="3">
        <f t="shared" si="277"/>
        <v>721.0618867291771</v>
      </c>
      <c r="AI598" s="94">
        <f t="shared" si="278"/>
        <v>0.45132986639231609</v>
      </c>
    </row>
    <row r="599" spans="2:35">
      <c r="B599" s="39">
        <f t="shared" si="279"/>
        <v>571</v>
      </c>
      <c r="C599" s="42">
        <f t="shared" si="280"/>
        <v>3.7929736210991547</v>
      </c>
      <c r="D599" s="10">
        <f t="shared" si="281"/>
        <v>1.7470263789003386</v>
      </c>
      <c r="E599" s="40">
        <f t="shared" si="282"/>
        <v>27.585947242199321</v>
      </c>
      <c r="F599" s="40">
        <f t="shared" si="283"/>
        <v>31.08</v>
      </c>
      <c r="G599" s="3">
        <f t="shared" si="284"/>
        <v>196.05621103121084</v>
      </c>
      <c r="H599" s="3">
        <f t="shared" si="285"/>
        <v>81.256230789298584</v>
      </c>
      <c r="I599">
        <f t="shared" si="270"/>
        <v>8.1256230789298584E-5</v>
      </c>
      <c r="J599" s="4">
        <f t="shared" si="286"/>
        <v>597.67581708883472</v>
      </c>
      <c r="K599" s="40">
        <f t="shared" si="287"/>
        <v>7.3554459920573674</v>
      </c>
      <c r="L599" s="40">
        <f t="shared" si="271"/>
        <v>0</v>
      </c>
      <c r="M599" s="10">
        <f t="shared" si="288"/>
        <v>5.0727217089976762</v>
      </c>
      <c r="N599" s="10">
        <f t="shared" si="267"/>
        <v>8.26</v>
      </c>
      <c r="O599" s="10">
        <f t="shared" si="268"/>
        <v>0.31900000000000001</v>
      </c>
      <c r="P599" s="10">
        <f t="shared" si="289"/>
        <v>13.866023703218223</v>
      </c>
      <c r="Q599" s="42">
        <f t="shared" si="290"/>
        <v>0.27678374504215925</v>
      </c>
      <c r="R599" s="4">
        <f t="shared" si="291"/>
        <v>31563.563747372962</v>
      </c>
      <c r="S599">
        <f t="shared" si="272"/>
        <v>3.1563563747372964E-5</v>
      </c>
      <c r="T599" s="41">
        <f t="shared" si="273"/>
        <v>1.4824080829451086E-4</v>
      </c>
      <c r="U599" s="42">
        <f t="shared" si="292"/>
        <v>5.664239332284815E-2</v>
      </c>
      <c r="V599" s="42">
        <f t="shared" si="293"/>
        <v>0.45485205228498338</v>
      </c>
      <c r="W599" s="42">
        <f t="shared" si="294"/>
        <v>0.45129754238058195</v>
      </c>
      <c r="X599" s="42">
        <f t="shared" si="295"/>
        <v>3.5545099044014261E-3</v>
      </c>
      <c r="Y599" s="42">
        <f t="shared" si="269"/>
        <v>2.2794875935799918E-3</v>
      </c>
      <c r="Z599" s="10">
        <f t="shared" si="296"/>
        <v>15.376923667680769</v>
      </c>
      <c r="AA599">
        <f t="shared" si="274"/>
        <v>5072363.0811909093</v>
      </c>
      <c r="AB599" s="10">
        <f t="shared" si="275"/>
        <v>5.0723630811909093</v>
      </c>
      <c r="AC599" s="10">
        <f t="shared" si="276"/>
        <v>4.9713630811909093</v>
      </c>
      <c r="AD599" s="3">
        <f t="shared" si="277"/>
        <v>721.00987399433052</v>
      </c>
      <c r="AI599" s="94">
        <f t="shared" si="278"/>
        <v>0.45129754238058195</v>
      </c>
    </row>
    <row r="600" spans="2:35">
      <c r="B600" s="39">
        <f t="shared" si="279"/>
        <v>572</v>
      </c>
      <c r="C600" s="42">
        <f t="shared" si="280"/>
        <v>3.7996163069504667</v>
      </c>
      <c r="D600" s="10">
        <f t="shared" si="281"/>
        <v>1.7403836930490257</v>
      </c>
      <c r="E600" s="40">
        <f t="shared" si="282"/>
        <v>27.599232613901947</v>
      </c>
      <c r="F600" s="40">
        <f t="shared" si="283"/>
        <v>31.08</v>
      </c>
      <c r="G600" s="3">
        <f t="shared" si="284"/>
        <v>196.00306954440035</v>
      </c>
      <c r="H600" s="3">
        <f t="shared" si="285"/>
        <v>81.256230789298584</v>
      </c>
      <c r="I600">
        <f t="shared" si="270"/>
        <v>8.1256230789298584E-5</v>
      </c>
      <c r="J600" s="4">
        <f t="shared" si="286"/>
        <v>598.25163617165867</v>
      </c>
      <c r="K600" s="40">
        <f t="shared" si="287"/>
        <v>7.3625324527168221</v>
      </c>
      <c r="L600" s="40">
        <f t="shared" si="271"/>
        <v>0</v>
      </c>
      <c r="M600" s="10">
        <f t="shared" si="288"/>
        <v>5.0723630811909093</v>
      </c>
      <c r="N600" s="10">
        <f t="shared" si="267"/>
        <v>8.26</v>
      </c>
      <c r="O600" s="10">
        <f t="shared" si="268"/>
        <v>0.31900000000000001</v>
      </c>
      <c r="P600" s="10">
        <f t="shared" si="289"/>
        <v>13.865710982972326</v>
      </c>
      <c r="Q600" s="42">
        <f t="shared" si="290"/>
        <v>0.27726281790466661</v>
      </c>
      <c r="R600" s="4">
        <f t="shared" si="291"/>
        <v>31442.146063106436</v>
      </c>
      <c r="S600">
        <f t="shared" si="272"/>
        <v>3.1442146063106436E-5</v>
      </c>
      <c r="T600" s="41">
        <f t="shared" si="273"/>
        <v>1.4836222597877738E-4</v>
      </c>
      <c r="U600" s="42">
        <f t="shared" si="292"/>
        <v>5.6424503217547654E-2</v>
      </c>
      <c r="V600" s="42">
        <f t="shared" si="293"/>
        <v>0.45481621346720447</v>
      </c>
      <c r="W600" s="42">
        <f t="shared" si="294"/>
        <v>0.45126498869851839</v>
      </c>
      <c r="X600" s="42">
        <f t="shared" si="295"/>
        <v>3.5512247686860787E-3</v>
      </c>
      <c r="Y600" s="42">
        <f t="shared" si="269"/>
        <v>2.2811888889953335E-3</v>
      </c>
      <c r="Z600" s="10">
        <f t="shared" si="296"/>
        <v>15.375806570343912</v>
      </c>
      <c r="AA600">
        <f t="shared" si="274"/>
        <v>5072001.9233560534</v>
      </c>
      <c r="AB600" s="10">
        <f t="shared" si="275"/>
        <v>5.0720019233560532</v>
      </c>
      <c r="AC600" s="10">
        <f t="shared" si="276"/>
        <v>4.9710019233560532</v>
      </c>
      <c r="AD600" s="3">
        <f t="shared" si="277"/>
        <v>720.95749432285038</v>
      </c>
      <c r="AI600" s="94">
        <f t="shared" si="278"/>
        <v>0.45126498869851839</v>
      </c>
    </row>
    <row r="601" spans="2:35">
      <c r="B601" s="39">
        <f t="shared" si="279"/>
        <v>573</v>
      </c>
      <c r="C601" s="42">
        <f t="shared" si="280"/>
        <v>3.8062589928017787</v>
      </c>
      <c r="D601" s="10">
        <f t="shared" si="281"/>
        <v>1.7337410071977128</v>
      </c>
      <c r="E601" s="40">
        <f t="shared" si="282"/>
        <v>27.612517985604573</v>
      </c>
      <c r="F601" s="40">
        <f t="shared" si="283"/>
        <v>31.08</v>
      </c>
      <c r="G601" s="3">
        <f t="shared" si="284"/>
        <v>195.94992805758986</v>
      </c>
      <c r="H601" s="3">
        <f t="shared" si="285"/>
        <v>81.256230789298584</v>
      </c>
      <c r="I601">
        <f t="shared" si="270"/>
        <v>8.1256230789298584E-5</v>
      </c>
      <c r="J601" s="4">
        <f t="shared" si="286"/>
        <v>598.82773250176422</v>
      </c>
      <c r="K601" s="40">
        <f t="shared" si="287"/>
        <v>7.369622325388856</v>
      </c>
      <c r="L601" s="40">
        <f t="shared" si="271"/>
        <v>0</v>
      </c>
      <c r="M601" s="10">
        <f t="shared" si="288"/>
        <v>5.0720019233560532</v>
      </c>
      <c r="N601" s="10">
        <f t="shared" si="267"/>
        <v>8.26</v>
      </c>
      <c r="O601" s="10">
        <f t="shared" si="268"/>
        <v>0.31900000000000001</v>
      </c>
      <c r="P601" s="10">
        <f t="shared" si="289"/>
        <v>13.865396041347495</v>
      </c>
      <c r="Q601" s="42">
        <f t="shared" si="290"/>
        <v>0.27774190164893925</v>
      </c>
      <c r="R601" s="4">
        <f t="shared" si="291"/>
        <v>31320.735252019414</v>
      </c>
      <c r="S601">
        <f t="shared" si="272"/>
        <v>3.1320735252019416E-5</v>
      </c>
      <c r="T601" s="41">
        <f t="shared" si="273"/>
        <v>1.4848363678986442E-4</v>
      </c>
      <c r="U601" s="42">
        <f t="shared" si="292"/>
        <v>5.6206625446511435E-2</v>
      </c>
      <c r="V601" s="42">
        <f t="shared" si="293"/>
        <v>0.45478013737871759</v>
      </c>
      <c r="W601" s="42">
        <f t="shared" si="294"/>
        <v>0.45123220535849612</v>
      </c>
      <c r="X601" s="42">
        <f t="shared" si="295"/>
        <v>3.547932020221467E-3</v>
      </c>
      <c r="Y601" s="42">
        <f t="shared" si="269"/>
        <v>2.2828886455520058E-3</v>
      </c>
      <c r="Z601" s="10">
        <f t="shared" si="296"/>
        <v>15.374681647801861</v>
      </c>
      <c r="AA601">
        <f t="shared" si="274"/>
        <v>5071638.2356304973</v>
      </c>
      <c r="AB601" s="10">
        <f t="shared" si="275"/>
        <v>5.0716382356304974</v>
      </c>
      <c r="AC601" s="10">
        <f t="shared" si="276"/>
        <v>4.9706382356304974</v>
      </c>
      <c r="AD601" s="3">
        <f t="shared" si="277"/>
        <v>720.90474773466246</v>
      </c>
      <c r="AI601" s="94">
        <f t="shared" si="278"/>
        <v>0.45123220535849612</v>
      </c>
    </row>
    <row r="602" spans="2:35">
      <c r="B602" s="39">
        <f t="shared" si="279"/>
        <v>574</v>
      </c>
      <c r="C602" s="42">
        <f t="shared" si="280"/>
        <v>3.8129016786530907</v>
      </c>
      <c r="D602" s="10">
        <f t="shared" si="281"/>
        <v>1.7270983213464</v>
      </c>
      <c r="E602" s="40">
        <f t="shared" si="282"/>
        <v>27.625803357307198</v>
      </c>
      <c r="F602" s="40">
        <f t="shared" si="283"/>
        <v>31.08</v>
      </c>
      <c r="G602" s="3">
        <f t="shared" si="284"/>
        <v>195.89678657077937</v>
      </c>
      <c r="H602" s="3">
        <f t="shared" si="285"/>
        <v>81.256230789298584</v>
      </c>
      <c r="I602">
        <f t="shared" si="270"/>
        <v>8.1256230789298584E-5</v>
      </c>
      <c r="J602" s="4">
        <f t="shared" si="286"/>
        <v>599.40410607915123</v>
      </c>
      <c r="K602" s="40">
        <f t="shared" si="287"/>
        <v>7.3767156100734681</v>
      </c>
      <c r="L602" s="40">
        <f t="shared" si="271"/>
        <v>0</v>
      </c>
      <c r="M602" s="10">
        <f t="shared" si="288"/>
        <v>5.0716382356304974</v>
      </c>
      <c r="N602" s="10">
        <f t="shared" si="267"/>
        <v>8.26</v>
      </c>
      <c r="O602" s="10">
        <f t="shared" si="268"/>
        <v>0.31900000000000001</v>
      </c>
      <c r="P602" s="10">
        <f t="shared" si="289"/>
        <v>13.865078878140785</v>
      </c>
      <c r="Q602" s="42">
        <f t="shared" si="290"/>
        <v>0.27822099635223624</v>
      </c>
      <c r="R602" s="4">
        <f t="shared" si="291"/>
        <v>31199.33135831192</v>
      </c>
      <c r="S602">
        <f t="shared" si="272"/>
        <v>3.1199331358311921E-5</v>
      </c>
      <c r="T602" s="41">
        <f t="shared" si="273"/>
        <v>1.4860504068357191E-4</v>
      </c>
      <c r="U602" s="42">
        <f t="shared" si="292"/>
        <v>5.5988760089058655E-2</v>
      </c>
      <c r="V602" s="42">
        <f t="shared" si="293"/>
        <v>0.45474382403623897</v>
      </c>
      <c r="W602" s="42">
        <f t="shared" si="294"/>
        <v>0.45119919237298645</v>
      </c>
      <c r="X602" s="42">
        <f t="shared" si="295"/>
        <v>3.5446316632525288E-3</v>
      </c>
      <c r="Y602" s="42">
        <f t="shared" si="269"/>
        <v>2.2845868598070089E-3</v>
      </c>
      <c r="Z602" s="10">
        <f t="shared" si="296"/>
        <v>15.373548900481994</v>
      </c>
      <c r="AA602">
        <f t="shared" si="274"/>
        <v>5071272.0181524111</v>
      </c>
      <c r="AB602" s="10">
        <f t="shared" si="275"/>
        <v>5.0712720181524107</v>
      </c>
      <c r="AC602" s="10">
        <f t="shared" si="276"/>
        <v>4.9702720181524107</v>
      </c>
      <c r="AD602" s="3">
        <f t="shared" si="277"/>
        <v>720.85163424980578</v>
      </c>
      <c r="AI602" s="94">
        <f t="shared" si="278"/>
        <v>0.45119919237298645</v>
      </c>
    </row>
    <row r="603" spans="2:35">
      <c r="B603" s="39">
        <f t="shared" si="279"/>
        <v>575</v>
      </c>
      <c r="C603" s="42">
        <f t="shared" si="280"/>
        <v>3.8195443645044027</v>
      </c>
      <c r="D603" s="10">
        <f t="shared" si="281"/>
        <v>1.7204556354950871</v>
      </c>
      <c r="E603" s="40">
        <f t="shared" si="282"/>
        <v>27.639088729009824</v>
      </c>
      <c r="F603" s="40">
        <f t="shared" si="283"/>
        <v>31.08</v>
      </c>
      <c r="G603" s="3">
        <f t="shared" si="284"/>
        <v>195.84364508396888</v>
      </c>
      <c r="H603" s="3">
        <f t="shared" si="285"/>
        <v>81.256230789298584</v>
      </c>
      <c r="I603">
        <f t="shared" si="270"/>
        <v>8.1256230789298584E-5</v>
      </c>
      <c r="J603" s="4">
        <f t="shared" si="286"/>
        <v>599.98075690381984</v>
      </c>
      <c r="K603" s="40">
        <f t="shared" si="287"/>
        <v>7.3838123067706594</v>
      </c>
      <c r="L603" s="40">
        <f t="shared" si="271"/>
        <v>0</v>
      </c>
      <c r="M603" s="10">
        <f t="shared" si="288"/>
        <v>5.0712720181524107</v>
      </c>
      <c r="N603" s="10">
        <f t="shared" si="267"/>
        <v>8.26</v>
      </c>
      <c r="O603" s="10">
        <f t="shared" si="268"/>
        <v>0.31900000000000001</v>
      </c>
      <c r="P603" s="10">
        <f t="shared" si="289"/>
        <v>13.864759493147615</v>
      </c>
      <c r="Q603" s="42">
        <f t="shared" si="290"/>
        <v>0.27870010209183416</v>
      </c>
      <c r="R603" s="4">
        <f t="shared" si="291"/>
        <v>31077.934426183932</v>
      </c>
      <c r="S603">
        <f t="shared" si="272"/>
        <v>3.1077934426183932E-5</v>
      </c>
      <c r="T603" s="41">
        <f t="shared" si="273"/>
        <v>1.487264376156999E-4</v>
      </c>
      <c r="U603" s="42">
        <f t="shared" si="292"/>
        <v>5.5770907224508372E-2</v>
      </c>
      <c r="V603" s="42">
        <f t="shared" si="293"/>
        <v>0.45470727345723855</v>
      </c>
      <c r="W603" s="42">
        <f t="shared" si="294"/>
        <v>0.45116594975453139</v>
      </c>
      <c r="X603" s="42">
        <f t="shared" si="295"/>
        <v>3.5413237027071554E-3</v>
      </c>
      <c r="Y603" s="42">
        <f t="shared" si="269"/>
        <v>2.2862835283187499E-3</v>
      </c>
      <c r="Z603" s="10">
        <f t="shared" si="296"/>
        <v>15.372408328816212</v>
      </c>
      <c r="AA603">
        <f t="shared" si="274"/>
        <v>5070903.2710614279</v>
      </c>
      <c r="AB603" s="10">
        <f t="shared" si="275"/>
        <v>5.0709032710614279</v>
      </c>
      <c r="AC603" s="10">
        <f t="shared" si="276"/>
        <v>4.9699032710614279</v>
      </c>
      <c r="AD603" s="3">
        <f t="shared" si="277"/>
        <v>720.79815388853194</v>
      </c>
      <c r="AI603" s="94">
        <f t="shared" si="278"/>
        <v>0.45116594975453139</v>
      </c>
    </row>
    <row r="604" spans="2:35">
      <c r="B604" s="39">
        <f t="shared" si="279"/>
        <v>576</v>
      </c>
      <c r="C604" s="42">
        <f t="shared" si="280"/>
        <v>3.8261870503557147</v>
      </c>
      <c r="D604" s="10">
        <f t="shared" si="281"/>
        <v>1.7138129496437742</v>
      </c>
      <c r="E604" s="40">
        <f t="shared" si="282"/>
        <v>27.65237410071245</v>
      </c>
      <c r="F604" s="40">
        <f t="shared" si="283"/>
        <v>31.08</v>
      </c>
      <c r="G604" s="3">
        <f t="shared" si="284"/>
        <v>195.79050359715839</v>
      </c>
      <c r="H604" s="3">
        <f t="shared" si="285"/>
        <v>81.256230789298584</v>
      </c>
      <c r="I604">
        <f t="shared" si="270"/>
        <v>8.1256230789298584E-5</v>
      </c>
      <c r="J604" s="4">
        <f t="shared" si="286"/>
        <v>600.55768497577003</v>
      </c>
      <c r="K604" s="40">
        <f t="shared" si="287"/>
        <v>7.3909124154804289</v>
      </c>
      <c r="L604" s="40">
        <f t="shared" si="271"/>
        <v>0</v>
      </c>
      <c r="M604" s="10">
        <f t="shared" si="288"/>
        <v>5.0709032710614279</v>
      </c>
      <c r="N604" s="10">
        <f t="shared" ref="N604:N667" si="297">IF(fueltype=1,VLOOKUP($M604,kndxbn_,4),IF(fueltype=2,VLOOKUP($M604,knsobn_,4),IF(fueltype=3,VLOOKUP($M604,knsbcobn_,4),IF(fueltype=4,VLOOKUP($M604,knsubn_,4),IF(fueltype=5,am_1,IF(fueltype=6,am_0,IF(fueltype=7,am_3,am_4)))))))</f>
        <v>8.26</v>
      </c>
      <c r="O604" s="10">
        <f t="shared" ref="O604:O667" si="298">IF(fueltype=1,VLOOKUP($M604,kndxbn_,5),IF(fueltype=2,VLOOKUP($M604,knsobn_,5),IF(fueltype=3,VLOOKUP($M604,knsbcobn_,5),IF(fueltype=4,VLOOKUP($M604,knsubn_,5),IF(fueltype=5,nm_1,IF(fueltype=6,an_0,IF(fueltype=7,nm_3,nm_4)))))))</f>
        <v>0.31900000000000001</v>
      </c>
      <c r="P604" s="10">
        <f t="shared" si="289"/>
        <v>13.864437886162381</v>
      </c>
      <c r="Q604" s="42">
        <f t="shared" si="290"/>
        <v>0.27917921894502745</v>
      </c>
      <c r="R604" s="4">
        <f t="shared" si="291"/>
        <v>30956.544499835443</v>
      </c>
      <c r="S604">
        <f t="shared" si="272"/>
        <v>3.0956544499835444E-5</v>
      </c>
      <c r="T604" s="41">
        <f t="shared" si="273"/>
        <v>1.4884782754204839E-4</v>
      </c>
      <c r="U604" s="42">
        <f t="shared" si="292"/>
        <v>5.5553066932179686E-2</v>
      </c>
      <c r="V604" s="42">
        <f t="shared" si="293"/>
        <v>0.45467048565874646</v>
      </c>
      <c r="W604" s="42">
        <f t="shared" si="294"/>
        <v>0.45113247751580582</v>
      </c>
      <c r="X604" s="42">
        <f t="shared" si="295"/>
        <v>3.5380081429406407E-3</v>
      </c>
      <c r="Y604" s="42">
        <f t="shared" si="269"/>
        <v>2.2879786476467678E-3</v>
      </c>
      <c r="Z604" s="10">
        <f t="shared" si="296"/>
        <v>15.371259933239074</v>
      </c>
      <c r="AA604">
        <f t="shared" si="274"/>
        <v>5070531.9944980424</v>
      </c>
      <c r="AB604" s="10">
        <f t="shared" si="275"/>
        <v>5.070531994498042</v>
      </c>
      <c r="AC604" s="10">
        <f t="shared" si="276"/>
        <v>4.9695319944980421</v>
      </c>
      <c r="AD604" s="3">
        <f t="shared" si="277"/>
        <v>720.74430667121715</v>
      </c>
      <c r="AI604" s="94">
        <f t="shared" si="278"/>
        <v>0.45113247751580582</v>
      </c>
    </row>
    <row r="605" spans="2:35">
      <c r="B605" s="39">
        <f t="shared" si="279"/>
        <v>577</v>
      </c>
      <c r="C605" s="42">
        <f t="shared" si="280"/>
        <v>3.8328297362070267</v>
      </c>
      <c r="D605" s="10">
        <f t="shared" si="281"/>
        <v>1.7071702637924613</v>
      </c>
      <c r="E605" s="40">
        <f t="shared" si="282"/>
        <v>27.665659472415076</v>
      </c>
      <c r="F605" s="40">
        <f t="shared" si="283"/>
        <v>31.08</v>
      </c>
      <c r="G605" s="3">
        <f t="shared" si="284"/>
        <v>195.7373621103479</v>
      </c>
      <c r="H605" s="3">
        <f t="shared" si="285"/>
        <v>81.256230789298584</v>
      </c>
      <c r="I605">
        <f t="shared" si="270"/>
        <v>8.1256230789298584E-5</v>
      </c>
      <c r="J605" s="4">
        <f t="shared" si="286"/>
        <v>601.1348902950017</v>
      </c>
      <c r="K605" s="40">
        <f t="shared" si="287"/>
        <v>7.3980159362027775</v>
      </c>
      <c r="L605" s="40">
        <f t="shared" si="271"/>
        <v>0</v>
      </c>
      <c r="M605" s="10">
        <f t="shared" si="288"/>
        <v>5.070531994498042</v>
      </c>
      <c r="N605" s="10">
        <f t="shared" si="297"/>
        <v>8.26</v>
      </c>
      <c r="O605" s="10">
        <f t="shared" si="298"/>
        <v>0.31900000000000001</v>
      </c>
      <c r="P605" s="10">
        <f t="shared" si="289"/>
        <v>13.864114056977927</v>
      </c>
      <c r="Q605" s="42">
        <f t="shared" si="290"/>
        <v>0.27965834698912839</v>
      </c>
      <c r="R605" s="4">
        <f t="shared" si="291"/>
        <v>30835.161623466476</v>
      </c>
      <c r="S605">
        <f t="shared" si="272"/>
        <v>3.0835161623466474E-5</v>
      </c>
      <c r="T605" s="41">
        <f t="shared" si="273"/>
        <v>1.4896921041841735E-4</v>
      </c>
      <c r="U605" s="42">
        <f t="shared" si="292"/>
        <v>5.5335239291391759E-2</v>
      </c>
      <c r="V605" s="42">
        <f t="shared" si="293"/>
        <v>0.45463346065803567</v>
      </c>
      <c r="W605" s="42">
        <f t="shared" si="294"/>
        <v>0.45109877566956275</v>
      </c>
      <c r="X605" s="42">
        <f t="shared" si="295"/>
        <v>3.5346849884729248E-3</v>
      </c>
      <c r="Y605" s="42">
        <f t="shared" si="269"/>
        <v>2.289672214351808E-3</v>
      </c>
      <c r="Z605" s="10">
        <f t="shared" si="296"/>
        <v>15.370103714188254</v>
      </c>
      <c r="AA605">
        <f t="shared" si="274"/>
        <v>5070158.1886037532</v>
      </c>
      <c r="AB605" s="10">
        <f t="shared" si="275"/>
        <v>5.0701581886037532</v>
      </c>
      <c r="AC605" s="10">
        <f t="shared" si="276"/>
        <v>4.9691581886037532</v>
      </c>
      <c r="AD605" s="3">
        <f t="shared" si="277"/>
        <v>720.69009261838335</v>
      </c>
      <c r="AI605" s="94">
        <f t="shared" si="278"/>
        <v>0.45109877566956275</v>
      </c>
    </row>
    <row r="606" spans="2:35">
      <c r="B606" s="39">
        <f t="shared" si="279"/>
        <v>578</v>
      </c>
      <c r="C606" s="42">
        <f t="shared" si="280"/>
        <v>3.8394724220583387</v>
      </c>
      <c r="D606" s="10">
        <f t="shared" si="281"/>
        <v>1.7005275779411484</v>
      </c>
      <c r="E606" s="40">
        <f t="shared" si="282"/>
        <v>27.678944844117702</v>
      </c>
      <c r="F606" s="40">
        <f t="shared" si="283"/>
        <v>31.08</v>
      </c>
      <c r="G606" s="3">
        <f t="shared" si="284"/>
        <v>195.68422062353741</v>
      </c>
      <c r="H606" s="3">
        <f t="shared" si="285"/>
        <v>81.256230789298584</v>
      </c>
      <c r="I606">
        <f t="shared" si="270"/>
        <v>8.1256230789298584E-5</v>
      </c>
      <c r="J606" s="4">
        <f t="shared" si="286"/>
        <v>601.71237286151495</v>
      </c>
      <c r="K606" s="40">
        <f t="shared" si="287"/>
        <v>7.4051228689377044</v>
      </c>
      <c r="L606" s="40">
        <f t="shared" si="271"/>
        <v>0</v>
      </c>
      <c r="M606" s="10">
        <f t="shared" si="288"/>
        <v>5.0701581886037532</v>
      </c>
      <c r="N606" s="10">
        <f t="shared" si="297"/>
        <v>8.26</v>
      </c>
      <c r="O606" s="10">
        <f t="shared" si="298"/>
        <v>0.31900000000000001</v>
      </c>
      <c r="P606" s="10">
        <f t="shared" si="289"/>
        <v>13.863788005385668</v>
      </c>
      <c r="Q606" s="42">
        <f t="shared" si="290"/>
        <v>0.28013748630146723</v>
      </c>
      <c r="R606" s="4">
        <f t="shared" si="291"/>
        <v>30713.785841277011</v>
      </c>
      <c r="S606">
        <f t="shared" si="272"/>
        <v>3.0713785841277009E-5</v>
      </c>
      <c r="T606" s="41">
        <f t="shared" si="273"/>
        <v>1.4909058620060682E-4</v>
      </c>
      <c r="U606" s="42">
        <f t="shared" si="292"/>
        <v>5.5117424381463657E-2</v>
      </c>
      <c r="V606" s="42">
        <f t="shared" si="293"/>
        <v>0.45459619847278782</v>
      </c>
      <c r="W606" s="42">
        <f t="shared" si="294"/>
        <v>0.45106484422864679</v>
      </c>
      <c r="X606" s="42">
        <f t="shared" si="295"/>
        <v>3.5313542441410273E-3</v>
      </c>
      <c r="Y606" s="42">
        <f t="shared" ref="Y606:Y669" si="299">IF((X606*(Q606-Q605)+Y605)&lt;0,0,X606*(Q606-Q605)+Y605)</f>
        <v>2.2913642249959704E-3</v>
      </c>
      <c r="Z606" s="10">
        <f t="shared" si="296"/>
        <v>15.368939672105496</v>
      </c>
      <c r="AA606">
        <f t="shared" si="274"/>
        <v>5069781.8535213759</v>
      </c>
      <c r="AB606" s="10">
        <f t="shared" si="275"/>
        <v>5.0697818535213761</v>
      </c>
      <c r="AC606" s="10">
        <f t="shared" si="276"/>
        <v>4.9687818535213761</v>
      </c>
      <c r="AD606" s="3">
        <f t="shared" si="277"/>
        <v>720.63551175074338</v>
      </c>
      <c r="AI606" s="94">
        <f t="shared" si="278"/>
        <v>0.45106484422864679</v>
      </c>
    </row>
    <row r="607" spans="2:35">
      <c r="B607" s="39">
        <f t="shared" si="279"/>
        <v>579</v>
      </c>
      <c r="C607" s="42">
        <f t="shared" si="280"/>
        <v>3.8461151079096507</v>
      </c>
      <c r="D607" s="10">
        <f t="shared" si="281"/>
        <v>1.6938848920898355</v>
      </c>
      <c r="E607" s="40">
        <f t="shared" si="282"/>
        <v>27.692230215820327</v>
      </c>
      <c r="F607" s="40">
        <f t="shared" si="283"/>
        <v>31.08</v>
      </c>
      <c r="G607" s="3">
        <f t="shared" si="284"/>
        <v>195.63107913672692</v>
      </c>
      <c r="H607" s="3">
        <f t="shared" si="285"/>
        <v>81.256230789298584</v>
      </c>
      <c r="I607">
        <f t="shared" si="270"/>
        <v>8.1256230789298584E-5</v>
      </c>
      <c r="J607" s="4">
        <f t="shared" si="286"/>
        <v>602.29013267530991</v>
      </c>
      <c r="K607" s="40">
        <f t="shared" si="287"/>
        <v>7.4122332136852123</v>
      </c>
      <c r="L607" s="40">
        <f t="shared" si="271"/>
        <v>0</v>
      </c>
      <c r="M607" s="10">
        <f t="shared" si="288"/>
        <v>5.0697818535213761</v>
      </c>
      <c r="N607" s="10">
        <f t="shared" si="297"/>
        <v>8.26</v>
      </c>
      <c r="O607" s="10">
        <f t="shared" si="298"/>
        <v>0.31900000000000001</v>
      </c>
      <c r="P607" s="10">
        <f t="shared" si="289"/>
        <v>13.863459731175858</v>
      </c>
      <c r="Q607" s="42">
        <f t="shared" si="290"/>
        <v>0.28061663695939243</v>
      </c>
      <c r="R607" s="4">
        <f t="shared" si="291"/>
        <v>30592.417197467046</v>
      </c>
      <c r="S607">
        <f t="shared" si="272"/>
        <v>3.0592417197467045E-5</v>
      </c>
      <c r="T607" s="41">
        <f t="shared" si="273"/>
        <v>1.4921195484441678E-4</v>
      </c>
      <c r="U607" s="42">
        <f t="shared" si="292"/>
        <v>5.489962228171448E-2</v>
      </c>
      <c r="V607" s="42">
        <f t="shared" si="293"/>
        <v>0.45455869912043223</v>
      </c>
      <c r="W607" s="42">
        <f t="shared" si="294"/>
        <v>0.4510306832060213</v>
      </c>
      <c r="X607" s="42">
        <f t="shared" si="295"/>
        <v>3.5280159144109313E-3</v>
      </c>
      <c r="Y607" s="42">
        <f t="shared" si="299"/>
        <v>2.293054676142531E-3</v>
      </c>
      <c r="Z607" s="10">
        <f t="shared" si="296"/>
        <v>15.367767807435387</v>
      </c>
      <c r="AA607">
        <f t="shared" si="274"/>
        <v>5069402.9893946471</v>
      </c>
      <c r="AB607" s="10">
        <f t="shared" si="275"/>
        <v>5.0694029893946473</v>
      </c>
      <c r="AC607" s="10">
        <f t="shared" si="276"/>
        <v>4.9684029893946473</v>
      </c>
      <c r="AD607" s="3">
        <f t="shared" si="277"/>
        <v>720.58056408914388</v>
      </c>
      <c r="AI607" s="94">
        <f t="shared" si="278"/>
        <v>0.4510306832060213</v>
      </c>
    </row>
    <row r="608" spans="2:35">
      <c r="B608" s="39">
        <f t="shared" si="279"/>
        <v>580</v>
      </c>
      <c r="C608" s="42">
        <f t="shared" si="280"/>
        <v>3.8527577937609627</v>
      </c>
      <c r="D608" s="10">
        <f t="shared" si="281"/>
        <v>1.6872422062385226</v>
      </c>
      <c r="E608" s="40">
        <f t="shared" si="282"/>
        <v>27.705515587522953</v>
      </c>
      <c r="F608" s="40">
        <f t="shared" si="283"/>
        <v>31.08</v>
      </c>
      <c r="G608" s="3">
        <f t="shared" si="284"/>
        <v>195.57793764991644</v>
      </c>
      <c r="H608" s="3">
        <f t="shared" si="285"/>
        <v>81.256230789298584</v>
      </c>
      <c r="I608">
        <f t="shared" si="270"/>
        <v>8.1256230789298584E-5</v>
      </c>
      <c r="J608" s="4">
        <f t="shared" si="286"/>
        <v>602.86816973638633</v>
      </c>
      <c r="K608" s="40">
        <f t="shared" si="287"/>
        <v>7.4193469704452975</v>
      </c>
      <c r="L608" s="40">
        <f t="shared" si="271"/>
        <v>0</v>
      </c>
      <c r="M608" s="10">
        <f t="shared" si="288"/>
        <v>5.0694029893946473</v>
      </c>
      <c r="N608" s="10">
        <f t="shared" si="297"/>
        <v>8.26</v>
      </c>
      <c r="O608" s="10">
        <f t="shared" si="298"/>
        <v>0.31900000000000001</v>
      </c>
      <c r="P608" s="10">
        <f t="shared" si="289"/>
        <v>13.863129234137253</v>
      </c>
      <c r="Q608" s="42">
        <f t="shared" si="290"/>
        <v>0.2810957990402706</v>
      </c>
      <c r="R608" s="4">
        <f t="shared" si="291"/>
        <v>30471.055736236576</v>
      </c>
      <c r="S608">
        <f t="shared" si="272"/>
        <v>3.0471055736236576E-5</v>
      </c>
      <c r="T608" s="41">
        <f t="shared" si="273"/>
        <v>1.4933331630564726E-4</v>
      </c>
      <c r="U608" s="42">
        <f t="shared" si="292"/>
        <v>5.4681833071463341E-2</v>
      </c>
      <c r="V608" s="42">
        <f t="shared" si="293"/>
        <v>0.4545209626187281</v>
      </c>
      <c r="W608" s="42">
        <f t="shared" si="294"/>
        <v>0.45099629261473378</v>
      </c>
      <c r="X608" s="42">
        <f t="shared" si="295"/>
        <v>3.5246700039943124E-3</v>
      </c>
      <c r="Y608" s="42">
        <f t="shared" si="299"/>
        <v>2.2947435643560538E-3</v>
      </c>
      <c r="Z608" s="10">
        <f t="shared" si="296"/>
        <v>15.366588120626064</v>
      </c>
      <c r="AA608">
        <f t="shared" si="274"/>
        <v>5069021.5963684488</v>
      </c>
      <c r="AB608" s="10">
        <f t="shared" si="275"/>
        <v>5.0690215963684491</v>
      </c>
      <c r="AC608" s="10">
        <f t="shared" si="276"/>
        <v>4.9680215963684491</v>
      </c>
      <c r="AD608" s="3">
        <f t="shared" si="277"/>
        <v>720.52524965459736</v>
      </c>
      <c r="AI608" s="94">
        <f t="shared" si="278"/>
        <v>0.45099629261473378</v>
      </c>
    </row>
    <row r="609" spans="2:35">
      <c r="B609" s="39">
        <f t="shared" si="279"/>
        <v>581</v>
      </c>
      <c r="C609" s="42">
        <f t="shared" si="280"/>
        <v>3.8594004796122747</v>
      </c>
      <c r="D609" s="10">
        <f t="shared" si="281"/>
        <v>1.6805995203872097</v>
      </c>
      <c r="E609" s="40">
        <f t="shared" si="282"/>
        <v>27.718800959225579</v>
      </c>
      <c r="F609" s="40">
        <f t="shared" si="283"/>
        <v>31.08</v>
      </c>
      <c r="G609" s="3">
        <f t="shared" si="284"/>
        <v>195.52479616310595</v>
      </c>
      <c r="H609" s="3">
        <f t="shared" si="285"/>
        <v>81.256230789298584</v>
      </c>
      <c r="I609">
        <f t="shared" si="270"/>
        <v>8.1256230789298584E-5</v>
      </c>
      <c r="J609" s="4">
        <f t="shared" si="286"/>
        <v>603.44648404474424</v>
      </c>
      <c r="K609" s="40">
        <f t="shared" si="287"/>
        <v>7.42646413921796</v>
      </c>
      <c r="L609" s="40">
        <f t="shared" si="271"/>
        <v>0</v>
      </c>
      <c r="M609" s="10">
        <f t="shared" si="288"/>
        <v>5.0690215963684491</v>
      </c>
      <c r="N609" s="10">
        <f t="shared" si="297"/>
        <v>8.26</v>
      </c>
      <c r="O609" s="10">
        <f t="shared" si="298"/>
        <v>0.31900000000000001</v>
      </c>
      <c r="P609" s="10">
        <f t="shared" si="289"/>
        <v>13.862796514057298</v>
      </c>
      <c r="Q609" s="42">
        <f t="shared" si="290"/>
        <v>0.28157497262148679</v>
      </c>
      <c r="R609" s="4">
        <f t="shared" si="291"/>
        <v>30349.701501785617</v>
      </c>
      <c r="S609">
        <f t="shared" si="272"/>
        <v>3.0349701501785616E-5</v>
      </c>
      <c r="T609" s="41">
        <f t="shared" si="273"/>
        <v>1.4945467054009823E-4</v>
      </c>
      <c r="U609" s="42">
        <f t="shared" si="292"/>
        <v>5.4464056830029375E-2</v>
      </c>
      <c r="V609" s="42">
        <f t="shared" si="293"/>
        <v>0.45448298898539075</v>
      </c>
      <c r="W609" s="42">
        <f t="shared" si="294"/>
        <v>0.45096167246793584</v>
      </c>
      <c r="X609" s="42">
        <f t="shared" si="295"/>
        <v>3.5213165174549088E-3</v>
      </c>
      <c r="Y609" s="42">
        <f t="shared" si="299"/>
        <v>2.2964308862023185E-3</v>
      </c>
      <c r="Z609" s="10">
        <f t="shared" si="296"/>
        <v>15.365400612128699</v>
      </c>
      <c r="AA609">
        <f t="shared" si="274"/>
        <v>5068637.6745886458</v>
      </c>
      <c r="AB609" s="10">
        <f t="shared" si="275"/>
        <v>5.0686376745886461</v>
      </c>
      <c r="AC609" s="10">
        <f t="shared" si="276"/>
        <v>4.9676376745886461</v>
      </c>
      <c r="AD609" s="3">
        <f t="shared" si="277"/>
        <v>720.46956846825901</v>
      </c>
      <c r="AI609" s="94">
        <f t="shared" si="278"/>
        <v>0.45096167246793584</v>
      </c>
    </row>
    <row r="610" spans="2:35">
      <c r="B610" s="39">
        <f t="shared" si="279"/>
        <v>582</v>
      </c>
      <c r="C610" s="42">
        <f t="shared" si="280"/>
        <v>3.8660431654635867</v>
      </c>
      <c r="D610" s="10">
        <f t="shared" si="281"/>
        <v>1.6739568345358968</v>
      </c>
      <c r="E610" s="40">
        <f t="shared" si="282"/>
        <v>27.732086330928205</v>
      </c>
      <c r="F610" s="40">
        <f t="shared" si="283"/>
        <v>31.08</v>
      </c>
      <c r="G610" s="3">
        <f t="shared" si="284"/>
        <v>195.47165467629546</v>
      </c>
      <c r="H610" s="3">
        <f t="shared" si="285"/>
        <v>81.256230789298584</v>
      </c>
      <c r="I610">
        <f t="shared" si="270"/>
        <v>8.1256230789298584E-5</v>
      </c>
      <c r="J610" s="4">
        <f t="shared" si="286"/>
        <v>604.02507560038384</v>
      </c>
      <c r="K610" s="40">
        <f t="shared" si="287"/>
        <v>7.4335847200032044</v>
      </c>
      <c r="L610" s="40">
        <f t="shared" si="271"/>
        <v>0</v>
      </c>
      <c r="M610" s="10">
        <f t="shared" si="288"/>
        <v>5.0686376745886461</v>
      </c>
      <c r="N610" s="10">
        <f t="shared" si="297"/>
        <v>8.26</v>
      </c>
      <c r="O610" s="10">
        <f t="shared" si="298"/>
        <v>0.31900000000000001</v>
      </c>
      <c r="P610" s="10">
        <f t="shared" si="289"/>
        <v>13.862461570721988</v>
      </c>
      <c r="Q610" s="42">
        <f t="shared" si="290"/>
        <v>0.28205415778044451</v>
      </c>
      <c r="R610" s="4">
        <f t="shared" si="291"/>
        <v>30228.354538314161</v>
      </c>
      <c r="S610">
        <f t="shared" si="272"/>
        <v>3.0228354538314162E-5</v>
      </c>
      <c r="T610" s="41">
        <f t="shared" si="273"/>
        <v>1.4957601750356967E-4</v>
      </c>
      <c r="U610" s="42">
        <f t="shared" si="292"/>
        <v>5.4246293636731675E-2</v>
      </c>
      <c r="V610" s="42">
        <f t="shared" si="293"/>
        <v>0.45444477823844687</v>
      </c>
      <c r="W610" s="42">
        <f t="shared" si="294"/>
        <v>0.45092682277886781</v>
      </c>
      <c r="X610" s="42">
        <f t="shared" si="295"/>
        <v>3.5179554595790585E-3</v>
      </c>
      <c r="Y610" s="42">
        <f t="shared" si="299"/>
        <v>2.2981166382484231E-3</v>
      </c>
      <c r="Z610" s="10">
        <f t="shared" si="296"/>
        <v>15.364205282398149</v>
      </c>
      <c r="AA610">
        <f t="shared" si="274"/>
        <v>5068251.224202292</v>
      </c>
      <c r="AB610" s="10">
        <f t="shared" si="275"/>
        <v>5.0682512242022923</v>
      </c>
      <c r="AC610" s="10">
        <f t="shared" si="276"/>
        <v>4.9672512242022924</v>
      </c>
      <c r="AD610" s="3">
        <f t="shared" si="277"/>
        <v>720.41352055145637</v>
      </c>
      <c r="AI610" s="94">
        <f t="shared" si="278"/>
        <v>0.45092682277886781</v>
      </c>
    </row>
    <row r="611" spans="2:35">
      <c r="B611" s="39">
        <f t="shared" si="279"/>
        <v>583</v>
      </c>
      <c r="C611" s="42">
        <f t="shared" si="280"/>
        <v>3.8726858513148987</v>
      </c>
      <c r="D611" s="10">
        <f t="shared" si="281"/>
        <v>1.6673141486845839</v>
      </c>
      <c r="E611" s="40">
        <f t="shared" si="282"/>
        <v>27.74537170263083</v>
      </c>
      <c r="F611" s="40">
        <f t="shared" si="283"/>
        <v>31.08</v>
      </c>
      <c r="G611" s="3">
        <f t="shared" si="284"/>
        <v>195.41851318948497</v>
      </c>
      <c r="H611" s="3">
        <f t="shared" si="285"/>
        <v>81.256230789298584</v>
      </c>
      <c r="I611">
        <f t="shared" si="270"/>
        <v>8.1256230789298584E-5</v>
      </c>
      <c r="J611" s="4">
        <f t="shared" si="286"/>
        <v>604.60394440330492</v>
      </c>
      <c r="K611" s="40">
        <f t="shared" si="287"/>
        <v>7.4407087128010252</v>
      </c>
      <c r="L611" s="40">
        <f t="shared" si="271"/>
        <v>0</v>
      </c>
      <c r="M611" s="10">
        <f t="shared" si="288"/>
        <v>5.0682512242022923</v>
      </c>
      <c r="N611" s="10">
        <f t="shared" si="297"/>
        <v>8.26</v>
      </c>
      <c r="O611" s="10">
        <f t="shared" si="298"/>
        <v>0.31900000000000001</v>
      </c>
      <c r="P611" s="10">
        <f t="shared" si="289"/>
        <v>13.862124403916049</v>
      </c>
      <c r="Q611" s="42">
        <f t="shared" si="290"/>
        <v>0.28253335459456597</v>
      </c>
      <c r="R611" s="4">
        <f t="shared" si="291"/>
        <v>30107.014890022187</v>
      </c>
      <c r="S611">
        <f t="shared" si="272"/>
        <v>3.0107014890022187E-5</v>
      </c>
      <c r="T611" s="41">
        <f t="shared" si="273"/>
        <v>1.4969735715186165E-4</v>
      </c>
      <c r="U611" s="42">
        <f t="shared" si="292"/>
        <v>5.4028543570889313E-2</v>
      </c>
      <c r="V611" s="42">
        <f t="shared" si="293"/>
        <v>0.45440633039595596</v>
      </c>
      <c r="W611" s="42">
        <f t="shared" si="294"/>
        <v>0.45089174356087819</v>
      </c>
      <c r="X611" s="42">
        <f t="shared" si="295"/>
        <v>3.5145868350777709E-3</v>
      </c>
      <c r="Y611" s="42">
        <f t="shared" si="299"/>
        <v>2.2998008170627454E-3</v>
      </c>
      <c r="Z611" s="10">
        <f t="shared" si="296"/>
        <v>15.363002131892646</v>
      </c>
      <c r="AA611">
        <f t="shared" si="274"/>
        <v>5067862.2453575348</v>
      </c>
      <c r="AB611" s="10">
        <f t="shared" si="275"/>
        <v>5.067862245357535</v>
      </c>
      <c r="AC611" s="10">
        <f t="shared" si="276"/>
        <v>4.9668622453575351</v>
      </c>
      <c r="AD611" s="3">
        <f t="shared" si="277"/>
        <v>720.3571059256758</v>
      </c>
      <c r="AI611" s="94">
        <f t="shared" si="278"/>
        <v>0.45089174356087819</v>
      </c>
    </row>
    <row r="612" spans="2:35">
      <c r="B612" s="39">
        <f t="shared" si="279"/>
        <v>584</v>
      </c>
      <c r="C612" s="42">
        <f t="shared" si="280"/>
        <v>3.8793285371662107</v>
      </c>
      <c r="D612" s="10">
        <f t="shared" si="281"/>
        <v>1.6606714628332711</v>
      </c>
      <c r="E612" s="40">
        <f t="shared" si="282"/>
        <v>27.758657074333456</v>
      </c>
      <c r="F612" s="40">
        <f t="shared" si="283"/>
        <v>31.08</v>
      </c>
      <c r="G612" s="3">
        <f t="shared" si="284"/>
        <v>195.36537170267448</v>
      </c>
      <c r="H612" s="3">
        <f t="shared" si="285"/>
        <v>81.256230789298584</v>
      </c>
      <c r="I612">
        <f t="shared" si="270"/>
        <v>8.1256230789298584E-5</v>
      </c>
      <c r="J612" s="4">
        <f t="shared" si="286"/>
        <v>605.18309045350759</v>
      </c>
      <c r="K612" s="40">
        <f t="shared" si="287"/>
        <v>7.4478361176114261</v>
      </c>
      <c r="L612" s="40">
        <f t="shared" si="271"/>
        <v>0</v>
      </c>
      <c r="M612" s="10">
        <f t="shared" si="288"/>
        <v>5.067862245357535</v>
      </c>
      <c r="N612" s="10">
        <f t="shared" si="297"/>
        <v>8.26</v>
      </c>
      <c r="O612" s="10">
        <f t="shared" si="298"/>
        <v>0.31900000000000001</v>
      </c>
      <c r="P612" s="10">
        <f t="shared" si="289"/>
        <v>13.861785013422848</v>
      </c>
      <c r="Q612" s="42">
        <f t="shared" si="290"/>
        <v>0.28301256314129208</v>
      </c>
      <c r="R612" s="4">
        <f t="shared" si="291"/>
        <v>29985.682601109722</v>
      </c>
      <c r="S612">
        <f t="shared" si="272"/>
        <v>2.9985682601109722E-5</v>
      </c>
      <c r="T612" s="41">
        <f t="shared" si="273"/>
        <v>1.4981868944077411E-4</v>
      </c>
      <c r="U612" s="42">
        <f t="shared" si="292"/>
        <v>5.3810806711821445E-2</v>
      </c>
      <c r="V612" s="42">
        <f t="shared" si="293"/>
        <v>0.45436764547588893</v>
      </c>
      <c r="W612" s="42">
        <f t="shared" si="294"/>
        <v>0.45085643482741489</v>
      </c>
      <c r="X612" s="42">
        <f t="shared" si="295"/>
        <v>3.5112106484740391E-3</v>
      </c>
      <c r="Y612" s="42">
        <f t="shared" si="299"/>
        <v>2.3014834192148499E-3</v>
      </c>
      <c r="Z612" s="10">
        <f t="shared" si="296"/>
        <v>15.361791161073169</v>
      </c>
      <c r="AA612">
        <f t="shared" si="274"/>
        <v>5067470.7382034091</v>
      </c>
      <c r="AB612" s="10">
        <f t="shared" si="275"/>
        <v>5.0674707382034088</v>
      </c>
      <c r="AC612" s="10">
        <f t="shared" si="276"/>
        <v>4.9664707382034088</v>
      </c>
      <c r="AD612" s="3">
        <f t="shared" si="277"/>
        <v>720.30032461253211</v>
      </c>
      <c r="AI612" s="94">
        <f t="shared" si="278"/>
        <v>0.45085643482741489</v>
      </c>
    </row>
    <row r="613" spans="2:35">
      <c r="B613" s="39">
        <f t="shared" si="279"/>
        <v>585</v>
      </c>
      <c r="C613" s="42">
        <f t="shared" si="280"/>
        <v>3.8859712230175227</v>
      </c>
      <c r="D613" s="10">
        <f t="shared" si="281"/>
        <v>1.6540287769819582</v>
      </c>
      <c r="E613" s="40">
        <f t="shared" si="282"/>
        <v>27.771942446036082</v>
      </c>
      <c r="F613" s="40">
        <f t="shared" si="283"/>
        <v>31.08</v>
      </c>
      <c r="G613" s="3">
        <f t="shared" si="284"/>
        <v>195.31223021586399</v>
      </c>
      <c r="H613" s="3">
        <f t="shared" si="285"/>
        <v>81.256230789298584</v>
      </c>
      <c r="I613">
        <f t="shared" si="270"/>
        <v>8.1256230789298584E-5</v>
      </c>
      <c r="J613" s="4">
        <f t="shared" si="286"/>
        <v>605.76251375099184</v>
      </c>
      <c r="K613" s="40">
        <f t="shared" si="287"/>
        <v>7.4549669344344061</v>
      </c>
      <c r="L613" s="40">
        <f t="shared" si="271"/>
        <v>0</v>
      </c>
      <c r="M613" s="10">
        <f t="shared" si="288"/>
        <v>5.0674707382034088</v>
      </c>
      <c r="N613" s="10">
        <f t="shared" si="297"/>
        <v>8.26</v>
      </c>
      <c r="O613" s="10">
        <f t="shared" si="298"/>
        <v>0.31900000000000001</v>
      </c>
      <c r="P613" s="10">
        <f t="shared" si="289"/>
        <v>13.861443399024212</v>
      </c>
      <c r="Q613" s="42">
        <f t="shared" si="290"/>
        <v>0.28349178349808263</v>
      </c>
      <c r="R613" s="4">
        <f t="shared" si="291"/>
        <v>29864.357715776743</v>
      </c>
      <c r="S613">
        <f t="shared" si="272"/>
        <v>2.9864357715776743E-5</v>
      </c>
      <c r="T613" s="41">
        <f t="shared" si="273"/>
        <v>1.4994001432610708E-4</v>
      </c>
      <c r="U613" s="42">
        <f t="shared" si="292"/>
        <v>5.3593083138847149E-2</v>
      </c>
      <c r="V613" s="42">
        <f t="shared" si="293"/>
        <v>0.45432872349673137</v>
      </c>
      <c r="W613" s="42">
        <f t="shared" si="294"/>
        <v>0.45082089659200603</v>
      </c>
      <c r="X613" s="42">
        <f t="shared" si="295"/>
        <v>3.5078269047253419E-3</v>
      </c>
      <c r="Y613" s="42">
        <f t="shared" si="299"/>
        <v>2.3031644412756917E-3</v>
      </c>
      <c r="Z613" s="10">
        <f t="shared" si="296"/>
        <v>15.360572370404743</v>
      </c>
      <c r="AA613">
        <f t="shared" si="274"/>
        <v>5067076.7028902564</v>
      </c>
      <c r="AB613" s="10">
        <f t="shared" si="275"/>
        <v>5.0670767028902564</v>
      </c>
      <c r="AC613" s="10">
        <f t="shared" si="276"/>
        <v>4.9660767028902564</v>
      </c>
      <c r="AD613" s="3">
        <f t="shared" si="277"/>
        <v>720.24317663382976</v>
      </c>
      <c r="AI613" s="94">
        <f t="shared" si="278"/>
        <v>0.45082089659200603</v>
      </c>
    </row>
    <row r="614" spans="2:35">
      <c r="B614" s="39">
        <f t="shared" si="279"/>
        <v>586</v>
      </c>
      <c r="C614" s="42">
        <f t="shared" si="280"/>
        <v>3.8926139088688347</v>
      </c>
      <c r="D614" s="10">
        <f t="shared" si="281"/>
        <v>1.6473860911306453</v>
      </c>
      <c r="E614" s="40">
        <f t="shared" si="282"/>
        <v>27.785227817738708</v>
      </c>
      <c r="F614" s="40">
        <f t="shared" si="283"/>
        <v>31.08</v>
      </c>
      <c r="G614" s="3">
        <f t="shared" si="284"/>
        <v>195.2590887290535</v>
      </c>
      <c r="H614" s="3">
        <f t="shared" si="285"/>
        <v>81.256230789298584</v>
      </c>
      <c r="I614">
        <f t="shared" si="270"/>
        <v>8.1256230789298584E-5</v>
      </c>
      <c r="J614" s="4">
        <f t="shared" si="286"/>
        <v>606.34221429575757</v>
      </c>
      <c r="K614" s="40">
        <f t="shared" si="287"/>
        <v>7.4621011632699634</v>
      </c>
      <c r="L614" s="40">
        <f t="shared" si="271"/>
        <v>0</v>
      </c>
      <c r="M614" s="10">
        <f t="shared" si="288"/>
        <v>5.0670767028902564</v>
      </c>
      <c r="N614" s="10">
        <f t="shared" si="297"/>
        <v>8.26</v>
      </c>
      <c r="O614" s="10">
        <f t="shared" si="298"/>
        <v>0.31900000000000001</v>
      </c>
      <c r="P614" s="10">
        <f t="shared" si="289"/>
        <v>13.861099560500804</v>
      </c>
      <c r="Q614" s="42">
        <f t="shared" si="290"/>
        <v>0.28397101574241634</v>
      </c>
      <c r="R614" s="4">
        <f t="shared" si="291"/>
        <v>29743.04027822326</v>
      </c>
      <c r="S614">
        <f t="shared" si="272"/>
        <v>2.9743040278223258E-5</v>
      </c>
      <c r="T614" s="41">
        <f t="shared" si="273"/>
        <v>1.5006133176366057E-4</v>
      </c>
      <c r="U614" s="42">
        <f t="shared" si="292"/>
        <v>5.3375372931285546E-2</v>
      </c>
      <c r="V614" s="42">
        <f t="shared" si="293"/>
        <v>0.45428956447679897</v>
      </c>
      <c r="W614" s="42">
        <f t="shared" si="294"/>
        <v>0.4507851288682988</v>
      </c>
      <c r="X614" s="42">
        <f t="shared" si="295"/>
        <v>3.5044356085001671E-3</v>
      </c>
      <c r="Y614" s="42">
        <f t="shared" si="299"/>
        <v>2.3048438798174762E-3</v>
      </c>
      <c r="Z614" s="10">
        <f t="shared" si="296"/>
        <v>15.359345760355474</v>
      </c>
      <c r="AA614">
        <f t="shared" si="274"/>
        <v>5066680.1395694166</v>
      </c>
      <c r="AB614" s="10">
        <f t="shared" si="275"/>
        <v>5.0666801395694163</v>
      </c>
      <c r="AC614" s="10">
        <f t="shared" si="276"/>
        <v>4.9656801395694163</v>
      </c>
      <c r="AD614" s="3">
        <f t="shared" si="277"/>
        <v>720.18566201151805</v>
      </c>
      <c r="AI614" s="94">
        <f t="shared" si="278"/>
        <v>0.4507851288682988</v>
      </c>
    </row>
    <row r="615" spans="2:35">
      <c r="B615" s="39">
        <f t="shared" si="279"/>
        <v>587</v>
      </c>
      <c r="C615" s="42">
        <f t="shared" si="280"/>
        <v>3.8992565947201467</v>
      </c>
      <c r="D615" s="10">
        <f t="shared" si="281"/>
        <v>1.6407434052793324</v>
      </c>
      <c r="E615" s="40">
        <f t="shared" si="282"/>
        <v>27.798513189441334</v>
      </c>
      <c r="F615" s="40">
        <f t="shared" si="283"/>
        <v>31.08</v>
      </c>
      <c r="G615" s="3">
        <f t="shared" si="284"/>
        <v>195.20594724224301</v>
      </c>
      <c r="H615" s="3">
        <f t="shared" si="285"/>
        <v>81.256230789298584</v>
      </c>
      <c r="I615">
        <f t="shared" ref="I615:I678" si="300">H615/1000^2</f>
        <v>8.1256230789298584E-5</v>
      </c>
      <c r="J615" s="4">
        <f t="shared" si="286"/>
        <v>606.922192087805</v>
      </c>
      <c r="K615" s="40">
        <f t="shared" si="287"/>
        <v>7.4692388041181017</v>
      </c>
      <c r="L615" s="40">
        <f t="shared" ref="L615:L678" si="301">IF((gstar-K615)&lt;0,0,gstar-K615)</f>
        <v>0</v>
      </c>
      <c r="M615" s="10">
        <f t="shared" si="288"/>
        <v>5.0666801395694163</v>
      </c>
      <c r="N615" s="10">
        <f t="shared" si="297"/>
        <v>8.26</v>
      </c>
      <c r="O615" s="10">
        <f t="shared" si="298"/>
        <v>0.31900000000000001</v>
      </c>
      <c r="P615" s="10">
        <f t="shared" si="289"/>
        <v>13.860753497631844</v>
      </c>
      <c r="Q615" s="42">
        <f t="shared" si="290"/>
        <v>0.28445025995179118</v>
      </c>
      <c r="R615" s="4">
        <f t="shared" si="291"/>
        <v>29621.730332649251</v>
      </c>
      <c r="S615">
        <f t="shared" ref="S615:S678" si="302">R615/1000^3</f>
        <v>2.9621730332649252E-5</v>
      </c>
      <c r="T615" s="41">
        <f t="shared" ref="T615:T678" si="303">(vc/1000^3-S615)</f>
        <v>1.5018264170923458E-4</v>
      </c>
      <c r="U615" s="42">
        <f t="shared" si="292"/>
        <v>5.3157676168455716E-2</v>
      </c>
      <c r="V615" s="42">
        <f t="shared" si="293"/>
        <v>0.45425016843460497</v>
      </c>
      <c r="W615" s="42">
        <f t="shared" si="294"/>
        <v>0.4507491316700305</v>
      </c>
      <c r="X615" s="42">
        <f t="shared" si="295"/>
        <v>3.5010367645744722E-3</v>
      </c>
      <c r="Y615" s="42">
        <f t="shared" si="299"/>
        <v>2.3065217314137071E-3</v>
      </c>
      <c r="Z615" s="10">
        <f t="shared" si="296"/>
        <v>15.358111331396838</v>
      </c>
      <c r="AA615">
        <f t="shared" ref="AA615:AA678" si="304">Z615*rat*to+patm*1000000</f>
        <v>5066281.0483933184</v>
      </c>
      <c r="AB615" s="10">
        <f t="shared" ref="AB615:AB678" si="305">AA615/1000000</f>
        <v>5.0662810483933187</v>
      </c>
      <c r="AC615" s="10">
        <f t="shared" ref="AC615:AC678" si="306">AB615-patm</f>
        <v>4.9652810483933187</v>
      </c>
      <c r="AD615" s="3">
        <f t="shared" ref="AD615:AD678" si="307">AC615*1000000/6895</f>
        <v>720.12778076770394</v>
      </c>
      <c r="AI615" s="94">
        <f t="shared" ref="AI615:AI678" si="308">($M615-patm)*1000000*$I615/SQRT(rat*to)*SQRT(k)*(2/(k+1))^((k+1)/2/(k-1))</f>
        <v>0.4507491316700305</v>
      </c>
    </row>
    <row r="616" spans="2:35">
      <c r="B616" s="39">
        <f t="shared" ref="B616:B679" si="309">1+B615</f>
        <v>588</v>
      </c>
      <c r="C616" s="42">
        <f t="shared" ref="C616:C679" si="310">xincp+C615</f>
        <v>3.9058992805714587</v>
      </c>
      <c r="D616" s="10">
        <f t="shared" ref="D616:D679" si="311">(F616-E616)/2</f>
        <v>1.6341007194280195</v>
      </c>
      <c r="E616" s="40">
        <f t="shared" ref="E616:E679" si="312">E615+ci*2*xincp</f>
        <v>27.811798561143959</v>
      </c>
      <c r="F616" s="40">
        <f t="shared" ref="F616:F679" si="313">F615-osi*2*xincp</f>
        <v>31.08</v>
      </c>
      <c r="G616" s="3">
        <f t="shared" ref="G616:G679" si="314">G615-ei*n*2*xincp</f>
        <v>195.15280575543252</v>
      </c>
      <c r="H616" s="3">
        <f t="shared" ref="H616:H679" si="315">PI()/4*(dto+erate*(two-D616)/two)^2</f>
        <v>81.256230789298584</v>
      </c>
      <c r="I616">
        <f t="shared" si="300"/>
        <v>8.1256230789298584E-5</v>
      </c>
      <c r="J616" s="4">
        <f t="shared" ref="J616:J679" si="316">PI()/4*dc^2-PI()/4*(F616^2-E616^2)</f>
        <v>607.50244712713391</v>
      </c>
      <c r="K616" s="40">
        <f t="shared" ref="K616:K679" si="317">J616/H616</f>
        <v>7.4763798569788174</v>
      </c>
      <c r="L616" s="40">
        <f t="shared" si="301"/>
        <v>0</v>
      </c>
      <c r="M616" s="10">
        <f t="shared" ref="M616:M679" si="318">AB615</f>
        <v>5.0662810483933187</v>
      </c>
      <c r="N616" s="10">
        <f t="shared" si="297"/>
        <v>8.26</v>
      </c>
      <c r="O616" s="10">
        <f t="shared" si="298"/>
        <v>0.31900000000000001</v>
      </c>
      <c r="P616" s="10">
        <f t="shared" ref="P616:P679" si="319">(1+kv*L616)*N616*M616^O616</f>
        <v>13.860405210195189</v>
      </c>
      <c r="Q616" s="42">
        <f t="shared" ref="Q616:Q679" si="320">xincp/P616+Q615</f>
        <v>0.28492951620372425</v>
      </c>
      <c r="R616" s="4">
        <f t="shared" ref="R616:R679" si="321">PI()/4*(F616^2-E616^2)*G616</f>
        <v>29500.427923254749</v>
      </c>
      <c r="S616">
        <f t="shared" si="302"/>
        <v>2.9500427923254749E-5</v>
      </c>
      <c r="T616" s="41">
        <f t="shared" si="303"/>
        <v>1.5030394411862907E-4</v>
      </c>
      <c r="U616" s="42">
        <f t="shared" ref="U616:U679" si="322">rhopgrain*R616/1000^2</f>
        <v>5.2939992929676799E-2</v>
      </c>
      <c r="V616" s="42">
        <f t="shared" ref="V616:V679" si="323">(U615-U616)/(Q616-Q615)</f>
        <v>0.45421053538873252</v>
      </c>
      <c r="W616" s="42">
        <f t="shared" ref="W616:W679" si="324">IF(V616&lt;AI616,IF(AB615&gt;pbd,AI616,0),AI616)</f>
        <v>0.45071290501103778</v>
      </c>
      <c r="X616" s="42">
        <f t="shared" ref="X616:X679" si="325">V616-W616</f>
        <v>3.4976303776947382E-3</v>
      </c>
      <c r="Y616" s="42">
        <f t="shared" si="299"/>
        <v>2.3081979926391685E-3</v>
      </c>
      <c r="Z616" s="10">
        <f t="shared" ref="Z616:Z679" si="326">Y616/T616</f>
        <v>15.356869084003526</v>
      </c>
      <c r="AA616">
        <f t="shared" si="304"/>
        <v>5065879.4295154279</v>
      </c>
      <c r="AB616" s="10">
        <f t="shared" si="305"/>
        <v>5.0658794295154275</v>
      </c>
      <c r="AC616" s="10">
        <f t="shared" si="306"/>
        <v>4.9648794295154275</v>
      </c>
      <c r="AD616" s="3">
        <f t="shared" si="307"/>
        <v>720.06953292464505</v>
      </c>
      <c r="AI616" s="94">
        <f t="shared" si="308"/>
        <v>0.45071290501103778</v>
      </c>
    </row>
    <row r="617" spans="2:35">
      <c r="B617" s="39">
        <f t="shared" si="309"/>
        <v>589</v>
      </c>
      <c r="C617" s="42">
        <f t="shared" si="310"/>
        <v>3.9125419664227707</v>
      </c>
      <c r="D617" s="10">
        <f t="shared" si="311"/>
        <v>1.6274580335767066</v>
      </c>
      <c r="E617" s="40">
        <f t="shared" si="312"/>
        <v>27.825083932846585</v>
      </c>
      <c r="F617" s="40">
        <f t="shared" si="313"/>
        <v>31.08</v>
      </c>
      <c r="G617" s="3">
        <f t="shared" si="314"/>
        <v>195.09966426862204</v>
      </c>
      <c r="H617" s="3">
        <f t="shared" si="315"/>
        <v>81.256230789298584</v>
      </c>
      <c r="I617">
        <f t="shared" si="300"/>
        <v>8.1256230789298584E-5</v>
      </c>
      <c r="J617" s="4">
        <f t="shared" si="316"/>
        <v>608.0829794137444</v>
      </c>
      <c r="K617" s="40">
        <f t="shared" si="317"/>
        <v>7.4835243218521121</v>
      </c>
      <c r="L617" s="40">
        <f t="shared" si="301"/>
        <v>0</v>
      </c>
      <c r="M617" s="10">
        <f t="shared" si="318"/>
        <v>5.0658794295154275</v>
      </c>
      <c r="N617" s="10">
        <f t="shared" si="297"/>
        <v>8.26</v>
      </c>
      <c r="O617" s="10">
        <f t="shared" si="298"/>
        <v>0.31900000000000001</v>
      </c>
      <c r="P617" s="10">
        <f t="shared" si="319"/>
        <v>13.860054697967284</v>
      </c>
      <c r="Q617" s="42">
        <f t="shared" si="320"/>
        <v>0.28540878457575214</v>
      </c>
      <c r="R617" s="4">
        <f t="shared" si="321"/>
        <v>29379.133094239725</v>
      </c>
      <c r="S617">
        <f t="shared" si="302"/>
        <v>2.9379133094239725E-5</v>
      </c>
      <c r="T617" s="41">
        <f t="shared" si="303"/>
        <v>1.504252389476441E-4</v>
      </c>
      <c r="U617" s="42">
        <f t="shared" si="322"/>
        <v>5.2722323294267896E-2</v>
      </c>
      <c r="V617" s="42">
        <f t="shared" si="323"/>
        <v>0.45417066535790085</v>
      </c>
      <c r="W617" s="42">
        <f t="shared" si="324"/>
        <v>0.45067644890525099</v>
      </c>
      <c r="X617" s="42">
        <f t="shared" si="325"/>
        <v>3.4942164526498565E-3</v>
      </c>
      <c r="Y617" s="42">
        <f t="shared" si="299"/>
        <v>2.3098726600699429E-3</v>
      </c>
      <c r="Z617" s="10">
        <f t="shared" si="326"/>
        <v>15.355619018653513</v>
      </c>
      <c r="AA617">
        <f t="shared" si="304"/>
        <v>5065475.2830902757</v>
      </c>
      <c r="AB617" s="10">
        <f t="shared" si="305"/>
        <v>5.0654752830902758</v>
      </c>
      <c r="AC617" s="10">
        <f t="shared" si="306"/>
        <v>4.9644752830902759</v>
      </c>
      <c r="AD617" s="3">
        <f t="shared" si="307"/>
        <v>720.01091850475359</v>
      </c>
      <c r="AI617" s="94">
        <f t="shared" si="308"/>
        <v>0.45067644890525099</v>
      </c>
    </row>
    <row r="618" spans="2:35">
      <c r="B618" s="39">
        <f t="shared" si="309"/>
        <v>590</v>
      </c>
      <c r="C618" s="42">
        <f t="shared" si="310"/>
        <v>3.9191846522740827</v>
      </c>
      <c r="D618" s="10">
        <f t="shared" si="311"/>
        <v>1.6208153477253937</v>
      </c>
      <c r="E618" s="40">
        <f t="shared" si="312"/>
        <v>27.838369304549211</v>
      </c>
      <c r="F618" s="40">
        <f t="shared" si="313"/>
        <v>31.08</v>
      </c>
      <c r="G618" s="3">
        <f t="shared" si="314"/>
        <v>195.04652278181155</v>
      </c>
      <c r="H618" s="3">
        <f t="shared" si="315"/>
        <v>81.256230789298584</v>
      </c>
      <c r="I618">
        <f t="shared" si="300"/>
        <v>8.1256230789298584E-5</v>
      </c>
      <c r="J618" s="4">
        <f t="shared" si="316"/>
        <v>608.66378894763636</v>
      </c>
      <c r="K618" s="40">
        <f t="shared" si="317"/>
        <v>7.4906721987379852</v>
      </c>
      <c r="L618" s="40">
        <f t="shared" si="301"/>
        <v>0</v>
      </c>
      <c r="M618" s="10">
        <f t="shared" si="318"/>
        <v>5.0654752830902758</v>
      </c>
      <c r="N618" s="10">
        <f t="shared" si="297"/>
        <v>8.26</v>
      </c>
      <c r="O618" s="10">
        <f t="shared" si="298"/>
        <v>0.31900000000000001</v>
      </c>
      <c r="P618" s="10">
        <f t="shared" si="319"/>
        <v>13.859701960723191</v>
      </c>
      <c r="Q618" s="42">
        <f t="shared" si="320"/>
        <v>0.2858880651454308</v>
      </c>
      <c r="R618" s="4">
        <f t="shared" si="321"/>
        <v>29257.845889804201</v>
      </c>
      <c r="S618">
        <f t="shared" si="302"/>
        <v>2.9257845889804201E-5</v>
      </c>
      <c r="T618" s="41">
        <f t="shared" si="303"/>
        <v>1.5054652615207963E-4</v>
      </c>
      <c r="U618" s="42">
        <f t="shared" si="322"/>
        <v>5.2504667341548128E-2</v>
      </c>
      <c r="V618" s="42">
        <f t="shared" si="323"/>
        <v>0.45413055836103849</v>
      </c>
      <c r="W618" s="42">
        <f t="shared" si="324"/>
        <v>0.45063976336669742</v>
      </c>
      <c r="X618" s="42">
        <f t="shared" si="325"/>
        <v>3.4907949943410732E-3</v>
      </c>
      <c r="Y618" s="42">
        <f t="shared" si="299"/>
        <v>2.3115457302834621E-3</v>
      </c>
      <c r="Z618" s="10">
        <f t="shared" si="326"/>
        <v>15.354361135828379</v>
      </c>
      <c r="AA618">
        <f t="shared" si="304"/>
        <v>5065068.6092735566</v>
      </c>
      <c r="AB618" s="10">
        <f t="shared" si="305"/>
        <v>5.0650686092735562</v>
      </c>
      <c r="AC618" s="10">
        <f t="shared" si="306"/>
        <v>4.9640686092735562</v>
      </c>
      <c r="AD618" s="3">
        <f t="shared" si="307"/>
        <v>719.95193753061005</v>
      </c>
      <c r="AI618" s="94">
        <f t="shared" si="308"/>
        <v>0.45063976336669742</v>
      </c>
    </row>
    <row r="619" spans="2:35">
      <c r="B619" s="39">
        <f t="shared" si="309"/>
        <v>591</v>
      </c>
      <c r="C619" s="42">
        <f t="shared" si="310"/>
        <v>3.9258273381253947</v>
      </c>
      <c r="D619" s="10">
        <f t="shared" si="311"/>
        <v>1.6141726618740808</v>
      </c>
      <c r="E619" s="40">
        <f t="shared" si="312"/>
        <v>27.851654676251837</v>
      </c>
      <c r="F619" s="40">
        <f t="shared" si="313"/>
        <v>31.08</v>
      </c>
      <c r="G619" s="3">
        <f t="shared" si="314"/>
        <v>194.99338129500106</v>
      </c>
      <c r="H619" s="3">
        <f t="shared" si="315"/>
        <v>81.256230789298584</v>
      </c>
      <c r="I619">
        <f t="shared" si="300"/>
        <v>8.1256230789298584E-5</v>
      </c>
      <c r="J619" s="4">
        <f t="shared" si="316"/>
        <v>609.24487572881003</v>
      </c>
      <c r="K619" s="40">
        <f t="shared" si="317"/>
        <v>7.4978234876364382</v>
      </c>
      <c r="L619" s="40">
        <f t="shared" si="301"/>
        <v>0</v>
      </c>
      <c r="M619" s="10">
        <f t="shared" si="318"/>
        <v>5.0650686092735562</v>
      </c>
      <c r="N619" s="10">
        <f t="shared" si="297"/>
        <v>8.26</v>
      </c>
      <c r="O619" s="10">
        <f t="shared" si="298"/>
        <v>0.31900000000000001</v>
      </c>
      <c r="P619" s="10">
        <f t="shared" si="319"/>
        <v>13.859346998236672</v>
      </c>
      <c r="Q619" s="42">
        <f t="shared" si="320"/>
        <v>0.28636735799033591</v>
      </c>
      <c r="R619" s="4">
        <f t="shared" si="321"/>
        <v>29136.566354148137</v>
      </c>
      <c r="S619">
        <f t="shared" si="302"/>
        <v>2.9136566354148136E-5</v>
      </c>
      <c r="T619" s="41">
        <f t="shared" si="303"/>
        <v>1.5066780568773571E-4</v>
      </c>
      <c r="U619" s="42">
        <f t="shared" si="322"/>
        <v>5.2287025150836532E-2</v>
      </c>
      <c r="V619" s="42">
        <f t="shared" si="323"/>
        <v>0.45409021441721042</v>
      </c>
      <c r="W619" s="42">
        <f t="shared" si="324"/>
        <v>0.45060284840950993</v>
      </c>
      <c r="X619" s="42">
        <f t="shared" si="325"/>
        <v>3.4873660077004986E-3</v>
      </c>
      <c r="Y619" s="42">
        <f t="shared" si="299"/>
        <v>2.3132171998585184E-3</v>
      </c>
      <c r="Z619" s="10">
        <f t="shared" si="326"/>
        <v>15.35309543601333</v>
      </c>
      <c r="AA619">
        <f t="shared" si="304"/>
        <v>5064659.408222137</v>
      </c>
      <c r="AB619" s="10">
        <f t="shared" si="305"/>
        <v>5.0646594082221368</v>
      </c>
      <c r="AC619" s="10">
        <f t="shared" si="306"/>
        <v>4.9636594082221368</v>
      </c>
      <c r="AD619" s="3">
        <f t="shared" si="307"/>
        <v>719.89259002496544</v>
      </c>
      <c r="AI619" s="94">
        <f t="shared" si="308"/>
        <v>0.45060284840950993</v>
      </c>
    </row>
    <row r="620" spans="2:35">
      <c r="B620" s="39">
        <f t="shared" si="309"/>
        <v>592</v>
      </c>
      <c r="C620" s="42">
        <f t="shared" si="310"/>
        <v>3.9324700239767068</v>
      </c>
      <c r="D620" s="10">
        <f t="shared" si="311"/>
        <v>1.6075299760227679</v>
      </c>
      <c r="E620" s="40">
        <f t="shared" si="312"/>
        <v>27.864940047954462</v>
      </c>
      <c r="F620" s="40">
        <f t="shared" si="313"/>
        <v>31.08</v>
      </c>
      <c r="G620" s="3">
        <f t="shared" si="314"/>
        <v>194.94023980819057</v>
      </c>
      <c r="H620" s="3">
        <f t="shared" si="315"/>
        <v>81.256230789298584</v>
      </c>
      <c r="I620">
        <f t="shared" si="300"/>
        <v>8.1256230789298584E-5</v>
      </c>
      <c r="J620" s="4">
        <f t="shared" si="316"/>
        <v>609.82623975726517</v>
      </c>
      <c r="K620" s="40">
        <f t="shared" si="317"/>
        <v>7.5049781885474687</v>
      </c>
      <c r="L620" s="40">
        <f t="shared" si="301"/>
        <v>0</v>
      </c>
      <c r="M620" s="10">
        <f t="shared" si="318"/>
        <v>5.0646594082221368</v>
      </c>
      <c r="N620" s="10">
        <f t="shared" si="297"/>
        <v>8.26</v>
      </c>
      <c r="O620" s="10">
        <f t="shared" si="298"/>
        <v>0.31900000000000001</v>
      </c>
      <c r="P620" s="10">
        <f t="shared" si="319"/>
        <v>13.8589898102802</v>
      </c>
      <c r="Q620" s="42">
        <f t="shared" si="320"/>
        <v>0.28684666318806284</v>
      </c>
      <c r="R620" s="4">
        <f t="shared" si="321"/>
        <v>29015.294531471562</v>
      </c>
      <c r="S620">
        <f t="shared" si="302"/>
        <v>2.9015294531471561E-5</v>
      </c>
      <c r="T620" s="41">
        <f t="shared" si="303"/>
        <v>1.5078907751041228E-4</v>
      </c>
      <c r="U620" s="42">
        <f t="shared" si="322"/>
        <v>5.206939680145229E-2</v>
      </c>
      <c r="V620" s="42">
        <f t="shared" si="323"/>
        <v>0.45404963354523847</v>
      </c>
      <c r="W620" s="42">
        <f t="shared" si="324"/>
        <v>0.45056570404792767</v>
      </c>
      <c r="X620" s="42">
        <f t="shared" si="325"/>
        <v>3.4839294973108004E-3</v>
      </c>
      <c r="Y620" s="42">
        <f t="shared" si="299"/>
        <v>2.3148870653750936E-3</v>
      </c>
      <c r="Z620" s="10">
        <f t="shared" si="326"/>
        <v>15.351821919696048</v>
      </c>
      <c r="AA620">
        <f t="shared" si="304"/>
        <v>5064247.680093687</v>
      </c>
      <c r="AB620" s="10">
        <f t="shared" si="305"/>
        <v>5.0642476800936871</v>
      </c>
      <c r="AC620" s="10">
        <f t="shared" si="306"/>
        <v>4.9632476800936871</v>
      </c>
      <c r="AD620" s="3">
        <f t="shared" si="307"/>
        <v>719.83287601068707</v>
      </c>
      <c r="AI620" s="94">
        <f t="shared" si="308"/>
        <v>0.45056570404792767</v>
      </c>
    </row>
    <row r="621" spans="2:35">
      <c r="B621" s="39">
        <f t="shared" si="309"/>
        <v>593</v>
      </c>
      <c r="C621" s="42">
        <f t="shared" si="310"/>
        <v>3.9391127098280188</v>
      </c>
      <c r="D621" s="10">
        <f t="shared" si="311"/>
        <v>1.600887290171455</v>
      </c>
      <c r="E621" s="40">
        <f t="shared" si="312"/>
        <v>27.878225419657088</v>
      </c>
      <c r="F621" s="40">
        <f t="shared" si="313"/>
        <v>31.08</v>
      </c>
      <c r="G621" s="3">
        <f t="shared" si="314"/>
        <v>194.88709832138008</v>
      </c>
      <c r="H621" s="3">
        <f t="shared" si="315"/>
        <v>81.256230789298584</v>
      </c>
      <c r="I621">
        <f t="shared" si="300"/>
        <v>8.1256230789298584E-5</v>
      </c>
      <c r="J621" s="4">
        <f t="shared" si="316"/>
        <v>610.4078810330019</v>
      </c>
      <c r="K621" s="40">
        <f t="shared" si="317"/>
        <v>7.5121363014710791</v>
      </c>
      <c r="L621" s="40">
        <f t="shared" si="301"/>
        <v>0</v>
      </c>
      <c r="M621" s="10">
        <f t="shared" si="318"/>
        <v>5.0642476800936871</v>
      </c>
      <c r="N621" s="10">
        <f t="shared" si="297"/>
        <v>8.26</v>
      </c>
      <c r="O621" s="10">
        <f t="shared" si="298"/>
        <v>0.31900000000000001</v>
      </c>
      <c r="P621" s="10">
        <f t="shared" si="319"/>
        <v>13.858630396624621</v>
      </c>
      <c r="Q621" s="42">
        <f t="shared" si="320"/>
        <v>0.2873259808162269</v>
      </c>
      <c r="R621" s="4">
        <f t="shared" si="321"/>
        <v>28894.030465974465</v>
      </c>
      <c r="S621">
        <f t="shared" si="302"/>
        <v>2.8894030465974465E-5</v>
      </c>
      <c r="T621" s="41">
        <f t="shared" si="303"/>
        <v>1.5091034157590938E-4</v>
      </c>
      <c r="U621" s="42">
        <f t="shared" si="322"/>
        <v>5.1851782372714469E-2</v>
      </c>
      <c r="V621" s="42">
        <f t="shared" si="323"/>
        <v>0.45400881576451918</v>
      </c>
      <c r="W621" s="42">
        <f t="shared" si="324"/>
        <v>0.45052833029626288</v>
      </c>
      <c r="X621" s="42">
        <f t="shared" si="325"/>
        <v>3.4804854682563002E-3</v>
      </c>
      <c r="Y621" s="42">
        <f t="shared" si="299"/>
        <v>2.3165553234145977E-3</v>
      </c>
      <c r="Z621" s="10">
        <f t="shared" si="326"/>
        <v>15.350540587368213</v>
      </c>
      <c r="AA621">
        <f t="shared" si="304"/>
        <v>5063833.4250471639</v>
      </c>
      <c r="AB621" s="10">
        <f t="shared" si="305"/>
        <v>5.0638334250471635</v>
      </c>
      <c r="AC621" s="10">
        <f t="shared" si="306"/>
        <v>4.9628334250471635</v>
      </c>
      <c r="AD621" s="3">
        <f t="shared" si="307"/>
        <v>719.7727955108287</v>
      </c>
      <c r="AI621" s="94">
        <f t="shared" si="308"/>
        <v>0.45052833029626288</v>
      </c>
    </row>
    <row r="622" spans="2:35">
      <c r="B622" s="39">
        <f t="shared" si="309"/>
        <v>594</v>
      </c>
      <c r="C622" s="42">
        <f t="shared" si="310"/>
        <v>3.9457553956793308</v>
      </c>
      <c r="D622" s="10">
        <f t="shared" si="311"/>
        <v>1.5942446043201421</v>
      </c>
      <c r="E622" s="40">
        <f t="shared" si="312"/>
        <v>27.891510791359714</v>
      </c>
      <c r="F622" s="40">
        <f t="shared" si="313"/>
        <v>31.08</v>
      </c>
      <c r="G622" s="3">
        <f t="shared" si="314"/>
        <v>194.83395683456959</v>
      </c>
      <c r="H622" s="3">
        <f t="shared" si="315"/>
        <v>81.256230789298584</v>
      </c>
      <c r="I622">
        <f t="shared" si="300"/>
        <v>8.1256230789298584E-5</v>
      </c>
      <c r="J622" s="4">
        <f t="shared" si="316"/>
        <v>610.9897995560201</v>
      </c>
      <c r="K622" s="40">
        <f t="shared" si="317"/>
        <v>7.519297826407267</v>
      </c>
      <c r="L622" s="40">
        <f t="shared" si="301"/>
        <v>0</v>
      </c>
      <c r="M622" s="10">
        <f t="shared" si="318"/>
        <v>5.0638334250471635</v>
      </c>
      <c r="N622" s="10">
        <f t="shared" si="297"/>
        <v>8.26</v>
      </c>
      <c r="O622" s="10">
        <f t="shared" si="298"/>
        <v>0.31900000000000001</v>
      </c>
      <c r="P622" s="10">
        <f t="shared" si="319"/>
        <v>13.858268757039594</v>
      </c>
      <c r="Q622" s="42">
        <f t="shared" si="320"/>
        <v>0.28780531095246326</v>
      </c>
      <c r="R622" s="4">
        <f t="shared" si="321"/>
        <v>28772.774201856861</v>
      </c>
      <c r="S622">
        <f t="shared" si="302"/>
        <v>2.8772774201856861E-5</v>
      </c>
      <c r="T622" s="41">
        <f t="shared" si="303"/>
        <v>1.5103159784002698E-4</v>
      </c>
      <c r="U622" s="42">
        <f t="shared" si="322"/>
        <v>5.1634181943942224E-2</v>
      </c>
      <c r="V622" s="42">
        <f t="shared" si="323"/>
        <v>0.45396776109430226</v>
      </c>
      <c r="W622" s="42">
        <f t="shared" si="324"/>
        <v>0.45049072716894462</v>
      </c>
      <c r="X622" s="42">
        <f t="shared" si="325"/>
        <v>3.4770339253576421E-3</v>
      </c>
      <c r="Y622" s="42">
        <f t="shared" si="299"/>
        <v>2.3182219705597377E-3</v>
      </c>
      <c r="Z622" s="10">
        <f t="shared" si="326"/>
        <v>15.34925143952462</v>
      </c>
      <c r="AA622">
        <f t="shared" si="304"/>
        <v>5063416.6432425361</v>
      </c>
      <c r="AB622" s="10">
        <f t="shared" si="305"/>
        <v>5.0634166432425358</v>
      </c>
      <c r="AC622" s="10">
        <f t="shared" si="306"/>
        <v>4.9624166432425358</v>
      </c>
      <c r="AD622" s="3">
        <f t="shared" si="307"/>
        <v>719.71234854859119</v>
      </c>
      <c r="AI622" s="94">
        <f t="shared" si="308"/>
        <v>0.45049072716894462</v>
      </c>
    </row>
    <row r="623" spans="2:35">
      <c r="B623" s="39">
        <f t="shared" si="309"/>
        <v>595</v>
      </c>
      <c r="C623" s="42">
        <f t="shared" si="310"/>
        <v>3.9523980815306428</v>
      </c>
      <c r="D623" s="10">
        <f t="shared" si="311"/>
        <v>1.5876019184688293</v>
      </c>
      <c r="E623" s="40">
        <f t="shared" si="312"/>
        <v>27.90479616306234</v>
      </c>
      <c r="F623" s="40">
        <f t="shared" si="313"/>
        <v>31.08</v>
      </c>
      <c r="G623" s="3">
        <f t="shared" si="314"/>
        <v>194.7808153477591</v>
      </c>
      <c r="H623" s="3">
        <f t="shared" si="315"/>
        <v>81.256230789298584</v>
      </c>
      <c r="I623">
        <f t="shared" si="300"/>
        <v>8.1256230789298584E-5</v>
      </c>
      <c r="J623" s="4">
        <f t="shared" si="316"/>
        <v>611.57199532631989</v>
      </c>
      <c r="K623" s="40">
        <f t="shared" si="317"/>
        <v>7.5264627633560339</v>
      </c>
      <c r="L623" s="40">
        <f t="shared" si="301"/>
        <v>0</v>
      </c>
      <c r="M623" s="10">
        <f t="shared" si="318"/>
        <v>5.0634166432425358</v>
      </c>
      <c r="N623" s="10">
        <f t="shared" si="297"/>
        <v>8.26</v>
      </c>
      <c r="O623" s="10">
        <f t="shared" si="298"/>
        <v>0.31900000000000001</v>
      </c>
      <c r="P623" s="10">
        <f t="shared" si="319"/>
        <v>13.857904891293344</v>
      </c>
      <c r="Q623" s="42">
        <f t="shared" si="320"/>
        <v>0.28828465367442735</v>
      </c>
      <c r="R623" s="4">
        <f t="shared" si="321"/>
        <v>28651.525783318724</v>
      </c>
      <c r="S623">
        <f t="shared" si="302"/>
        <v>2.8651525783318726E-5</v>
      </c>
      <c r="T623" s="41">
        <f t="shared" si="303"/>
        <v>1.5115284625856511E-4</v>
      </c>
      <c r="U623" s="42">
        <f t="shared" si="322"/>
        <v>5.1416595594454613E-2</v>
      </c>
      <c r="V623" s="42">
        <f t="shared" si="323"/>
        <v>0.45392646955409544</v>
      </c>
      <c r="W623" s="42">
        <f t="shared" si="324"/>
        <v>0.45045289468049349</v>
      </c>
      <c r="X623" s="42">
        <f t="shared" si="325"/>
        <v>3.4735748736019478E-3</v>
      </c>
      <c r="Y623" s="42">
        <f t="shared" si="299"/>
        <v>2.3198870033945963E-3</v>
      </c>
      <c r="Z623" s="10">
        <f t="shared" si="326"/>
        <v>15.347954476663647</v>
      </c>
      <c r="AA623">
        <f t="shared" si="304"/>
        <v>5062997.3348409291</v>
      </c>
      <c r="AB623" s="10">
        <f t="shared" si="305"/>
        <v>5.0629973348409294</v>
      </c>
      <c r="AC623" s="10">
        <f t="shared" si="306"/>
        <v>4.9619973348409294</v>
      </c>
      <c r="AD623" s="3">
        <f t="shared" si="307"/>
        <v>719.65153514734288</v>
      </c>
      <c r="AI623" s="94">
        <f t="shared" si="308"/>
        <v>0.45045289468049349</v>
      </c>
    </row>
    <row r="624" spans="2:35">
      <c r="B624" s="39">
        <f t="shared" si="309"/>
        <v>596</v>
      </c>
      <c r="C624" s="42">
        <f t="shared" si="310"/>
        <v>3.9590407673819548</v>
      </c>
      <c r="D624" s="10">
        <f t="shared" si="311"/>
        <v>1.5809592326175164</v>
      </c>
      <c r="E624" s="40">
        <f t="shared" si="312"/>
        <v>27.918081534764966</v>
      </c>
      <c r="F624" s="40">
        <f t="shared" si="313"/>
        <v>31.08</v>
      </c>
      <c r="G624" s="3">
        <f t="shared" si="314"/>
        <v>194.72767386094861</v>
      </c>
      <c r="H624" s="3">
        <f t="shared" si="315"/>
        <v>81.256230789298584</v>
      </c>
      <c r="I624">
        <f t="shared" si="300"/>
        <v>8.1256230789298584E-5</v>
      </c>
      <c r="J624" s="4">
        <f t="shared" si="316"/>
        <v>612.15446834390127</v>
      </c>
      <c r="K624" s="40">
        <f t="shared" si="317"/>
        <v>7.53363111231738</v>
      </c>
      <c r="L624" s="40">
        <f t="shared" si="301"/>
        <v>0</v>
      </c>
      <c r="M624" s="10">
        <f t="shared" si="318"/>
        <v>5.0629973348409294</v>
      </c>
      <c r="N624" s="10">
        <f t="shared" si="297"/>
        <v>8.26</v>
      </c>
      <c r="O624" s="10">
        <f t="shared" si="298"/>
        <v>0.31900000000000001</v>
      </c>
      <c r="P624" s="10">
        <f t="shared" si="319"/>
        <v>13.857538799152779</v>
      </c>
      <c r="Q624" s="42">
        <f t="shared" si="320"/>
        <v>0.28876400905979477</v>
      </c>
      <c r="R624" s="4">
        <f t="shared" si="321"/>
        <v>28530.285254560058</v>
      </c>
      <c r="S624">
        <f t="shared" si="302"/>
        <v>2.8530285254560058E-5</v>
      </c>
      <c r="T624" s="41">
        <f t="shared" si="303"/>
        <v>1.5127408678732376E-4</v>
      </c>
      <c r="U624" s="42">
        <f t="shared" si="322"/>
        <v>5.1199023403570749E-2</v>
      </c>
      <c r="V624" s="42">
        <f t="shared" si="323"/>
        <v>0.45388494116342804</v>
      </c>
      <c r="W624" s="42">
        <f t="shared" si="324"/>
        <v>0.45041483284553563</v>
      </c>
      <c r="X624" s="42">
        <f t="shared" si="325"/>
        <v>3.4701083178924064E-3</v>
      </c>
      <c r="Y624" s="42">
        <f t="shared" si="299"/>
        <v>2.3215504185045864E-3</v>
      </c>
      <c r="Z624" s="10">
        <f t="shared" si="326"/>
        <v>15.346649699286925</v>
      </c>
      <c r="AA624">
        <f t="shared" si="304"/>
        <v>5062575.5000045216</v>
      </c>
      <c r="AB624" s="10">
        <f t="shared" si="305"/>
        <v>5.0625755000045212</v>
      </c>
      <c r="AC624" s="10">
        <f t="shared" si="306"/>
        <v>4.9615755000045212</v>
      </c>
      <c r="AD624" s="3">
        <f t="shared" si="307"/>
        <v>719.59035533060501</v>
      </c>
      <c r="AI624" s="94">
        <f t="shared" si="308"/>
        <v>0.45041483284553563</v>
      </c>
    </row>
    <row r="625" spans="2:35">
      <c r="B625" s="39">
        <f t="shared" si="309"/>
        <v>597</v>
      </c>
      <c r="C625" s="42">
        <f t="shared" si="310"/>
        <v>3.9656834532332668</v>
      </c>
      <c r="D625" s="10">
        <f t="shared" si="311"/>
        <v>1.5743165467662035</v>
      </c>
      <c r="E625" s="40">
        <f t="shared" si="312"/>
        <v>27.931366906467591</v>
      </c>
      <c r="F625" s="40">
        <f t="shared" si="313"/>
        <v>31.08</v>
      </c>
      <c r="G625" s="3">
        <f t="shared" si="314"/>
        <v>194.67453237413812</v>
      </c>
      <c r="H625" s="3">
        <f t="shared" si="315"/>
        <v>81.256230789298584</v>
      </c>
      <c r="I625">
        <f t="shared" si="300"/>
        <v>8.1256230789298584E-5</v>
      </c>
      <c r="J625" s="4">
        <f t="shared" si="316"/>
        <v>612.73721860876435</v>
      </c>
      <c r="K625" s="40">
        <f t="shared" si="317"/>
        <v>7.5408028732913071</v>
      </c>
      <c r="L625" s="40">
        <f t="shared" si="301"/>
        <v>0</v>
      </c>
      <c r="M625" s="10">
        <f t="shared" si="318"/>
        <v>5.0625755000045212</v>
      </c>
      <c r="N625" s="10">
        <f t="shared" si="297"/>
        <v>8.26</v>
      </c>
      <c r="O625" s="10">
        <f t="shared" si="298"/>
        <v>0.31900000000000001</v>
      </c>
      <c r="P625" s="10">
        <f t="shared" si="319"/>
        <v>13.857170480383409</v>
      </c>
      <c r="Q625" s="42">
        <f t="shared" si="320"/>
        <v>0.28924337718626153</v>
      </c>
      <c r="R625" s="4">
        <f t="shared" si="321"/>
        <v>28409.05265978086</v>
      </c>
      <c r="S625">
        <f t="shared" si="302"/>
        <v>2.8409052659780862E-5</v>
      </c>
      <c r="T625" s="41">
        <f t="shared" si="303"/>
        <v>1.5139531938210298E-4</v>
      </c>
      <c r="U625" s="42">
        <f t="shared" si="322"/>
        <v>5.0981465450609734E-2</v>
      </c>
      <c r="V625" s="42">
        <f t="shared" si="323"/>
        <v>0.45384317594194673</v>
      </c>
      <c r="W625" s="42">
        <f t="shared" si="324"/>
        <v>0.45037654167879215</v>
      </c>
      <c r="X625" s="42">
        <f t="shared" si="325"/>
        <v>3.4666342631545777E-3</v>
      </c>
      <c r="Y625" s="42">
        <f t="shared" si="299"/>
        <v>2.3232122124764603E-3</v>
      </c>
      <c r="Z625" s="10">
        <f t="shared" si="326"/>
        <v>15.345337107899361</v>
      </c>
      <c r="AA625">
        <f t="shared" si="304"/>
        <v>5062151.1388965501</v>
      </c>
      <c r="AB625" s="10">
        <f t="shared" si="305"/>
        <v>5.0621511388965503</v>
      </c>
      <c r="AC625" s="10">
        <f t="shared" si="306"/>
        <v>4.9611511388965503</v>
      </c>
      <c r="AD625" s="3">
        <f t="shared" si="307"/>
        <v>719.52880912205217</v>
      </c>
      <c r="AI625" s="94">
        <f t="shared" si="308"/>
        <v>0.45037654167879215</v>
      </c>
    </row>
    <row r="626" spans="2:35">
      <c r="B626" s="39">
        <f t="shared" si="309"/>
        <v>598</v>
      </c>
      <c r="C626" s="42">
        <f t="shared" si="310"/>
        <v>3.9723261390845788</v>
      </c>
      <c r="D626" s="10">
        <f t="shared" si="311"/>
        <v>1.5676738609148906</v>
      </c>
      <c r="E626" s="40">
        <f t="shared" si="312"/>
        <v>27.944652278170217</v>
      </c>
      <c r="F626" s="40">
        <f t="shared" si="313"/>
        <v>31.08</v>
      </c>
      <c r="G626" s="3">
        <f t="shared" si="314"/>
        <v>194.62139088732764</v>
      </c>
      <c r="H626" s="3">
        <f t="shared" si="315"/>
        <v>81.256230789298584</v>
      </c>
      <c r="I626">
        <f t="shared" si="300"/>
        <v>8.1256230789298584E-5</v>
      </c>
      <c r="J626" s="4">
        <f t="shared" si="316"/>
        <v>613.32024612090879</v>
      </c>
      <c r="K626" s="40">
        <f t="shared" si="317"/>
        <v>7.5479780462778105</v>
      </c>
      <c r="L626" s="40">
        <f t="shared" si="301"/>
        <v>0</v>
      </c>
      <c r="M626" s="10">
        <f t="shared" si="318"/>
        <v>5.0621511388965503</v>
      </c>
      <c r="N626" s="10">
        <f t="shared" si="297"/>
        <v>8.26</v>
      </c>
      <c r="O626" s="10">
        <f t="shared" si="298"/>
        <v>0.31900000000000001</v>
      </c>
      <c r="P626" s="10">
        <f t="shared" si="319"/>
        <v>13.85679993474935</v>
      </c>
      <c r="Q626" s="42">
        <f t="shared" si="320"/>
        <v>0.28972275813154413</v>
      </c>
      <c r="R626" s="4">
        <f t="shared" si="321"/>
        <v>28287.828043181147</v>
      </c>
      <c r="S626">
        <f t="shared" si="302"/>
        <v>2.8287828043181147E-5</v>
      </c>
      <c r="T626" s="41">
        <f t="shared" si="303"/>
        <v>1.515165439987027E-4</v>
      </c>
      <c r="U626" s="42">
        <f t="shared" si="322"/>
        <v>5.0763921814890721E-2</v>
      </c>
      <c r="V626" s="42">
        <f t="shared" si="323"/>
        <v>0.45380117390933611</v>
      </c>
      <c r="W626" s="42">
        <f t="shared" si="324"/>
        <v>0.45033802119508065</v>
      </c>
      <c r="X626" s="42">
        <f t="shared" si="325"/>
        <v>3.4631527142554575E-3</v>
      </c>
      <c r="Y626" s="42">
        <f t="shared" si="299"/>
        <v>2.3248723818982782E-3</v>
      </c>
      <c r="Z626" s="10">
        <f t="shared" si="326"/>
        <v>15.344016703008908</v>
      </c>
      <c r="AA626">
        <f t="shared" si="304"/>
        <v>5061724.2516812338</v>
      </c>
      <c r="AB626" s="10">
        <f t="shared" si="305"/>
        <v>5.061724251681234</v>
      </c>
      <c r="AC626" s="10">
        <f t="shared" si="306"/>
        <v>4.960724251681234</v>
      </c>
      <c r="AD626" s="3">
        <f t="shared" si="307"/>
        <v>719.46689654550164</v>
      </c>
      <c r="AI626" s="94">
        <f t="shared" si="308"/>
        <v>0.45033802119508065</v>
      </c>
    </row>
    <row r="627" spans="2:35">
      <c r="B627" s="39">
        <f t="shared" si="309"/>
        <v>599</v>
      </c>
      <c r="C627" s="42">
        <f t="shared" si="310"/>
        <v>3.9789688249358908</v>
      </c>
      <c r="D627" s="10">
        <f t="shared" si="311"/>
        <v>1.5610311750635777</v>
      </c>
      <c r="E627" s="40">
        <f t="shared" si="312"/>
        <v>27.957937649872843</v>
      </c>
      <c r="F627" s="40">
        <f t="shared" si="313"/>
        <v>31.08</v>
      </c>
      <c r="G627" s="3">
        <f t="shared" si="314"/>
        <v>194.56824940051715</v>
      </c>
      <c r="H627" s="3">
        <f t="shared" si="315"/>
        <v>81.256230789298584</v>
      </c>
      <c r="I627">
        <f t="shared" si="300"/>
        <v>8.1256230789298584E-5</v>
      </c>
      <c r="J627" s="4">
        <f t="shared" si="316"/>
        <v>613.90355088033493</v>
      </c>
      <c r="K627" s="40">
        <f t="shared" si="317"/>
        <v>7.5551566312768941</v>
      </c>
      <c r="L627" s="40">
        <f t="shared" si="301"/>
        <v>0</v>
      </c>
      <c r="M627" s="10">
        <f t="shared" si="318"/>
        <v>5.061724251681234</v>
      </c>
      <c r="N627" s="10">
        <f t="shared" si="297"/>
        <v>8.26</v>
      </c>
      <c r="O627" s="10">
        <f t="shared" si="298"/>
        <v>0.31900000000000001</v>
      </c>
      <c r="P627" s="10">
        <f t="shared" si="319"/>
        <v>13.856427162013242</v>
      </c>
      <c r="Q627" s="42">
        <f t="shared" si="320"/>
        <v>0.29020215197337967</v>
      </c>
      <c r="R627" s="4">
        <f t="shared" si="321"/>
        <v>28166.611448960895</v>
      </c>
      <c r="S627">
        <f t="shared" si="302"/>
        <v>2.8166611448960895E-5</v>
      </c>
      <c r="T627" s="41">
        <f t="shared" si="303"/>
        <v>1.5163776059292294E-4</v>
      </c>
      <c r="U627" s="42">
        <f t="shared" si="322"/>
        <v>5.0546392575732776E-2</v>
      </c>
      <c r="V627" s="42">
        <f t="shared" si="323"/>
        <v>0.45375893508571502</v>
      </c>
      <c r="W627" s="42">
        <f t="shared" si="324"/>
        <v>0.45029927140930787</v>
      </c>
      <c r="X627" s="42">
        <f t="shared" si="325"/>
        <v>3.4596636764071542E-3</v>
      </c>
      <c r="Y627" s="42">
        <f t="shared" si="299"/>
        <v>2.3265309233595701E-3</v>
      </c>
      <c r="Z627" s="10">
        <f t="shared" si="326"/>
        <v>15.342688485127571</v>
      </c>
      <c r="AA627">
        <f t="shared" si="304"/>
        <v>5061294.838524105</v>
      </c>
      <c r="AB627" s="10">
        <f t="shared" si="305"/>
        <v>5.0612948385241054</v>
      </c>
      <c r="AC627" s="10">
        <f t="shared" si="306"/>
        <v>4.9602948385241055</v>
      </c>
      <c r="AD627" s="3">
        <f t="shared" si="307"/>
        <v>719.40461762496079</v>
      </c>
      <c r="AI627" s="94">
        <f t="shared" si="308"/>
        <v>0.45029927140930787</v>
      </c>
    </row>
    <row r="628" spans="2:35">
      <c r="B628" s="39">
        <f t="shared" si="309"/>
        <v>600</v>
      </c>
      <c r="C628" s="42">
        <f t="shared" si="310"/>
        <v>3.9856115107872028</v>
      </c>
      <c r="D628" s="10">
        <f t="shared" si="311"/>
        <v>1.5543884892122648</v>
      </c>
      <c r="E628" s="40">
        <f t="shared" si="312"/>
        <v>27.971223021575469</v>
      </c>
      <c r="F628" s="40">
        <f t="shared" si="313"/>
        <v>31.08</v>
      </c>
      <c r="G628" s="3">
        <f t="shared" si="314"/>
        <v>194.51510791370666</v>
      </c>
      <c r="H628" s="3">
        <f t="shared" si="315"/>
        <v>81.256230789298584</v>
      </c>
      <c r="I628">
        <f t="shared" si="300"/>
        <v>8.1256230789298584E-5</v>
      </c>
      <c r="J628" s="4">
        <f t="shared" si="316"/>
        <v>614.48713288704255</v>
      </c>
      <c r="K628" s="40">
        <f t="shared" si="317"/>
        <v>7.5623386282885559</v>
      </c>
      <c r="L628" s="40">
        <f t="shared" si="301"/>
        <v>0</v>
      </c>
      <c r="M628" s="10">
        <f t="shared" si="318"/>
        <v>5.0612948385241054</v>
      </c>
      <c r="N628" s="10">
        <f t="shared" si="297"/>
        <v>8.26</v>
      </c>
      <c r="O628" s="10">
        <f t="shared" si="298"/>
        <v>0.31900000000000001</v>
      </c>
      <c r="P628" s="10">
        <f t="shared" si="319"/>
        <v>13.85605216193656</v>
      </c>
      <c r="Q628" s="42">
        <f t="shared" si="320"/>
        <v>0.29068155878952606</v>
      </c>
      <c r="R628" s="4">
        <f t="shared" si="321"/>
        <v>28045.402921320103</v>
      </c>
      <c r="S628">
        <f t="shared" si="302"/>
        <v>2.8045402921320101E-5</v>
      </c>
      <c r="T628" s="41">
        <f t="shared" si="303"/>
        <v>1.5175896912056374E-4</v>
      </c>
      <c r="U628" s="42">
        <f t="shared" si="322"/>
        <v>5.0328877812454986E-2</v>
      </c>
      <c r="V628" s="42">
        <f t="shared" si="323"/>
        <v>0.45371645949099609</v>
      </c>
      <c r="W628" s="42">
        <f t="shared" si="324"/>
        <v>0.45026029233649945</v>
      </c>
      <c r="X628" s="42">
        <f t="shared" si="325"/>
        <v>3.4561671544966477E-3</v>
      </c>
      <c r="Y628" s="42">
        <f t="shared" si="299"/>
        <v>2.3281878334511772E-3</v>
      </c>
      <c r="Z628" s="10">
        <f t="shared" si="326"/>
        <v>15.341352454770343</v>
      </c>
      <c r="AA628">
        <f t="shared" si="304"/>
        <v>5060862.8995916629</v>
      </c>
      <c r="AB628" s="10">
        <f t="shared" si="305"/>
        <v>5.0608628995916627</v>
      </c>
      <c r="AC628" s="10">
        <f t="shared" si="306"/>
        <v>4.9598628995916627</v>
      </c>
      <c r="AD628" s="3">
        <f t="shared" si="307"/>
        <v>719.34197238457762</v>
      </c>
      <c r="AI628" s="94">
        <f t="shared" si="308"/>
        <v>0.45026029233649945</v>
      </c>
    </row>
    <row r="629" spans="2:35">
      <c r="B629" s="39">
        <f t="shared" si="309"/>
        <v>601</v>
      </c>
      <c r="C629" s="42">
        <f t="shared" si="310"/>
        <v>3.9922541966385148</v>
      </c>
      <c r="D629" s="10">
        <f t="shared" si="311"/>
        <v>1.5477458033609519</v>
      </c>
      <c r="E629" s="40">
        <f t="shared" si="312"/>
        <v>27.984508393278094</v>
      </c>
      <c r="F629" s="40">
        <f t="shared" si="313"/>
        <v>31.08</v>
      </c>
      <c r="G629" s="3">
        <f t="shared" si="314"/>
        <v>194.46196642689617</v>
      </c>
      <c r="H629" s="3">
        <f t="shared" si="315"/>
        <v>81.256230789298584</v>
      </c>
      <c r="I629">
        <f t="shared" si="300"/>
        <v>8.1256230789298584E-5</v>
      </c>
      <c r="J629" s="4">
        <f t="shared" si="316"/>
        <v>615.07099214103175</v>
      </c>
      <c r="K629" s="40">
        <f t="shared" si="317"/>
        <v>7.5695240373127959</v>
      </c>
      <c r="L629" s="40">
        <f t="shared" si="301"/>
        <v>0</v>
      </c>
      <c r="M629" s="10">
        <f t="shared" si="318"/>
        <v>5.0608628995916627</v>
      </c>
      <c r="N629" s="10">
        <f t="shared" si="297"/>
        <v>8.26</v>
      </c>
      <c r="O629" s="10">
        <f t="shared" si="298"/>
        <v>0.31900000000000001</v>
      </c>
      <c r="P629" s="10">
        <f t="shared" si="319"/>
        <v>13.855674934279291</v>
      </c>
      <c r="Q629" s="42">
        <f t="shared" si="320"/>
        <v>0.29116097865776197</v>
      </c>
      <c r="R629" s="4">
        <f t="shared" si="321"/>
        <v>27924.20250445879</v>
      </c>
      <c r="S629">
        <f t="shared" si="302"/>
        <v>2.7924202504458791E-5</v>
      </c>
      <c r="T629" s="41">
        <f t="shared" si="303"/>
        <v>1.5188016953742505E-4</v>
      </c>
      <c r="U629" s="42">
        <f t="shared" si="322"/>
        <v>5.011137760437652E-2</v>
      </c>
      <c r="V629" s="42">
        <f t="shared" si="323"/>
        <v>0.45367374714524988</v>
      </c>
      <c r="W629" s="42">
        <f t="shared" si="324"/>
        <v>0.45022108399176908</v>
      </c>
      <c r="X629" s="42">
        <f t="shared" si="325"/>
        <v>3.4526631534808061E-3</v>
      </c>
      <c r="Y629" s="42">
        <f t="shared" si="299"/>
        <v>2.3298431087652818E-3</v>
      </c>
      <c r="Z629" s="10">
        <f t="shared" si="326"/>
        <v>15.340008612455369</v>
      </c>
      <c r="AA629">
        <f t="shared" si="304"/>
        <v>5060428.4350514216</v>
      </c>
      <c r="AB629" s="10">
        <f t="shared" si="305"/>
        <v>5.0604284350514215</v>
      </c>
      <c r="AC629" s="10">
        <f t="shared" si="306"/>
        <v>4.9594284350514215</v>
      </c>
      <c r="AD629" s="3">
        <f t="shared" si="307"/>
        <v>719.2789608486471</v>
      </c>
      <c r="AI629" s="94">
        <f t="shared" si="308"/>
        <v>0.45022108399176908</v>
      </c>
    </row>
    <row r="630" spans="2:35">
      <c r="B630" s="39">
        <f t="shared" si="309"/>
        <v>602</v>
      </c>
      <c r="C630" s="42">
        <f t="shared" si="310"/>
        <v>3.9988968824898268</v>
      </c>
      <c r="D630" s="10">
        <f t="shared" si="311"/>
        <v>1.541103117509639</v>
      </c>
      <c r="E630" s="40">
        <f t="shared" si="312"/>
        <v>27.99779376498072</v>
      </c>
      <c r="F630" s="40">
        <f t="shared" si="313"/>
        <v>31.08</v>
      </c>
      <c r="G630" s="3">
        <f t="shared" si="314"/>
        <v>194.40882494008568</v>
      </c>
      <c r="H630" s="3">
        <f t="shared" si="315"/>
        <v>81.256230789298584</v>
      </c>
      <c r="I630">
        <f t="shared" si="300"/>
        <v>8.1256230789298584E-5</v>
      </c>
      <c r="J630" s="4">
        <f t="shared" si="316"/>
        <v>615.65512864230243</v>
      </c>
      <c r="K630" s="40">
        <f t="shared" si="317"/>
        <v>7.5767128583496142</v>
      </c>
      <c r="L630" s="40">
        <f t="shared" si="301"/>
        <v>0</v>
      </c>
      <c r="M630" s="10">
        <f t="shared" si="318"/>
        <v>5.0604284350514215</v>
      </c>
      <c r="N630" s="10">
        <f t="shared" si="297"/>
        <v>8.26</v>
      </c>
      <c r="O630" s="10">
        <f t="shared" si="298"/>
        <v>0.31900000000000001</v>
      </c>
      <c r="P630" s="10">
        <f t="shared" si="319"/>
        <v>13.85529547879999</v>
      </c>
      <c r="Q630" s="42">
        <f t="shared" si="320"/>
        <v>0.29164041165588722</v>
      </c>
      <c r="R630" s="4">
        <f t="shared" si="321"/>
        <v>27803.010242576944</v>
      </c>
      <c r="S630">
        <f t="shared" si="302"/>
        <v>2.7803010242576943E-5</v>
      </c>
      <c r="T630" s="41">
        <f t="shared" si="303"/>
        <v>1.520013617993069E-4</v>
      </c>
      <c r="U630" s="42">
        <f t="shared" si="322"/>
        <v>4.9893892030816456E-2</v>
      </c>
      <c r="V630" s="42">
        <f t="shared" si="323"/>
        <v>0.45363079806877671</v>
      </c>
      <c r="W630" s="42">
        <f t="shared" si="324"/>
        <v>0.45018164639032254</v>
      </c>
      <c r="X630" s="42">
        <f t="shared" si="325"/>
        <v>3.4491516784541654E-3</v>
      </c>
      <c r="Y630" s="42">
        <f t="shared" si="299"/>
        <v>2.3314967458954719E-3</v>
      </c>
      <c r="Z630" s="10">
        <f t="shared" si="326"/>
        <v>15.33865695870432</v>
      </c>
      <c r="AA630">
        <f t="shared" si="304"/>
        <v>5059991.4450720381</v>
      </c>
      <c r="AB630" s="10">
        <f t="shared" si="305"/>
        <v>5.059991445072038</v>
      </c>
      <c r="AC630" s="10">
        <f t="shared" si="306"/>
        <v>4.958991445072038</v>
      </c>
      <c r="AD630" s="3">
        <f t="shared" si="307"/>
        <v>719.21558304162988</v>
      </c>
      <c r="AI630" s="94">
        <f t="shared" si="308"/>
        <v>0.45018164639032254</v>
      </c>
    </row>
    <row r="631" spans="2:35">
      <c r="B631" s="39">
        <f t="shared" si="309"/>
        <v>603</v>
      </c>
      <c r="C631" s="42">
        <f t="shared" si="310"/>
        <v>4.0055395683411392</v>
      </c>
      <c r="D631" s="10">
        <f t="shared" si="311"/>
        <v>1.5344604316583261</v>
      </c>
      <c r="E631" s="40">
        <f t="shared" si="312"/>
        <v>28.011079136683346</v>
      </c>
      <c r="F631" s="40">
        <f t="shared" si="313"/>
        <v>31.08</v>
      </c>
      <c r="G631" s="3">
        <f t="shared" si="314"/>
        <v>194.35568345327519</v>
      </c>
      <c r="H631" s="3">
        <f t="shared" si="315"/>
        <v>81.256230789298584</v>
      </c>
      <c r="I631">
        <f t="shared" si="300"/>
        <v>8.1256230789298584E-5</v>
      </c>
      <c r="J631" s="4">
        <f t="shared" si="316"/>
        <v>616.23954239085481</v>
      </c>
      <c r="K631" s="40">
        <f t="shared" si="317"/>
        <v>7.5839050913990134</v>
      </c>
      <c r="L631" s="40">
        <f t="shared" si="301"/>
        <v>0</v>
      </c>
      <c r="M631" s="10">
        <f t="shared" si="318"/>
        <v>5.059991445072038</v>
      </c>
      <c r="N631" s="10">
        <f t="shared" si="297"/>
        <v>8.26</v>
      </c>
      <c r="O631" s="10">
        <f t="shared" si="298"/>
        <v>0.31900000000000001</v>
      </c>
      <c r="P631" s="10">
        <f t="shared" si="319"/>
        <v>13.854913795255875</v>
      </c>
      <c r="Q631" s="42">
        <f t="shared" si="320"/>
        <v>0.29211985786172262</v>
      </c>
      <c r="R631" s="4">
        <f t="shared" si="321"/>
        <v>27681.826179874544</v>
      </c>
      <c r="S631">
        <f t="shared" si="302"/>
        <v>2.7681826179874545E-5</v>
      </c>
      <c r="T631" s="41">
        <f t="shared" si="303"/>
        <v>1.521225458620093E-4</v>
      </c>
      <c r="U631" s="42">
        <f t="shared" si="322"/>
        <v>4.967642117109386E-2</v>
      </c>
      <c r="V631" s="42">
        <f t="shared" si="323"/>
        <v>0.45358761228211103</v>
      </c>
      <c r="W631" s="42">
        <f t="shared" si="324"/>
        <v>0.45014197954746932</v>
      </c>
      <c r="X631" s="42">
        <f t="shared" si="325"/>
        <v>3.4456327346417126E-3</v>
      </c>
      <c r="Y631" s="42">
        <f t="shared" si="299"/>
        <v>2.333148741436798E-3</v>
      </c>
      <c r="Z631" s="10">
        <f t="shared" si="326"/>
        <v>15.337297494042746</v>
      </c>
      <c r="AA631">
        <f t="shared" si="304"/>
        <v>5059551.9298234237</v>
      </c>
      <c r="AB631" s="10">
        <f t="shared" si="305"/>
        <v>5.0595519298234235</v>
      </c>
      <c r="AC631" s="10">
        <f t="shared" si="306"/>
        <v>4.9585519298234235</v>
      </c>
      <c r="AD631" s="3">
        <f t="shared" si="307"/>
        <v>719.15183898816883</v>
      </c>
      <c r="AI631" s="94">
        <f t="shared" si="308"/>
        <v>0.45014197954746932</v>
      </c>
    </row>
    <row r="632" spans="2:35">
      <c r="B632" s="39">
        <f t="shared" si="309"/>
        <v>604</v>
      </c>
      <c r="C632" s="42">
        <f t="shared" si="310"/>
        <v>4.0121822541924512</v>
      </c>
      <c r="D632" s="10">
        <f t="shared" si="311"/>
        <v>1.5278177458070132</v>
      </c>
      <c r="E632" s="40">
        <f t="shared" si="312"/>
        <v>28.024364508385972</v>
      </c>
      <c r="F632" s="40">
        <f t="shared" si="313"/>
        <v>31.08</v>
      </c>
      <c r="G632" s="3">
        <f t="shared" si="314"/>
        <v>194.3025419664647</v>
      </c>
      <c r="H632" s="3">
        <f t="shared" si="315"/>
        <v>81.256230789298584</v>
      </c>
      <c r="I632">
        <f t="shared" si="300"/>
        <v>8.1256230789298584E-5</v>
      </c>
      <c r="J632" s="4">
        <f t="shared" si="316"/>
        <v>616.82423338668877</v>
      </c>
      <c r="K632" s="40">
        <f t="shared" si="317"/>
        <v>7.5911007364609917</v>
      </c>
      <c r="L632" s="40">
        <f t="shared" si="301"/>
        <v>0</v>
      </c>
      <c r="M632" s="10">
        <f t="shared" si="318"/>
        <v>5.0595519298234235</v>
      </c>
      <c r="N632" s="10">
        <f t="shared" si="297"/>
        <v>8.26</v>
      </c>
      <c r="O632" s="10">
        <f t="shared" si="298"/>
        <v>0.31900000000000001</v>
      </c>
      <c r="P632" s="10">
        <f t="shared" si="319"/>
        <v>13.854529883402936</v>
      </c>
      <c r="Q632" s="42">
        <f t="shared" si="320"/>
        <v>0.29259931735311034</v>
      </c>
      <c r="R632" s="4">
        <f t="shared" si="321"/>
        <v>27560.650360551608</v>
      </c>
      <c r="S632">
        <f t="shared" si="302"/>
        <v>2.7560650360551607E-5</v>
      </c>
      <c r="T632" s="41">
        <f t="shared" si="303"/>
        <v>1.5224372168133222E-4</v>
      </c>
      <c r="U632" s="42">
        <f t="shared" si="322"/>
        <v>4.9458965104527887E-2</v>
      </c>
      <c r="V632" s="42">
        <f t="shared" si="323"/>
        <v>0.45354418980543854</v>
      </c>
      <c r="W632" s="42">
        <f t="shared" si="324"/>
        <v>0.45010208347863273</v>
      </c>
      <c r="X632" s="42">
        <f t="shared" si="325"/>
        <v>3.442106326805805E-3</v>
      </c>
      <c r="Y632" s="42">
        <f t="shared" si="299"/>
        <v>2.3347990919855509E-3</v>
      </c>
      <c r="Z632" s="10">
        <f t="shared" si="326"/>
        <v>15.335930218998572</v>
      </c>
      <c r="AA632">
        <f t="shared" si="304"/>
        <v>5059109.8894762555</v>
      </c>
      <c r="AB632" s="10">
        <f t="shared" si="305"/>
        <v>5.0591098894762556</v>
      </c>
      <c r="AC632" s="10">
        <f t="shared" si="306"/>
        <v>4.9581098894762556</v>
      </c>
      <c r="AD632" s="3">
        <f t="shared" si="307"/>
        <v>719.08772871301744</v>
      </c>
      <c r="AI632" s="94">
        <f t="shared" si="308"/>
        <v>0.45010208347863273</v>
      </c>
    </row>
    <row r="633" spans="2:35">
      <c r="B633" s="39">
        <f t="shared" si="309"/>
        <v>605</v>
      </c>
      <c r="C633" s="42">
        <f t="shared" si="310"/>
        <v>4.0188249400437632</v>
      </c>
      <c r="D633" s="10">
        <f t="shared" si="311"/>
        <v>1.5211750599557003</v>
      </c>
      <c r="E633" s="40">
        <f t="shared" si="312"/>
        <v>28.037649880088598</v>
      </c>
      <c r="F633" s="40">
        <f t="shared" si="313"/>
        <v>31.08</v>
      </c>
      <c r="G633" s="3">
        <f t="shared" si="314"/>
        <v>194.24940047965421</v>
      </c>
      <c r="H633" s="3">
        <f t="shared" si="315"/>
        <v>81.256230789298584</v>
      </c>
      <c r="I633">
        <f t="shared" si="300"/>
        <v>8.1256230789298584E-5</v>
      </c>
      <c r="J633" s="4">
        <f t="shared" si="316"/>
        <v>617.4092016298041</v>
      </c>
      <c r="K633" s="40">
        <f t="shared" si="317"/>
        <v>7.5982997935355456</v>
      </c>
      <c r="L633" s="40">
        <f t="shared" si="301"/>
        <v>0</v>
      </c>
      <c r="M633" s="10">
        <f t="shared" si="318"/>
        <v>5.0591098894762556</v>
      </c>
      <c r="N633" s="10">
        <f t="shared" si="297"/>
        <v>8.26</v>
      </c>
      <c r="O633" s="10">
        <f t="shared" si="298"/>
        <v>0.31900000000000001</v>
      </c>
      <c r="P633" s="10">
        <f t="shared" si="319"/>
        <v>13.854143742995511</v>
      </c>
      <c r="Q633" s="42">
        <f t="shared" si="320"/>
        <v>0.29307879020791383</v>
      </c>
      <c r="R633" s="4">
        <f t="shared" si="321"/>
        <v>27439.482828808137</v>
      </c>
      <c r="S633">
        <f t="shared" si="302"/>
        <v>2.7439482828808137E-5</v>
      </c>
      <c r="T633" s="41">
        <f t="shared" si="303"/>
        <v>1.523648892130757E-4</v>
      </c>
      <c r="U633" s="42">
        <f t="shared" si="322"/>
        <v>4.9241523910437637E-2</v>
      </c>
      <c r="V633" s="42">
        <f t="shared" si="323"/>
        <v>0.45350053065958978</v>
      </c>
      <c r="W633" s="42">
        <f t="shared" si="324"/>
        <v>0.45006195819930567</v>
      </c>
      <c r="X633" s="42">
        <f t="shared" si="325"/>
        <v>3.4385724602841172E-3</v>
      </c>
      <c r="Y633" s="42">
        <f t="shared" si="299"/>
        <v>2.3364477941395321E-3</v>
      </c>
      <c r="Z633" s="10">
        <f t="shared" si="326"/>
        <v>15.334555134103836</v>
      </c>
      <c r="AA633">
        <f t="shared" si="304"/>
        <v>5058665.3242025413</v>
      </c>
      <c r="AB633" s="10">
        <f t="shared" si="305"/>
        <v>5.0586653242025417</v>
      </c>
      <c r="AC633" s="10">
        <f t="shared" si="306"/>
        <v>4.9576653242025417</v>
      </c>
      <c r="AD633" s="3">
        <f t="shared" si="307"/>
        <v>719.02325224112269</v>
      </c>
      <c r="AI633" s="94">
        <f t="shared" si="308"/>
        <v>0.45006195819930567</v>
      </c>
    </row>
    <row r="634" spans="2:35">
      <c r="B634" s="39">
        <f t="shared" si="309"/>
        <v>606</v>
      </c>
      <c r="C634" s="42">
        <f t="shared" si="310"/>
        <v>4.0254676258950752</v>
      </c>
      <c r="D634" s="10">
        <f t="shared" si="311"/>
        <v>1.5145323741043875</v>
      </c>
      <c r="E634" s="40">
        <f t="shared" si="312"/>
        <v>28.050935251791223</v>
      </c>
      <c r="F634" s="40">
        <f t="shared" si="313"/>
        <v>31.08</v>
      </c>
      <c r="G634" s="3">
        <f t="shared" si="314"/>
        <v>194.19625899284372</v>
      </c>
      <c r="H634" s="3">
        <f t="shared" si="315"/>
        <v>81.256230789298584</v>
      </c>
      <c r="I634">
        <f t="shared" si="300"/>
        <v>8.1256230789298584E-5</v>
      </c>
      <c r="J634" s="4">
        <f t="shared" si="316"/>
        <v>617.99444712020113</v>
      </c>
      <c r="K634" s="40">
        <f t="shared" si="317"/>
        <v>7.6055022626226805</v>
      </c>
      <c r="L634" s="40">
        <f t="shared" si="301"/>
        <v>0</v>
      </c>
      <c r="M634" s="10">
        <f t="shared" si="318"/>
        <v>5.0586653242025417</v>
      </c>
      <c r="N634" s="10">
        <f t="shared" si="297"/>
        <v>8.26</v>
      </c>
      <c r="O634" s="10">
        <f t="shared" si="298"/>
        <v>0.31900000000000001</v>
      </c>
      <c r="P634" s="10">
        <f t="shared" si="319"/>
        <v>13.853755373786754</v>
      </c>
      <c r="Q634" s="42">
        <f t="shared" si="320"/>
        <v>0.29355827650401811</v>
      </c>
      <c r="R634" s="4">
        <f t="shared" si="321"/>
        <v>27318.323628844122</v>
      </c>
      <c r="S634">
        <f t="shared" si="302"/>
        <v>2.7318323628844123E-5</v>
      </c>
      <c r="T634" s="41">
        <f t="shared" si="303"/>
        <v>1.5248604841303971E-4</v>
      </c>
      <c r="U634" s="42">
        <f t="shared" si="322"/>
        <v>4.9024097668142218E-2</v>
      </c>
      <c r="V634" s="42">
        <f t="shared" si="323"/>
        <v>0.45345663486518617</v>
      </c>
      <c r="W634" s="42">
        <f t="shared" si="324"/>
        <v>0.45002160372510175</v>
      </c>
      <c r="X634" s="42">
        <f t="shared" si="325"/>
        <v>3.4350311400844213E-3</v>
      </c>
      <c r="Y634" s="42">
        <f t="shared" si="299"/>
        <v>2.3380948444978941E-3</v>
      </c>
      <c r="Z634" s="10">
        <f t="shared" si="326"/>
        <v>15.333172239893614</v>
      </c>
      <c r="AA634">
        <f t="shared" si="304"/>
        <v>5058218.2341752723</v>
      </c>
      <c r="AB634" s="10">
        <f t="shared" si="305"/>
        <v>5.0582182341752722</v>
      </c>
      <c r="AC634" s="10">
        <f t="shared" si="306"/>
        <v>4.9572182341752722</v>
      </c>
      <c r="AD634" s="3">
        <f t="shared" si="307"/>
        <v>718.9584095975739</v>
      </c>
      <c r="AI634" s="94">
        <f t="shared" si="308"/>
        <v>0.45002160372510175</v>
      </c>
    </row>
    <row r="635" spans="2:35">
      <c r="B635" s="39">
        <f t="shared" si="309"/>
        <v>607</v>
      </c>
      <c r="C635" s="42">
        <f t="shared" si="310"/>
        <v>4.0321103117463872</v>
      </c>
      <c r="D635" s="10">
        <f t="shared" si="311"/>
        <v>1.5078896882530746</v>
      </c>
      <c r="E635" s="40">
        <f t="shared" si="312"/>
        <v>28.064220623493849</v>
      </c>
      <c r="F635" s="40">
        <f t="shared" si="313"/>
        <v>31.08</v>
      </c>
      <c r="G635" s="3">
        <f t="shared" si="314"/>
        <v>194.14311750603324</v>
      </c>
      <c r="H635" s="3">
        <f t="shared" si="315"/>
        <v>81.256230789298584</v>
      </c>
      <c r="I635">
        <f t="shared" si="300"/>
        <v>8.1256230789298584E-5</v>
      </c>
      <c r="J635" s="4">
        <f t="shared" si="316"/>
        <v>618.57996985787975</v>
      </c>
      <c r="K635" s="40">
        <f t="shared" si="317"/>
        <v>7.6127081437223953</v>
      </c>
      <c r="L635" s="40">
        <f t="shared" si="301"/>
        <v>0</v>
      </c>
      <c r="M635" s="10">
        <f t="shared" si="318"/>
        <v>5.0582182341752722</v>
      </c>
      <c r="N635" s="10">
        <f t="shared" si="297"/>
        <v>8.26</v>
      </c>
      <c r="O635" s="10">
        <f t="shared" si="298"/>
        <v>0.31900000000000001</v>
      </c>
      <c r="P635" s="10">
        <f t="shared" si="319"/>
        <v>13.85336477552837</v>
      </c>
      <c r="Q635" s="42">
        <f t="shared" si="320"/>
        <v>0.29403777631932987</v>
      </c>
      <c r="R635" s="4">
        <f t="shared" si="321"/>
        <v>27197.172804859558</v>
      </c>
      <c r="S635">
        <f t="shared" si="302"/>
        <v>2.7197172804859557E-5</v>
      </c>
      <c r="T635" s="41">
        <f t="shared" si="303"/>
        <v>1.5260719923702428E-4</v>
      </c>
      <c r="U635" s="42">
        <f t="shared" si="322"/>
        <v>4.8806686456960714E-2</v>
      </c>
      <c r="V635" s="42">
        <f t="shared" si="323"/>
        <v>0.45341250244309073</v>
      </c>
      <c r="W635" s="42">
        <f t="shared" si="324"/>
        <v>0.44998102007172386</v>
      </c>
      <c r="X635" s="42">
        <f t="shared" si="325"/>
        <v>3.4314823713668674E-3</v>
      </c>
      <c r="Y635" s="42">
        <f t="shared" si="299"/>
        <v>2.33974023966121E-3</v>
      </c>
      <c r="Z635" s="10">
        <f t="shared" si="326"/>
        <v>15.33178153690643</v>
      </c>
      <c r="AA635">
        <f t="shared" si="304"/>
        <v>5057768.6195685547</v>
      </c>
      <c r="AB635" s="10">
        <f t="shared" si="305"/>
        <v>5.0577686195685549</v>
      </c>
      <c r="AC635" s="10">
        <f t="shared" si="306"/>
        <v>4.956768619568555</v>
      </c>
      <c r="AD635" s="3">
        <f t="shared" si="307"/>
        <v>718.89320080762218</v>
      </c>
      <c r="AI635" s="94">
        <f t="shared" si="308"/>
        <v>0.44998102007172386</v>
      </c>
    </row>
    <row r="636" spans="2:35">
      <c r="B636" s="39">
        <f t="shared" si="309"/>
        <v>608</v>
      </c>
      <c r="C636" s="42">
        <f t="shared" si="310"/>
        <v>4.0387529975976992</v>
      </c>
      <c r="D636" s="10">
        <f t="shared" si="311"/>
        <v>1.5012470024017617</v>
      </c>
      <c r="E636" s="40">
        <f t="shared" si="312"/>
        <v>28.077505995196475</v>
      </c>
      <c r="F636" s="40">
        <f t="shared" si="313"/>
        <v>31.08</v>
      </c>
      <c r="G636" s="3">
        <f t="shared" si="314"/>
        <v>194.08997601922275</v>
      </c>
      <c r="H636" s="3">
        <f t="shared" si="315"/>
        <v>81.256230789298584</v>
      </c>
      <c r="I636">
        <f t="shared" si="300"/>
        <v>8.1256230789298584E-5</v>
      </c>
      <c r="J636" s="4">
        <f t="shared" si="316"/>
        <v>619.16576984283984</v>
      </c>
      <c r="K636" s="40">
        <f t="shared" si="317"/>
        <v>7.6199174368346867</v>
      </c>
      <c r="L636" s="40">
        <f t="shared" si="301"/>
        <v>0</v>
      </c>
      <c r="M636" s="10">
        <f t="shared" si="318"/>
        <v>5.0577686195685549</v>
      </c>
      <c r="N636" s="10">
        <f t="shared" si="297"/>
        <v>8.26</v>
      </c>
      <c r="O636" s="10">
        <f t="shared" si="298"/>
        <v>0.31900000000000001</v>
      </c>
      <c r="P636" s="10">
        <f t="shared" si="319"/>
        <v>13.852971947970687</v>
      </c>
      <c r="Q636" s="42">
        <f t="shared" si="320"/>
        <v>0.29451728973177743</v>
      </c>
      <c r="R636" s="4">
        <f t="shared" si="321"/>
        <v>27076.030401054457</v>
      </c>
      <c r="S636">
        <f t="shared" si="302"/>
        <v>2.7076030401054456E-5</v>
      </c>
      <c r="T636" s="41">
        <f t="shared" si="303"/>
        <v>1.5272834164082937E-4</v>
      </c>
      <c r="U636" s="42">
        <f t="shared" si="322"/>
        <v>4.8589290356212275E-2</v>
      </c>
      <c r="V636" s="42">
        <f t="shared" si="323"/>
        <v>0.45336813341422905</v>
      </c>
      <c r="W636" s="42">
        <f t="shared" si="324"/>
        <v>0.44994020725497619</v>
      </c>
      <c r="X636" s="42">
        <f t="shared" si="325"/>
        <v>3.4279261592528587E-3</v>
      </c>
      <c r="Y636" s="42">
        <f t="shared" si="299"/>
        <v>2.3413839762314518E-3</v>
      </c>
      <c r="Z636" s="10">
        <f t="shared" si="326"/>
        <v>15.330383025684094</v>
      </c>
      <c r="AA636">
        <f t="shared" si="304"/>
        <v>5057316.4805575525</v>
      </c>
      <c r="AB636" s="10">
        <f t="shared" si="305"/>
        <v>5.0573164805575521</v>
      </c>
      <c r="AC636" s="10">
        <f t="shared" si="306"/>
        <v>4.9563164805575521</v>
      </c>
      <c r="AD636" s="3">
        <f t="shared" si="307"/>
        <v>718.82762589667186</v>
      </c>
      <c r="AI636" s="94">
        <f t="shared" si="308"/>
        <v>0.44994020725497619</v>
      </c>
    </row>
    <row r="637" spans="2:35">
      <c r="B637" s="39">
        <f t="shared" si="309"/>
        <v>609</v>
      </c>
      <c r="C637" s="42">
        <f t="shared" si="310"/>
        <v>4.0453956834490112</v>
      </c>
      <c r="D637" s="10">
        <f t="shared" si="311"/>
        <v>1.4946043165504488</v>
      </c>
      <c r="E637" s="40">
        <f t="shared" si="312"/>
        <v>28.090791366899101</v>
      </c>
      <c r="F637" s="40">
        <f t="shared" si="313"/>
        <v>31.08</v>
      </c>
      <c r="G637" s="3">
        <f t="shared" si="314"/>
        <v>194.03683453241226</v>
      </c>
      <c r="H637" s="3">
        <f t="shared" si="315"/>
        <v>81.256230789298584</v>
      </c>
      <c r="I637">
        <f t="shared" si="300"/>
        <v>8.1256230789298584E-5</v>
      </c>
      <c r="J637" s="4">
        <f t="shared" si="316"/>
        <v>619.75184707508151</v>
      </c>
      <c r="K637" s="40">
        <f t="shared" si="317"/>
        <v>7.6271301419595581</v>
      </c>
      <c r="L637" s="40">
        <f t="shared" si="301"/>
        <v>0</v>
      </c>
      <c r="M637" s="10">
        <f t="shared" si="318"/>
        <v>5.0573164805575521</v>
      </c>
      <c r="N637" s="10">
        <f t="shared" si="297"/>
        <v>8.26</v>
      </c>
      <c r="O637" s="10">
        <f t="shared" si="298"/>
        <v>0.31900000000000001</v>
      </c>
      <c r="P637" s="10">
        <f t="shared" si="319"/>
        <v>13.852576890862638</v>
      </c>
      <c r="Q637" s="42">
        <f t="shared" si="320"/>
        <v>0.29499681681931111</v>
      </c>
      <c r="R637" s="4">
        <f t="shared" si="321"/>
        <v>26954.896461628799</v>
      </c>
      <c r="S637">
        <f t="shared" si="302"/>
        <v>2.69548964616288E-5</v>
      </c>
      <c r="T637" s="41">
        <f t="shared" si="303"/>
        <v>1.5284947558025504E-4</v>
      </c>
      <c r="U637" s="42">
        <f t="shared" si="322"/>
        <v>4.8371909445215952E-2</v>
      </c>
      <c r="V637" s="42">
        <f t="shared" si="323"/>
        <v>0.45332352779978102</v>
      </c>
      <c r="W637" s="42">
        <f t="shared" si="324"/>
        <v>0.44989916529075863</v>
      </c>
      <c r="X637" s="42">
        <f t="shared" si="325"/>
        <v>3.4243625090223939E-3</v>
      </c>
      <c r="Y637" s="42">
        <f t="shared" si="299"/>
        <v>2.3430260508120627E-3</v>
      </c>
      <c r="Z637" s="10">
        <f t="shared" si="326"/>
        <v>15.328976706772115</v>
      </c>
      <c r="AA637">
        <f t="shared" si="304"/>
        <v>5056861.8173186313</v>
      </c>
      <c r="AB637" s="10">
        <f t="shared" si="305"/>
        <v>5.056861817318631</v>
      </c>
      <c r="AC637" s="10">
        <f t="shared" si="306"/>
        <v>4.9558618173186311</v>
      </c>
      <c r="AD637" s="3">
        <f t="shared" si="307"/>
        <v>718.76168489030181</v>
      </c>
      <c r="AI637" s="94">
        <f t="shared" si="308"/>
        <v>0.44989916529075863</v>
      </c>
    </row>
    <row r="638" spans="2:35">
      <c r="B638" s="39">
        <f t="shared" si="309"/>
        <v>610</v>
      </c>
      <c r="C638" s="42">
        <f t="shared" si="310"/>
        <v>4.0520383693003232</v>
      </c>
      <c r="D638" s="10">
        <f t="shared" si="311"/>
        <v>1.4879616306991359</v>
      </c>
      <c r="E638" s="40">
        <f t="shared" si="312"/>
        <v>28.104076738601727</v>
      </c>
      <c r="F638" s="40">
        <f t="shared" si="313"/>
        <v>31.08</v>
      </c>
      <c r="G638" s="3">
        <f t="shared" si="314"/>
        <v>193.98369304560177</v>
      </c>
      <c r="H638" s="3">
        <f t="shared" si="315"/>
        <v>81.256230789298584</v>
      </c>
      <c r="I638">
        <f t="shared" si="300"/>
        <v>8.1256230789298584E-5</v>
      </c>
      <c r="J638" s="4">
        <f t="shared" si="316"/>
        <v>620.33820155460478</v>
      </c>
      <c r="K638" s="40">
        <f t="shared" si="317"/>
        <v>7.6343462590970077</v>
      </c>
      <c r="L638" s="40">
        <f t="shared" si="301"/>
        <v>0</v>
      </c>
      <c r="M638" s="10">
        <f t="shared" si="318"/>
        <v>5.056861817318631</v>
      </c>
      <c r="N638" s="10">
        <f t="shared" si="297"/>
        <v>8.26</v>
      </c>
      <c r="O638" s="10">
        <f t="shared" si="298"/>
        <v>0.31900000000000001</v>
      </c>
      <c r="P638" s="10">
        <f t="shared" si="319"/>
        <v>13.852179603951862</v>
      </c>
      <c r="Q638" s="42">
        <f t="shared" si="320"/>
        <v>0.29547635765990321</v>
      </c>
      <c r="R638" s="4">
        <f t="shared" si="321"/>
        <v>26833.771030782591</v>
      </c>
      <c r="S638">
        <f t="shared" si="302"/>
        <v>2.6833771030782591E-5</v>
      </c>
      <c r="T638" s="41">
        <f t="shared" si="303"/>
        <v>1.5297060101110123E-4</v>
      </c>
      <c r="U638" s="42">
        <f t="shared" si="322"/>
        <v>4.8154543803290893E-2</v>
      </c>
      <c r="V638" s="42">
        <f t="shared" si="323"/>
        <v>0.4532786856207579</v>
      </c>
      <c r="W638" s="42">
        <f t="shared" si="324"/>
        <v>0.44985789419508077</v>
      </c>
      <c r="X638" s="42">
        <f t="shared" si="325"/>
        <v>3.4207914256771388E-3</v>
      </c>
      <c r="Y638" s="42">
        <f t="shared" si="299"/>
        <v>2.3446664600078222E-3</v>
      </c>
      <c r="Z638" s="10">
        <f t="shared" si="326"/>
        <v>15.32756258071881</v>
      </c>
      <c r="AA638">
        <f t="shared" si="304"/>
        <v>5056404.6300290618</v>
      </c>
      <c r="AB638" s="10">
        <f t="shared" si="305"/>
        <v>5.0564046300290615</v>
      </c>
      <c r="AC638" s="10">
        <f t="shared" si="306"/>
        <v>4.9554046300290615</v>
      </c>
      <c r="AD638" s="3">
        <f t="shared" si="307"/>
        <v>718.69537781422218</v>
      </c>
      <c r="AI638" s="94">
        <f t="shared" si="308"/>
        <v>0.44985789419508077</v>
      </c>
    </row>
    <row r="639" spans="2:35">
      <c r="B639" s="39">
        <f t="shared" si="309"/>
        <v>611</v>
      </c>
      <c r="C639" s="42">
        <f t="shared" si="310"/>
        <v>4.0586810551516352</v>
      </c>
      <c r="D639" s="10">
        <f t="shared" si="311"/>
        <v>1.481318944847823</v>
      </c>
      <c r="E639" s="40">
        <f t="shared" si="312"/>
        <v>28.117362110304352</v>
      </c>
      <c r="F639" s="40">
        <f t="shared" si="313"/>
        <v>31.08</v>
      </c>
      <c r="G639" s="3">
        <f t="shared" si="314"/>
        <v>193.93055155879128</v>
      </c>
      <c r="H639" s="3">
        <f t="shared" si="315"/>
        <v>81.256230789298584</v>
      </c>
      <c r="I639">
        <f t="shared" si="300"/>
        <v>8.1256230789298584E-5</v>
      </c>
      <c r="J639" s="4">
        <f t="shared" si="316"/>
        <v>620.92483328140963</v>
      </c>
      <c r="K639" s="40">
        <f t="shared" si="317"/>
        <v>7.6415657882470374</v>
      </c>
      <c r="L639" s="40">
        <f t="shared" si="301"/>
        <v>0</v>
      </c>
      <c r="M639" s="10">
        <f t="shared" si="318"/>
        <v>5.0564046300290615</v>
      </c>
      <c r="N639" s="10">
        <f t="shared" si="297"/>
        <v>8.26</v>
      </c>
      <c r="O639" s="10">
        <f t="shared" si="298"/>
        <v>0.31900000000000001</v>
      </c>
      <c r="P639" s="10">
        <f t="shared" si="319"/>
        <v>13.851780086984469</v>
      </c>
      <c r="Q639" s="42">
        <f t="shared" si="320"/>
        <v>0.29595591233154817</v>
      </c>
      <c r="R639" s="4">
        <f t="shared" si="321"/>
        <v>26712.654152715826</v>
      </c>
      <c r="S639">
        <f t="shared" si="302"/>
        <v>2.6712654152715826E-5</v>
      </c>
      <c r="T639" s="41">
        <f t="shared" si="303"/>
        <v>1.5309171788916801E-4</v>
      </c>
      <c r="U639" s="42">
        <f t="shared" si="322"/>
        <v>4.7937193509756178E-2</v>
      </c>
      <c r="V639" s="42">
        <f t="shared" si="323"/>
        <v>0.45323360689859732</v>
      </c>
      <c r="W639" s="42">
        <f t="shared" si="324"/>
        <v>0.44981639398403378</v>
      </c>
      <c r="X639" s="42">
        <f t="shared" si="325"/>
        <v>3.4172129145635388E-3</v>
      </c>
      <c r="Y639" s="42">
        <f t="shared" si="299"/>
        <v>2.3463052004250068E-3</v>
      </c>
      <c r="Z639" s="10">
        <f t="shared" si="326"/>
        <v>15.326140648076295</v>
      </c>
      <c r="AA639">
        <f t="shared" si="304"/>
        <v>5055944.9188673422</v>
      </c>
      <c r="AB639" s="10">
        <f t="shared" si="305"/>
        <v>5.0559449188673424</v>
      </c>
      <c r="AC639" s="10">
        <f t="shared" si="306"/>
        <v>4.9549449188673425</v>
      </c>
      <c r="AD639" s="3">
        <f t="shared" si="307"/>
        <v>718.62870469432085</v>
      </c>
      <c r="AI639" s="94">
        <f t="shared" si="308"/>
        <v>0.44981639398403378</v>
      </c>
    </row>
    <row r="640" spans="2:35">
      <c r="B640" s="39">
        <f t="shared" si="309"/>
        <v>612</v>
      </c>
      <c r="C640" s="42">
        <f t="shared" si="310"/>
        <v>4.0653237410029472</v>
      </c>
      <c r="D640" s="10">
        <f t="shared" si="311"/>
        <v>1.4746762589965101</v>
      </c>
      <c r="E640" s="40">
        <f t="shared" si="312"/>
        <v>28.130647482006978</v>
      </c>
      <c r="F640" s="40">
        <f t="shared" si="313"/>
        <v>31.08</v>
      </c>
      <c r="G640" s="3">
        <f t="shared" si="314"/>
        <v>193.87741007198079</v>
      </c>
      <c r="H640" s="3">
        <f t="shared" si="315"/>
        <v>81.256230789298584</v>
      </c>
      <c r="I640">
        <f t="shared" si="300"/>
        <v>8.1256230789298584E-5</v>
      </c>
      <c r="J640" s="4">
        <f t="shared" si="316"/>
        <v>621.51174225549607</v>
      </c>
      <c r="K640" s="40">
        <f t="shared" si="317"/>
        <v>7.6487887294096462</v>
      </c>
      <c r="L640" s="40">
        <f t="shared" si="301"/>
        <v>0</v>
      </c>
      <c r="M640" s="10">
        <f t="shared" si="318"/>
        <v>5.0559449188673424</v>
      </c>
      <c r="N640" s="10">
        <f t="shared" si="297"/>
        <v>8.26</v>
      </c>
      <c r="O640" s="10">
        <f t="shared" si="298"/>
        <v>0.31900000000000001</v>
      </c>
      <c r="P640" s="10">
        <f t="shared" si="319"/>
        <v>13.851378339705294</v>
      </c>
      <c r="Q640" s="42">
        <f t="shared" si="320"/>
        <v>0.29643548091226268</v>
      </c>
      <c r="R640" s="4">
        <f t="shared" si="321"/>
        <v>26591.545871628521</v>
      </c>
      <c r="S640">
        <f t="shared" si="302"/>
        <v>2.6591545871628522E-5</v>
      </c>
      <c r="T640" s="41">
        <f t="shared" si="303"/>
        <v>1.5321282617025532E-4</v>
      </c>
      <c r="U640" s="42">
        <f t="shared" si="322"/>
        <v>4.7719858643930961E-2</v>
      </c>
      <c r="V640" s="42">
        <f t="shared" si="323"/>
        <v>0.45318829165456492</v>
      </c>
      <c r="W640" s="42">
        <f t="shared" si="324"/>
        <v>0.44977466467382049</v>
      </c>
      <c r="X640" s="42">
        <f t="shared" si="325"/>
        <v>3.413626980744433E-3</v>
      </c>
      <c r="Y640" s="42">
        <f t="shared" si="299"/>
        <v>2.347942268671251E-3</v>
      </c>
      <c r="Z640" s="10">
        <f t="shared" si="326"/>
        <v>15.324710909399567</v>
      </c>
      <c r="AA640">
        <f t="shared" si="304"/>
        <v>5055482.6840129038</v>
      </c>
      <c r="AB640" s="10">
        <f t="shared" si="305"/>
        <v>5.0554826840129037</v>
      </c>
      <c r="AC640" s="10">
        <f t="shared" si="306"/>
        <v>4.9544826840129037</v>
      </c>
      <c r="AD640" s="3">
        <f t="shared" si="307"/>
        <v>718.56166555662128</v>
      </c>
      <c r="AI640" s="94">
        <f t="shared" si="308"/>
        <v>0.44977466467382049</v>
      </c>
    </row>
    <row r="641" spans="2:35">
      <c r="B641" s="39">
        <f t="shared" si="309"/>
        <v>613</v>
      </c>
      <c r="C641" s="42">
        <f t="shared" si="310"/>
        <v>4.0719664268542592</v>
      </c>
      <c r="D641" s="10">
        <f t="shared" si="311"/>
        <v>1.4680335731451972</v>
      </c>
      <c r="E641" s="40">
        <f t="shared" si="312"/>
        <v>28.143932853709604</v>
      </c>
      <c r="F641" s="40">
        <f t="shared" si="313"/>
        <v>31.08</v>
      </c>
      <c r="G641" s="3">
        <f t="shared" si="314"/>
        <v>193.8242685851703</v>
      </c>
      <c r="H641" s="3">
        <f t="shared" si="315"/>
        <v>81.256230789298584</v>
      </c>
      <c r="I641">
        <f t="shared" si="300"/>
        <v>8.1256230789298584E-5</v>
      </c>
      <c r="J641" s="4">
        <f t="shared" si="316"/>
        <v>622.09892847686399</v>
      </c>
      <c r="K641" s="40">
        <f t="shared" si="317"/>
        <v>7.6560150825848323</v>
      </c>
      <c r="L641" s="40">
        <f t="shared" si="301"/>
        <v>0</v>
      </c>
      <c r="M641" s="10">
        <f t="shared" si="318"/>
        <v>5.0554826840129037</v>
      </c>
      <c r="N641" s="10">
        <f t="shared" si="297"/>
        <v>8.26</v>
      </c>
      <c r="O641" s="10">
        <f t="shared" si="298"/>
        <v>0.31900000000000001</v>
      </c>
      <c r="P641" s="10">
        <f t="shared" si="319"/>
        <v>13.850974361857658</v>
      </c>
      <c r="Q641" s="42">
        <f t="shared" si="320"/>
        <v>0.29691506348008584</v>
      </c>
      <c r="R641" s="4">
        <f t="shared" si="321"/>
        <v>26470.446231720653</v>
      </c>
      <c r="S641">
        <f t="shared" si="302"/>
        <v>2.6470446231720651E-5</v>
      </c>
      <c r="T641" s="41">
        <f t="shared" si="303"/>
        <v>1.533339258101632E-4</v>
      </c>
      <c r="U641" s="42">
        <f t="shared" si="322"/>
        <v>4.7502539285134295E-2</v>
      </c>
      <c r="V641" s="42">
        <f t="shared" si="323"/>
        <v>0.45314273991043436</v>
      </c>
      <c r="W641" s="42">
        <f t="shared" si="324"/>
        <v>0.44973270628072831</v>
      </c>
      <c r="X641" s="42">
        <f t="shared" si="325"/>
        <v>3.4100336297060441E-3</v>
      </c>
      <c r="Y641" s="42">
        <f t="shared" si="299"/>
        <v>2.3495776613557486E-3</v>
      </c>
      <c r="Z641" s="10">
        <f t="shared" si="326"/>
        <v>15.323273365247752</v>
      </c>
      <c r="AA641">
        <f t="shared" si="304"/>
        <v>5055017.9256465128</v>
      </c>
      <c r="AB641" s="10">
        <f t="shared" si="305"/>
        <v>5.0550179256465126</v>
      </c>
      <c r="AC641" s="10">
        <f t="shared" si="306"/>
        <v>4.9540179256465127</v>
      </c>
      <c r="AD641" s="3">
        <f t="shared" si="307"/>
        <v>718.49426042734046</v>
      </c>
      <c r="AI641" s="94">
        <f t="shared" si="308"/>
        <v>0.44973270628072831</v>
      </c>
    </row>
    <row r="642" spans="2:35">
      <c r="B642" s="39">
        <f t="shared" si="309"/>
        <v>614</v>
      </c>
      <c r="C642" s="42">
        <f t="shared" si="310"/>
        <v>4.0786091127055712</v>
      </c>
      <c r="D642" s="10">
        <f t="shared" si="311"/>
        <v>1.4613908872938843</v>
      </c>
      <c r="E642" s="40">
        <f t="shared" si="312"/>
        <v>28.15721822541223</v>
      </c>
      <c r="F642" s="40">
        <f t="shared" si="313"/>
        <v>31.08</v>
      </c>
      <c r="G642" s="3">
        <f t="shared" si="314"/>
        <v>193.77112709835981</v>
      </c>
      <c r="H642" s="3">
        <f t="shared" si="315"/>
        <v>81.256230789298584</v>
      </c>
      <c r="I642">
        <f t="shared" si="300"/>
        <v>8.1256230789298584E-5</v>
      </c>
      <c r="J642" s="4">
        <f t="shared" si="316"/>
        <v>622.68639194551338</v>
      </c>
      <c r="K642" s="40">
        <f t="shared" si="317"/>
        <v>7.6632448477725958</v>
      </c>
      <c r="L642" s="40">
        <f t="shared" si="301"/>
        <v>0</v>
      </c>
      <c r="M642" s="10">
        <f t="shared" si="318"/>
        <v>5.0550179256465126</v>
      </c>
      <c r="N642" s="10">
        <f t="shared" si="297"/>
        <v>8.26</v>
      </c>
      <c r="O642" s="10">
        <f t="shared" si="298"/>
        <v>0.31900000000000001</v>
      </c>
      <c r="P642" s="10">
        <f t="shared" si="319"/>
        <v>13.850568153183708</v>
      </c>
      <c r="Q642" s="42">
        <f t="shared" si="320"/>
        <v>0.29739466011307919</v>
      </c>
      <c r="R642" s="4">
        <f t="shared" si="321"/>
        <v>26349.355277192248</v>
      </c>
      <c r="S642">
        <f t="shared" si="302"/>
        <v>2.6349355277192249E-5</v>
      </c>
      <c r="T642" s="41">
        <f t="shared" si="303"/>
        <v>1.5345501676469159E-4</v>
      </c>
      <c r="U642" s="42">
        <f t="shared" si="322"/>
        <v>4.728523551268534E-2</v>
      </c>
      <c r="V642" s="42">
        <f t="shared" si="323"/>
        <v>0.45309695168766267</v>
      </c>
      <c r="W642" s="42">
        <f t="shared" si="324"/>
        <v>0.44969051882116612</v>
      </c>
      <c r="X642" s="42">
        <f t="shared" si="325"/>
        <v>3.406432866496556E-3</v>
      </c>
      <c r="Y642" s="42">
        <f t="shared" si="299"/>
        <v>2.3512113750890381E-3</v>
      </c>
      <c r="Z642" s="10">
        <f t="shared" si="326"/>
        <v>15.321828016182703</v>
      </c>
      <c r="AA642">
        <f t="shared" si="304"/>
        <v>5054550.6439498151</v>
      </c>
      <c r="AB642" s="10">
        <f t="shared" si="305"/>
        <v>5.0545506439498151</v>
      </c>
      <c r="AC642" s="10">
        <f t="shared" si="306"/>
        <v>4.9535506439498151</v>
      </c>
      <c r="AD642" s="3">
        <f t="shared" si="307"/>
        <v>718.42648933282305</v>
      </c>
      <c r="AI642" s="94">
        <f t="shared" si="308"/>
        <v>0.44969051882116612</v>
      </c>
    </row>
    <row r="643" spans="2:35">
      <c r="B643" s="39">
        <f t="shared" si="309"/>
        <v>615</v>
      </c>
      <c r="C643" s="42">
        <f t="shared" si="310"/>
        <v>4.0852517985568833</v>
      </c>
      <c r="D643" s="10">
        <f t="shared" si="311"/>
        <v>1.4547482014425714</v>
      </c>
      <c r="E643" s="40">
        <f t="shared" si="312"/>
        <v>28.170503597114855</v>
      </c>
      <c r="F643" s="40">
        <f t="shared" si="313"/>
        <v>31.08</v>
      </c>
      <c r="G643" s="3">
        <f t="shared" si="314"/>
        <v>193.71798561154932</v>
      </c>
      <c r="H643" s="3">
        <f t="shared" si="315"/>
        <v>81.256230789298584</v>
      </c>
      <c r="I643">
        <f t="shared" si="300"/>
        <v>8.1256230789298584E-5</v>
      </c>
      <c r="J643" s="4">
        <f t="shared" si="316"/>
        <v>623.27413266144447</v>
      </c>
      <c r="K643" s="40">
        <f t="shared" si="317"/>
        <v>7.6704780249729412</v>
      </c>
      <c r="L643" s="40">
        <f t="shared" si="301"/>
        <v>0</v>
      </c>
      <c r="M643" s="10">
        <f t="shared" si="318"/>
        <v>5.0545506439498151</v>
      </c>
      <c r="N643" s="10">
        <f t="shared" si="297"/>
        <v>8.26</v>
      </c>
      <c r="O643" s="10">
        <f t="shared" si="298"/>
        <v>0.31900000000000001</v>
      </c>
      <c r="P643" s="10">
        <f t="shared" si="319"/>
        <v>13.850159713424027</v>
      </c>
      <c r="Q643" s="42">
        <f t="shared" si="320"/>
        <v>0.29787427088932705</v>
      </c>
      <c r="R643" s="4">
        <f t="shared" si="321"/>
        <v>26228.273052243254</v>
      </c>
      <c r="S643">
        <f t="shared" si="302"/>
        <v>2.6228273052243254E-5</v>
      </c>
      <c r="T643" s="41">
        <f t="shared" si="303"/>
        <v>1.5357609898964059E-4</v>
      </c>
      <c r="U643" s="42">
        <f t="shared" si="322"/>
        <v>4.7067947405903129E-2</v>
      </c>
      <c r="V643" s="42">
        <f t="shared" si="323"/>
        <v>0.45305092700818822</v>
      </c>
      <c r="W643" s="42">
        <f t="shared" si="324"/>
        <v>0.44964810231162228</v>
      </c>
      <c r="X643" s="42">
        <f t="shared" si="325"/>
        <v>3.4028246965659426E-3</v>
      </c>
      <c r="Y643" s="42">
        <f t="shared" si="299"/>
        <v>2.3528434064831933E-3</v>
      </c>
      <c r="Z643" s="10">
        <f t="shared" si="326"/>
        <v>15.320374862770173</v>
      </c>
      <c r="AA643">
        <f t="shared" si="304"/>
        <v>5054080.8391057197</v>
      </c>
      <c r="AB643" s="10">
        <f t="shared" si="305"/>
        <v>5.0540808391057199</v>
      </c>
      <c r="AC643" s="10">
        <f t="shared" si="306"/>
        <v>4.9530808391057199</v>
      </c>
      <c r="AD643" s="3">
        <f t="shared" si="307"/>
        <v>718.35835229959673</v>
      </c>
      <c r="AI643" s="94">
        <f t="shared" si="308"/>
        <v>0.44964810231162228</v>
      </c>
    </row>
    <row r="644" spans="2:35">
      <c r="B644" s="39">
        <f t="shared" si="309"/>
        <v>616</v>
      </c>
      <c r="C644" s="42">
        <f t="shared" si="310"/>
        <v>4.0918944844081953</v>
      </c>
      <c r="D644" s="10">
        <f t="shared" si="311"/>
        <v>1.4481055155912586</v>
      </c>
      <c r="E644" s="40">
        <f t="shared" si="312"/>
        <v>28.183788968817481</v>
      </c>
      <c r="F644" s="40">
        <f t="shared" si="313"/>
        <v>31.08</v>
      </c>
      <c r="G644" s="3">
        <f t="shared" si="314"/>
        <v>193.66484412473883</v>
      </c>
      <c r="H644" s="3">
        <f t="shared" si="315"/>
        <v>81.256230789298584</v>
      </c>
      <c r="I644">
        <f t="shared" si="300"/>
        <v>8.1256230789298584E-5</v>
      </c>
      <c r="J644" s="4">
        <f t="shared" si="316"/>
        <v>623.86215062465715</v>
      </c>
      <c r="K644" s="40">
        <f t="shared" si="317"/>
        <v>7.6777146141858648</v>
      </c>
      <c r="L644" s="40">
        <f t="shared" si="301"/>
        <v>0</v>
      </c>
      <c r="M644" s="10">
        <f t="shared" si="318"/>
        <v>5.0540808391057199</v>
      </c>
      <c r="N644" s="10">
        <f t="shared" si="297"/>
        <v>8.26</v>
      </c>
      <c r="O644" s="10">
        <f t="shared" si="298"/>
        <v>0.31900000000000001</v>
      </c>
      <c r="P644" s="10">
        <f t="shared" si="319"/>
        <v>13.849749042317958</v>
      </c>
      <c r="Q644" s="42">
        <f t="shared" si="320"/>
        <v>0.29835389588693639</v>
      </c>
      <c r="R644" s="4">
        <f t="shared" si="321"/>
        <v>26107.199601073713</v>
      </c>
      <c r="S644">
        <f t="shared" si="302"/>
        <v>2.6107199601073712E-5</v>
      </c>
      <c r="T644" s="41">
        <f t="shared" si="303"/>
        <v>1.5369717244081011E-4</v>
      </c>
      <c r="U644" s="42">
        <f t="shared" si="322"/>
        <v>4.6850675044106831E-2</v>
      </c>
      <c r="V644" s="42">
        <f t="shared" si="323"/>
        <v>0.4530046658937269</v>
      </c>
      <c r="W644" s="42">
        <f t="shared" si="324"/>
        <v>0.44960545676870001</v>
      </c>
      <c r="X644" s="42">
        <f t="shared" si="325"/>
        <v>3.3992091250268919E-3</v>
      </c>
      <c r="Y644" s="42">
        <f t="shared" si="299"/>
        <v>2.354473752151658E-3</v>
      </c>
      <c r="Z644" s="10">
        <f t="shared" si="326"/>
        <v>15.31891390557873</v>
      </c>
      <c r="AA644">
        <f t="shared" si="304"/>
        <v>5053608.5112980455</v>
      </c>
      <c r="AB644" s="10">
        <f t="shared" si="305"/>
        <v>5.0536085112980453</v>
      </c>
      <c r="AC644" s="10">
        <f t="shared" si="306"/>
        <v>4.9526085112980454</v>
      </c>
      <c r="AD644" s="3">
        <f t="shared" si="307"/>
        <v>718.28984935432129</v>
      </c>
      <c r="AI644" s="94">
        <f t="shared" si="308"/>
        <v>0.44960545676870001</v>
      </c>
    </row>
    <row r="645" spans="2:35">
      <c r="B645" s="39">
        <f t="shared" si="309"/>
        <v>617</v>
      </c>
      <c r="C645" s="42">
        <f t="shared" si="310"/>
        <v>4.0985371702595073</v>
      </c>
      <c r="D645" s="10">
        <f t="shared" si="311"/>
        <v>1.4414628297399457</v>
      </c>
      <c r="E645" s="40">
        <f t="shared" si="312"/>
        <v>28.197074340520107</v>
      </c>
      <c r="F645" s="40">
        <f t="shared" si="313"/>
        <v>31.08</v>
      </c>
      <c r="G645" s="3">
        <f t="shared" si="314"/>
        <v>193.61170263792835</v>
      </c>
      <c r="H645" s="3">
        <f t="shared" si="315"/>
        <v>81.256230789298584</v>
      </c>
      <c r="I645">
        <f t="shared" si="300"/>
        <v>8.1256230789298584E-5</v>
      </c>
      <c r="J645" s="4">
        <f t="shared" si="316"/>
        <v>624.4504458351513</v>
      </c>
      <c r="K645" s="40">
        <f t="shared" si="317"/>
        <v>7.6849546154113657</v>
      </c>
      <c r="L645" s="40">
        <f t="shared" si="301"/>
        <v>0</v>
      </c>
      <c r="M645" s="10">
        <f t="shared" si="318"/>
        <v>5.0536085112980453</v>
      </c>
      <c r="N645" s="10">
        <f t="shared" si="297"/>
        <v>8.26</v>
      </c>
      <c r="O645" s="10">
        <f t="shared" si="298"/>
        <v>0.31900000000000001</v>
      </c>
      <c r="P645" s="10">
        <f t="shared" si="319"/>
        <v>13.849336139603301</v>
      </c>
      <c r="Q645" s="42">
        <f t="shared" si="320"/>
        <v>0.29883353518403721</v>
      </c>
      <c r="R645" s="4">
        <f t="shared" si="321"/>
        <v>25986.134967883605</v>
      </c>
      <c r="S645">
        <f t="shared" si="302"/>
        <v>2.5986134967883605E-5</v>
      </c>
      <c r="T645" s="41">
        <f t="shared" si="303"/>
        <v>1.5381823707400023E-4</v>
      </c>
      <c r="U645" s="42">
        <f t="shared" si="322"/>
        <v>4.6633418506615516E-2</v>
      </c>
      <c r="V645" s="42">
        <f t="shared" si="323"/>
        <v>0.45295816836635688</v>
      </c>
      <c r="W645" s="42">
        <f t="shared" si="324"/>
        <v>0.44956258220908502</v>
      </c>
      <c r="X645" s="42">
        <f t="shared" si="325"/>
        <v>3.3955861572718682E-3</v>
      </c>
      <c r="Y645" s="42">
        <f t="shared" si="299"/>
        <v>2.3561024087093772E-3</v>
      </c>
      <c r="Z645" s="10">
        <f t="shared" si="326"/>
        <v>15.31744514518056</v>
      </c>
      <c r="AA645">
        <f t="shared" si="304"/>
        <v>5053133.6607117793</v>
      </c>
      <c r="AB645" s="10">
        <f t="shared" si="305"/>
        <v>5.0531336607117794</v>
      </c>
      <c r="AC645" s="10">
        <f t="shared" si="306"/>
        <v>4.9521336607117794</v>
      </c>
      <c r="AD645" s="3">
        <f t="shared" si="307"/>
        <v>718.2209805238258</v>
      </c>
      <c r="AI645" s="94">
        <f t="shared" si="308"/>
        <v>0.44956258220908502</v>
      </c>
    </row>
    <row r="646" spans="2:35">
      <c r="B646" s="39">
        <f t="shared" si="309"/>
        <v>618</v>
      </c>
      <c r="C646" s="42">
        <f t="shared" si="310"/>
        <v>4.1051798561108193</v>
      </c>
      <c r="D646" s="10">
        <f t="shared" si="311"/>
        <v>1.4348201438886328</v>
      </c>
      <c r="E646" s="40">
        <f t="shared" si="312"/>
        <v>28.210359712222733</v>
      </c>
      <c r="F646" s="40">
        <f t="shared" si="313"/>
        <v>31.08</v>
      </c>
      <c r="G646" s="3">
        <f t="shared" si="314"/>
        <v>193.55856115111786</v>
      </c>
      <c r="H646" s="3">
        <f t="shared" si="315"/>
        <v>81.256230789298584</v>
      </c>
      <c r="I646">
        <f t="shared" si="300"/>
        <v>8.1256230789298584E-5</v>
      </c>
      <c r="J646" s="4">
        <f t="shared" si="316"/>
        <v>625.03901829292704</v>
      </c>
      <c r="K646" s="40">
        <f t="shared" si="317"/>
        <v>7.6921980286494467</v>
      </c>
      <c r="L646" s="40">
        <f t="shared" si="301"/>
        <v>0</v>
      </c>
      <c r="M646" s="10">
        <f t="shared" si="318"/>
        <v>5.0531336607117794</v>
      </c>
      <c r="N646" s="10">
        <f t="shared" si="297"/>
        <v>8.26</v>
      </c>
      <c r="O646" s="10">
        <f t="shared" si="298"/>
        <v>0.31900000000000001</v>
      </c>
      <c r="P646" s="10">
        <f t="shared" si="319"/>
        <v>13.848921005016537</v>
      </c>
      <c r="Q646" s="42">
        <f t="shared" si="320"/>
        <v>0.29931318885878239</v>
      </c>
      <c r="R646" s="4">
        <f t="shared" si="321"/>
        <v>25865.07919687295</v>
      </c>
      <c r="S646">
        <f t="shared" si="302"/>
        <v>2.5865079196872951E-5</v>
      </c>
      <c r="T646" s="41">
        <f t="shared" si="303"/>
        <v>1.5393929284501087E-4</v>
      </c>
      <c r="U646" s="42">
        <f t="shared" si="322"/>
        <v>4.6416177872748349E-2</v>
      </c>
      <c r="V646" s="42">
        <f t="shared" si="323"/>
        <v>0.45291143444816023</v>
      </c>
      <c r="W646" s="42">
        <f t="shared" si="324"/>
        <v>0.4495194786495692</v>
      </c>
      <c r="X646" s="42">
        <f t="shared" si="325"/>
        <v>3.3919557985910287E-3</v>
      </c>
      <c r="Y646" s="42">
        <f t="shared" si="299"/>
        <v>2.3577293727727448E-3</v>
      </c>
      <c r="Z646" s="10">
        <f t="shared" si="326"/>
        <v>15.315968582151104</v>
      </c>
      <c r="AA646">
        <f t="shared" si="304"/>
        <v>5052656.2875329601</v>
      </c>
      <c r="AB646" s="10">
        <f t="shared" si="305"/>
        <v>5.0526562875329599</v>
      </c>
      <c r="AC646" s="10">
        <f t="shared" si="306"/>
        <v>4.9516562875329599</v>
      </c>
      <c r="AD646" s="3">
        <f t="shared" si="307"/>
        <v>718.15174583509213</v>
      </c>
      <c r="AI646" s="94">
        <f t="shared" si="308"/>
        <v>0.4495194786495692</v>
      </c>
    </row>
    <row r="647" spans="2:35">
      <c r="B647" s="39">
        <f t="shared" si="309"/>
        <v>619</v>
      </c>
      <c r="C647" s="42">
        <f t="shared" si="310"/>
        <v>4.1118225419621313</v>
      </c>
      <c r="D647" s="10">
        <f t="shared" si="311"/>
        <v>1.4281774580373199</v>
      </c>
      <c r="E647" s="40">
        <f t="shared" si="312"/>
        <v>28.223645083925359</v>
      </c>
      <c r="F647" s="40">
        <f t="shared" si="313"/>
        <v>31.08</v>
      </c>
      <c r="G647" s="3">
        <f t="shared" si="314"/>
        <v>193.50541966430737</v>
      </c>
      <c r="H647" s="3">
        <f t="shared" si="315"/>
        <v>81.256230789298584</v>
      </c>
      <c r="I647">
        <f t="shared" si="300"/>
        <v>8.1256230789298584E-5</v>
      </c>
      <c r="J647" s="4">
        <f t="shared" si="316"/>
        <v>625.62786799798437</v>
      </c>
      <c r="K647" s="40">
        <f t="shared" si="317"/>
        <v>7.6994448539001068</v>
      </c>
      <c r="L647" s="40">
        <f t="shared" si="301"/>
        <v>0</v>
      </c>
      <c r="M647" s="10">
        <f t="shared" si="318"/>
        <v>5.0526562875329599</v>
      </c>
      <c r="N647" s="10">
        <f t="shared" si="297"/>
        <v>8.26</v>
      </c>
      <c r="O647" s="10">
        <f t="shared" si="298"/>
        <v>0.31900000000000001</v>
      </c>
      <c r="P647" s="10">
        <f t="shared" si="319"/>
        <v>13.848503638292724</v>
      </c>
      <c r="Q647" s="42">
        <f t="shared" si="320"/>
        <v>0.2997928569893481</v>
      </c>
      <c r="R647" s="4">
        <f t="shared" si="321"/>
        <v>25744.032332241717</v>
      </c>
      <c r="S647">
        <f t="shared" si="302"/>
        <v>2.5744032332241718E-5</v>
      </c>
      <c r="T647" s="41">
        <f t="shared" si="303"/>
        <v>1.5406033970964212E-4</v>
      </c>
      <c r="U647" s="42">
        <f t="shared" si="322"/>
        <v>4.6198953221824372E-2</v>
      </c>
      <c r="V647" s="42">
        <f t="shared" si="323"/>
        <v>0.45286446416147108</v>
      </c>
      <c r="W647" s="42">
        <f t="shared" si="324"/>
        <v>0.44947614610703979</v>
      </c>
      <c r="X647" s="42">
        <f t="shared" si="325"/>
        <v>3.3883180544312941E-3</v>
      </c>
      <c r="Y647" s="42">
        <f t="shared" si="299"/>
        <v>2.3593546409596761E-3</v>
      </c>
      <c r="Z647" s="10">
        <f t="shared" si="326"/>
        <v>15.314484217069477</v>
      </c>
      <c r="AA647">
        <f t="shared" si="304"/>
        <v>5052176.3919488182</v>
      </c>
      <c r="AB647" s="10">
        <f t="shared" si="305"/>
        <v>5.0521763919488185</v>
      </c>
      <c r="AC647" s="10">
        <f t="shared" si="306"/>
        <v>4.9511763919488185</v>
      </c>
      <c r="AD647" s="3">
        <f t="shared" si="307"/>
        <v>718.0821453152746</v>
      </c>
      <c r="AI647" s="94">
        <f t="shared" si="308"/>
        <v>0.44947614610703979</v>
      </c>
    </row>
    <row r="648" spans="2:35">
      <c r="B648" s="39">
        <f t="shared" si="309"/>
        <v>620</v>
      </c>
      <c r="C648" s="42">
        <f t="shared" si="310"/>
        <v>4.1184652278134433</v>
      </c>
      <c r="D648" s="10">
        <f t="shared" si="311"/>
        <v>1.421534772186007</v>
      </c>
      <c r="E648" s="40">
        <f t="shared" si="312"/>
        <v>28.236930455627984</v>
      </c>
      <c r="F648" s="40">
        <f t="shared" si="313"/>
        <v>31.08</v>
      </c>
      <c r="G648" s="3">
        <f t="shared" si="314"/>
        <v>193.45227817749688</v>
      </c>
      <c r="H648" s="3">
        <f t="shared" si="315"/>
        <v>81.256230789298584</v>
      </c>
      <c r="I648">
        <f t="shared" si="300"/>
        <v>8.1256230789298584E-5</v>
      </c>
      <c r="J648" s="4">
        <f t="shared" si="316"/>
        <v>626.21699495032317</v>
      </c>
      <c r="K648" s="40">
        <f t="shared" si="317"/>
        <v>7.7066950911633443</v>
      </c>
      <c r="L648" s="40">
        <f t="shared" si="301"/>
        <v>0</v>
      </c>
      <c r="M648" s="10">
        <f t="shared" si="318"/>
        <v>5.0521763919488185</v>
      </c>
      <c r="N648" s="10">
        <f t="shared" si="297"/>
        <v>8.26</v>
      </c>
      <c r="O648" s="10">
        <f t="shared" si="298"/>
        <v>0.31900000000000001</v>
      </c>
      <c r="P648" s="10">
        <f t="shared" si="319"/>
        <v>13.848084039165618</v>
      </c>
      <c r="Q648" s="42">
        <f t="shared" si="320"/>
        <v>0.30027253965393369</v>
      </c>
      <c r="R648" s="4">
        <f t="shared" si="321"/>
        <v>25622.994418189919</v>
      </c>
      <c r="S648">
        <f t="shared" si="302"/>
        <v>2.5622994418189919E-5</v>
      </c>
      <c r="T648" s="41">
        <f t="shared" si="303"/>
        <v>1.541813776236939E-4</v>
      </c>
      <c r="U648" s="42">
        <f t="shared" si="322"/>
        <v>4.5981744633162715E-2</v>
      </c>
      <c r="V648" s="42">
        <f t="shared" si="323"/>
        <v>0.45281725752859875</v>
      </c>
      <c r="W648" s="42">
        <f t="shared" si="324"/>
        <v>0.44943258459849222</v>
      </c>
      <c r="X648" s="42">
        <f t="shared" si="325"/>
        <v>3.3846729301065248E-3</v>
      </c>
      <c r="Y648" s="42">
        <f t="shared" si="299"/>
        <v>2.3609782098895403E-3</v>
      </c>
      <c r="Z648" s="10">
        <f t="shared" si="326"/>
        <v>15.312992050518011</v>
      </c>
      <c r="AA648">
        <f t="shared" si="304"/>
        <v>5051693.9741476206</v>
      </c>
      <c r="AB648" s="10">
        <f t="shared" si="305"/>
        <v>5.0516939741476206</v>
      </c>
      <c r="AC648" s="10">
        <f t="shared" si="306"/>
        <v>4.9506939741476206</v>
      </c>
      <c r="AD648" s="3">
        <f t="shared" si="307"/>
        <v>718.01217899167807</v>
      </c>
      <c r="AI648" s="94">
        <f t="shared" si="308"/>
        <v>0.44943258459849222</v>
      </c>
    </row>
    <row r="649" spans="2:35">
      <c r="B649" s="39">
        <f t="shared" si="309"/>
        <v>621</v>
      </c>
      <c r="C649" s="42">
        <f t="shared" si="310"/>
        <v>4.1251079136647553</v>
      </c>
      <c r="D649" s="10">
        <f t="shared" si="311"/>
        <v>1.4148920863346941</v>
      </c>
      <c r="E649" s="40">
        <f t="shared" si="312"/>
        <v>28.25021582733061</v>
      </c>
      <c r="F649" s="40">
        <f t="shared" si="313"/>
        <v>31.08</v>
      </c>
      <c r="G649" s="3">
        <f t="shared" si="314"/>
        <v>193.39913669068639</v>
      </c>
      <c r="H649" s="3">
        <f t="shared" si="315"/>
        <v>81.256230789298584</v>
      </c>
      <c r="I649">
        <f t="shared" si="300"/>
        <v>8.1256230789298584E-5</v>
      </c>
      <c r="J649" s="4">
        <f t="shared" si="316"/>
        <v>626.80639914994367</v>
      </c>
      <c r="K649" s="40">
        <f t="shared" si="317"/>
        <v>7.7139487404391618</v>
      </c>
      <c r="L649" s="40">
        <f t="shared" si="301"/>
        <v>0</v>
      </c>
      <c r="M649" s="10">
        <f t="shared" si="318"/>
        <v>5.0516939741476206</v>
      </c>
      <c r="N649" s="10">
        <f t="shared" si="297"/>
        <v>8.26</v>
      </c>
      <c r="O649" s="10">
        <f t="shared" si="298"/>
        <v>0.31900000000000001</v>
      </c>
      <c r="P649" s="10">
        <f t="shared" si="319"/>
        <v>13.847662207367541</v>
      </c>
      <c r="Q649" s="42">
        <f t="shared" si="320"/>
        <v>0.30075223693076197</v>
      </c>
      <c r="R649" s="4">
        <f t="shared" si="321"/>
        <v>25501.965498917547</v>
      </c>
      <c r="S649">
        <f t="shared" si="302"/>
        <v>2.5501965498917546E-5</v>
      </c>
      <c r="T649" s="41">
        <f t="shared" si="303"/>
        <v>1.543024065429663E-4</v>
      </c>
      <c r="U649" s="42">
        <f t="shared" si="322"/>
        <v>4.5764552186082483E-2</v>
      </c>
      <c r="V649" s="42">
        <f t="shared" si="323"/>
        <v>0.45276981457199289</v>
      </c>
      <c r="W649" s="42">
        <f t="shared" si="324"/>
        <v>0.44938879414101612</v>
      </c>
      <c r="X649" s="42">
        <f t="shared" si="325"/>
        <v>3.3810204309767666E-3</v>
      </c>
      <c r="Y649" s="42">
        <f t="shared" si="299"/>
        <v>2.3626000761831807E-3</v>
      </c>
      <c r="Z649" s="10">
        <f t="shared" si="326"/>
        <v>15.311492083082337</v>
      </c>
      <c r="AA649">
        <f t="shared" si="304"/>
        <v>5051209.0343187023</v>
      </c>
      <c r="AB649" s="10">
        <f t="shared" si="305"/>
        <v>5.0512090343187026</v>
      </c>
      <c r="AC649" s="10">
        <f t="shared" si="306"/>
        <v>4.9502090343187026</v>
      </c>
      <c r="AD649" s="3">
        <f t="shared" si="307"/>
        <v>717.94184689176245</v>
      </c>
      <c r="AI649" s="94">
        <f t="shared" si="308"/>
        <v>0.44938879414101612</v>
      </c>
    </row>
    <row r="650" spans="2:35">
      <c r="B650" s="39">
        <f t="shared" si="309"/>
        <v>622</v>
      </c>
      <c r="C650" s="42">
        <f t="shared" si="310"/>
        <v>4.1317505995160673</v>
      </c>
      <c r="D650" s="10">
        <f t="shared" si="311"/>
        <v>1.4082494004833812</v>
      </c>
      <c r="E650" s="40">
        <f t="shared" si="312"/>
        <v>28.263501199033236</v>
      </c>
      <c r="F650" s="40">
        <f t="shared" si="313"/>
        <v>31.08</v>
      </c>
      <c r="G650" s="3">
        <f t="shared" si="314"/>
        <v>193.3459952038759</v>
      </c>
      <c r="H650" s="3">
        <f t="shared" si="315"/>
        <v>81.256230789298584</v>
      </c>
      <c r="I650">
        <f t="shared" si="300"/>
        <v>8.1256230789298584E-5</v>
      </c>
      <c r="J650" s="4">
        <f t="shared" si="316"/>
        <v>627.39608059684565</v>
      </c>
      <c r="K650" s="40">
        <f t="shared" si="317"/>
        <v>7.7212058017275575</v>
      </c>
      <c r="L650" s="40">
        <f t="shared" si="301"/>
        <v>0</v>
      </c>
      <c r="M650" s="10">
        <f t="shared" si="318"/>
        <v>5.0512090343187026</v>
      </c>
      <c r="N650" s="10">
        <f t="shared" si="297"/>
        <v>8.26</v>
      </c>
      <c r="O650" s="10">
        <f t="shared" si="298"/>
        <v>0.31900000000000001</v>
      </c>
      <c r="P650" s="10">
        <f t="shared" si="319"/>
        <v>13.847238142629401</v>
      </c>
      <c r="Q650" s="42">
        <f t="shared" si="320"/>
        <v>0.3012319488980793</v>
      </c>
      <c r="R650" s="4">
        <f t="shared" si="321"/>
        <v>25380.94561862461</v>
      </c>
      <c r="S650">
        <f t="shared" si="302"/>
        <v>2.538094561862461E-5</v>
      </c>
      <c r="T650" s="41">
        <f t="shared" si="303"/>
        <v>1.5442342642325922E-4</v>
      </c>
      <c r="U650" s="42">
        <f t="shared" si="322"/>
        <v>4.554737595990279E-2</v>
      </c>
      <c r="V650" s="42">
        <f t="shared" si="323"/>
        <v>0.4527221353142305</v>
      </c>
      <c r="W650" s="42">
        <f t="shared" si="324"/>
        <v>0.44934477475179785</v>
      </c>
      <c r="X650" s="42">
        <f t="shared" si="325"/>
        <v>3.3773605624326519E-3</v>
      </c>
      <c r="Y650" s="42">
        <f t="shared" si="299"/>
        <v>2.3642202364629254E-3</v>
      </c>
      <c r="Z650" s="10">
        <f t="shared" si="326"/>
        <v>15.309984315351437</v>
      </c>
      <c r="AA650">
        <f t="shared" si="304"/>
        <v>5050721.5726524806</v>
      </c>
      <c r="AB650" s="10">
        <f t="shared" si="305"/>
        <v>5.0507215726524803</v>
      </c>
      <c r="AC650" s="10">
        <f t="shared" si="306"/>
        <v>4.9497215726524804</v>
      </c>
      <c r="AD650" s="3">
        <f t="shared" si="307"/>
        <v>717.87114904314444</v>
      </c>
      <c r="AI650" s="94">
        <f t="shared" si="308"/>
        <v>0.44934477475179785</v>
      </c>
    </row>
    <row r="651" spans="2:35">
      <c r="B651" s="39">
        <f t="shared" si="309"/>
        <v>623</v>
      </c>
      <c r="C651" s="42">
        <f t="shared" si="310"/>
        <v>4.1383932853673793</v>
      </c>
      <c r="D651" s="10">
        <f t="shared" si="311"/>
        <v>1.4016067146320683</v>
      </c>
      <c r="E651" s="40">
        <f t="shared" si="312"/>
        <v>28.276786570735862</v>
      </c>
      <c r="F651" s="40">
        <f t="shared" si="313"/>
        <v>31.08</v>
      </c>
      <c r="G651" s="3">
        <f t="shared" si="314"/>
        <v>193.29285371706541</v>
      </c>
      <c r="H651" s="3">
        <f t="shared" si="315"/>
        <v>81.256230789298584</v>
      </c>
      <c r="I651">
        <f t="shared" si="300"/>
        <v>8.1256230789298584E-5</v>
      </c>
      <c r="J651" s="4">
        <f t="shared" si="316"/>
        <v>627.9860392910291</v>
      </c>
      <c r="K651" s="40">
        <f t="shared" si="317"/>
        <v>7.7284662750285316</v>
      </c>
      <c r="L651" s="40">
        <f t="shared" si="301"/>
        <v>0</v>
      </c>
      <c r="M651" s="10">
        <f t="shared" si="318"/>
        <v>5.0507215726524803</v>
      </c>
      <c r="N651" s="10">
        <f t="shared" si="297"/>
        <v>8.26</v>
      </c>
      <c r="O651" s="10">
        <f t="shared" si="298"/>
        <v>0.31900000000000001</v>
      </c>
      <c r="P651" s="10">
        <f t="shared" si="319"/>
        <v>13.846811844680701</v>
      </c>
      <c r="Q651" s="42">
        <f t="shared" si="320"/>
        <v>0.30171167563415563</v>
      </c>
      <c r="R651" s="4">
        <f t="shared" si="321"/>
        <v>25259.934821511102</v>
      </c>
      <c r="S651">
        <f t="shared" si="302"/>
        <v>2.5259934821511101E-5</v>
      </c>
      <c r="T651" s="41">
        <f t="shared" si="303"/>
        <v>1.5454443722037273E-4</v>
      </c>
      <c r="U651" s="42">
        <f t="shared" si="322"/>
        <v>4.5330216033942744E-2</v>
      </c>
      <c r="V651" s="42">
        <f t="shared" si="323"/>
        <v>0.45267421977810307</v>
      </c>
      <c r="W651" s="42">
        <f t="shared" si="324"/>
        <v>0.44930052644812213</v>
      </c>
      <c r="X651" s="42">
        <f t="shared" si="325"/>
        <v>3.3736933299809424E-3</v>
      </c>
      <c r="Y651" s="42">
        <f t="shared" si="299"/>
        <v>2.3658386873526395E-3</v>
      </c>
      <c r="Z651" s="10">
        <f t="shared" si="326"/>
        <v>15.308468747917924</v>
      </c>
      <c r="AA651">
        <f t="shared" si="304"/>
        <v>5050231.589340548</v>
      </c>
      <c r="AB651" s="10">
        <f t="shared" si="305"/>
        <v>5.0502315893405481</v>
      </c>
      <c r="AC651" s="10">
        <f t="shared" si="306"/>
        <v>4.9492315893405481</v>
      </c>
      <c r="AD651" s="3">
        <f t="shared" si="307"/>
        <v>717.80008547361103</v>
      </c>
      <c r="AI651" s="94">
        <f t="shared" si="308"/>
        <v>0.44930052644812213</v>
      </c>
    </row>
    <row r="652" spans="2:35">
      <c r="B652" s="39">
        <f t="shared" si="309"/>
        <v>624</v>
      </c>
      <c r="C652" s="42">
        <f t="shared" si="310"/>
        <v>4.1450359712186913</v>
      </c>
      <c r="D652" s="10">
        <f t="shared" si="311"/>
        <v>1.3949640287807554</v>
      </c>
      <c r="E652" s="40">
        <f t="shared" si="312"/>
        <v>28.290071942438487</v>
      </c>
      <c r="F652" s="40">
        <f t="shared" si="313"/>
        <v>31.08</v>
      </c>
      <c r="G652" s="3">
        <f t="shared" si="314"/>
        <v>193.23971223025492</v>
      </c>
      <c r="H652" s="3">
        <f t="shared" si="315"/>
        <v>81.256230789298584</v>
      </c>
      <c r="I652">
        <f t="shared" si="300"/>
        <v>8.1256230789298584E-5</v>
      </c>
      <c r="J652" s="4">
        <f t="shared" si="316"/>
        <v>628.57627523249425</v>
      </c>
      <c r="K652" s="40">
        <f t="shared" si="317"/>
        <v>7.7357301603420856</v>
      </c>
      <c r="L652" s="40">
        <f t="shared" si="301"/>
        <v>0</v>
      </c>
      <c r="M652" s="10">
        <f t="shared" si="318"/>
        <v>5.0502315893405481</v>
      </c>
      <c r="N652" s="10">
        <f t="shared" si="297"/>
        <v>8.26</v>
      </c>
      <c r="O652" s="10">
        <f t="shared" si="298"/>
        <v>0.31900000000000001</v>
      </c>
      <c r="P652" s="10">
        <f t="shared" si="319"/>
        <v>13.846383313249635</v>
      </c>
      <c r="Q652" s="42">
        <f t="shared" si="320"/>
        <v>0.30219141721728482</v>
      </c>
      <c r="R652" s="4">
        <f t="shared" si="321"/>
        <v>25138.933151777012</v>
      </c>
      <c r="S652">
        <f t="shared" si="302"/>
        <v>2.5138933151777013E-5</v>
      </c>
      <c r="T652" s="41">
        <f t="shared" si="303"/>
        <v>1.5466543889010683E-4</v>
      </c>
      <c r="U652" s="42">
        <f t="shared" si="322"/>
        <v>4.511307248752143E-2</v>
      </c>
      <c r="V652" s="42">
        <f t="shared" si="323"/>
        <v>0.45262606798635463</v>
      </c>
      <c r="W652" s="42">
        <f t="shared" si="324"/>
        <v>0.44925604924738044</v>
      </c>
      <c r="X652" s="42">
        <f t="shared" si="325"/>
        <v>3.3700187389741898E-3</v>
      </c>
      <c r="Y652" s="42">
        <f t="shared" si="299"/>
        <v>2.3674554254776502E-3</v>
      </c>
      <c r="Z652" s="10">
        <f t="shared" si="326"/>
        <v>15.306945381377535</v>
      </c>
      <c r="AA652">
        <f t="shared" si="304"/>
        <v>5049739.0845755069</v>
      </c>
      <c r="AB652" s="10">
        <f t="shared" si="305"/>
        <v>5.0497390845755072</v>
      </c>
      <c r="AC652" s="10">
        <f t="shared" si="306"/>
        <v>4.9487390845755073</v>
      </c>
      <c r="AD652" s="3">
        <f t="shared" si="307"/>
        <v>717.72865621109599</v>
      </c>
      <c r="AI652" s="94">
        <f t="shared" si="308"/>
        <v>0.44925604924738044</v>
      </c>
    </row>
    <row r="653" spans="2:35">
      <c r="B653" s="39">
        <f t="shared" si="309"/>
        <v>625</v>
      </c>
      <c r="C653" s="42">
        <f t="shared" si="310"/>
        <v>4.1516786570700033</v>
      </c>
      <c r="D653" s="10">
        <f t="shared" si="311"/>
        <v>1.3883213429294425</v>
      </c>
      <c r="E653" s="40">
        <f t="shared" si="312"/>
        <v>28.303357314141113</v>
      </c>
      <c r="F653" s="40">
        <f t="shared" si="313"/>
        <v>31.08</v>
      </c>
      <c r="G653" s="3">
        <f t="shared" si="314"/>
        <v>193.18657074344443</v>
      </c>
      <c r="H653" s="3">
        <f t="shared" si="315"/>
        <v>81.256230789298584</v>
      </c>
      <c r="I653">
        <f t="shared" si="300"/>
        <v>8.1256230789298584E-5</v>
      </c>
      <c r="J653" s="4">
        <f t="shared" si="316"/>
        <v>629.16678842124088</v>
      </c>
      <c r="K653" s="40">
        <f t="shared" si="317"/>
        <v>7.7429974576682179</v>
      </c>
      <c r="L653" s="40">
        <f t="shared" si="301"/>
        <v>0</v>
      </c>
      <c r="M653" s="10">
        <f t="shared" si="318"/>
        <v>5.0497390845755072</v>
      </c>
      <c r="N653" s="10">
        <f t="shared" si="297"/>
        <v>8.26</v>
      </c>
      <c r="O653" s="10">
        <f t="shared" si="298"/>
        <v>0.31900000000000001</v>
      </c>
      <c r="P653" s="10">
        <f t="shared" si="319"/>
        <v>13.845952548062927</v>
      </c>
      <c r="Q653" s="42">
        <f t="shared" si="320"/>
        <v>0.30267117372578456</v>
      </c>
      <c r="R653" s="4">
        <f t="shared" si="321"/>
        <v>25017.940653622358</v>
      </c>
      <c r="S653">
        <f t="shared" si="302"/>
        <v>2.5017940653622358E-5</v>
      </c>
      <c r="T653" s="41">
        <f t="shared" si="303"/>
        <v>1.5478643138826148E-4</v>
      </c>
      <c r="U653" s="42">
        <f t="shared" si="322"/>
        <v>4.4895945399957997E-2</v>
      </c>
      <c r="V653" s="42">
        <f t="shared" si="323"/>
        <v>0.4525776799618984</v>
      </c>
      <c r="W653" s="42">
        <f t="shared" si="324"/>
        <v>0.44921134316705597</v>
      </c>
      <c r="X653" s="42">
        <f t="shared" si="325"/>
        <v>3.3663367948424394E-3</v>
      </c>
      <c r="Y653" s="42">
        <f t="shared" si="299"/>
        <v>2.3690704474647779E-3</v>
      </c>
      <c r="Z653" s="10">
        <f t="shared" si="326"/>
        <v>15.305414216329305</v>
      </c>
      <c r="AA653">
        <f t="shared" si="304"/>
        <v>5049244.0585510246</v>
      </c>
      <c r="AB653" s="10">
        <f t="shared" si="305"/>
        <v>5.0492440585510243</v>
      </c>
      <c r="AC653" s="10">
        <f t="shared" si="306"/>
        <v>4.9482440585510243</v>
      </c>
      <c r="AD653" s="3">
        <f t="shared" si="307"/>
        <v>717.65686128368736</v>
      </c>
      <c r="AI653" s="94">
        <f t="shared" si="308"/>
        <v>0.44921134316705597</v>
      </c>
    </row>
    <row r="654" spans="2:35">
      <c r="B654" s="39">
        <f t="shared" si="309"/>
        <v>626</v>
      </c>
      <c r="C654" s="42">
        <f t="shared" si="310"/>
        <v>4.1583213429213153</v>
      </c>
      <c r="D654" s="10">
        <f t="shared" si="311"/>
        <v>1.3816786570781296</v>
      </c>
      <c r="E654" s="40">
        <f t="shared" si="312"/>
        <v>28.316642685843739</v>
      </c>
      <c r="F654" s="40">
        <f t="shared" si="313"/>
        <v>31.08</v>
      </c>
      <c r="G654" s="3">
        <f t="shared" si="314"/>
        <v>193.13342925663395</v>
      </c>
      <c r="H654" s="3">
        <f t="shared" si="315"/>
        <v>81.256230789298584</v>
      </c>
      <c r="I654">
        <f t="shared" si="300"/>
        <v>8.1256230789298584E-5</v>
      </c>
      <c r="J654" s="4">
        <f t="shared" si="316"/>
        <v>629.7575788572691</v>
      </c>
      <c r="K654" s="40">
        <f t="shared" si="317"/>
        <v>7.7502681670069284</v>
      </c>
      <c r="L654" s="40">
        <f t="shared" si="301"/>
        <v>0</v>
      </c>
      <c r="M654" s="10">
        <f t="shared" si="318"/>
        <v>5.0492440585510243</v>
      </c>
      <c r="N654" s="10">
        <f t="shared" si="297"/>
        <v>8.26</v>
      </c>
      <c r="O654" s="10">
        <f t="shared" si="298"/>
        <v>0.31900000000000001</v>
      </c>
      <c r="P654" s="10">
        <f t="shared" si="319"/>
        <v>13.845519548845878</v>
      </c>
      <c r="Q654" s="42">
        <f t="shared" si="320"/>
        <v>0.30315094523799668</v>
      </c>
      <c r="R654" s="4">
        <f t="shared" si="321"/>
        <v>24896.957371247125</v>
      </c>
      <c r="S654">
        <f t="shared" si="302"/>
        <v>2.4896957371247126E-5</v>
      </c>
      <c r="T654" s="41">
        <f t="shared" si="303"/>
        <v>1.5490741467063672E-4</v>
      </c>
      <c r="U654" s="42">
        <f t="shared" si="322"/>
        <v>4.4678834850571524E-2</v>
      </c>
      <c r="V654" s="42">
        <f t="shared" si="323"/>
        <v>0.45252905572784646</v>
      </c>
      <c r="W654" s="42">
        <f t="shared" si="324"/>
        <v>0.44916640822472825</v>
      </c>
      <c r="X654" s="42">
        <f t="shared" si="325"/>
        <v>3.3626475031182101E-3</v>
      </c>
      <c r="Y654" s="42">
        <f t="shared" si="299"/>
        <v>2.3706837499423853E-3</v>
      </c>
      <c r="Z654" s="10">
        <f t="shared" si="326"/>
        <v>15.30387525337583</v>
      </c>
      <c r="AA654">
        <f t="shared" si="304"/>
        <v>5048746.511461921</v>
      </c>
      <c r="AB654" s="10">
        <f t="shared" si="305"/>
        <v>5.0487465114619212</v>
      </c>
      <c r="AC654" s="10">
        <f t="shared" si="306"/>
        <v>4.9477465114619212</v>
      </c>
      <c r="AD654" s="3">
        <f t="shared" si="307"/>
        <v>717.58470071964052</v>
      </c>
      <c r="AI654" s="94">
        <f t="shared" si="308"/>
        <v>0.44916640822472825</v>
      </c>
    </row>
    <row r="655" spans="2:35">
      <c r="B655" s="39">
        <f t="shared" si="309"/>
        <v>627</v>
      </c>
      <c r="C655" s="42">
        <f t="shared" si="310"/>
        <v>4.1649640287726273</v>
      </c>
      <c r="D655" s="10">
        <f t="shared" si="311"/>
        <v>1.3750359712268168</v>
      </c>
      <c r="E655" s="40">
        <f t="shared" si="312"/>
        <v>28.329928057546365</v>
      </c>
      <c r="F655" s="40">
        <f t="shared" si="313"/>
        <v>31.08</v>
      </c>
      <c r="G655" s="3">
        <f t="shared" si="314"/>
        <v>193.08028776982346</v>
      </c>
      <c r="H655" s="3">
        <f t="shared" si="315"/>
        <v>81.256230789298584</v>
      </c>
      <c r="I655">
        <f t="shared" si="300"/>
        <v>8.1256230789298584E-5</v>
      </c>
      <c r="J655" s="4">
        <f t="shared" si="316"/>
        <v>630.3486465405789</v>
      </c>
      <c r="K655" s="40">
        <f t="shared" si="317"/>
        <v>7.757542288358219</v>
      </c>
      <c r="L655" s="40">
        <f t="shared" si="301"/>
        <v>0</v>
      </c>
      <c r="M655" s="10">
        <f t="shared" si="318"/>
        <v>5.0487465114619212</v>
      </c>
      <c r="N655" s="10">
        <f t="shared" si="297"/>
        <v>8.26</v>
      </c>
      <c r="O655" s="10">
        <f t="shared" si="298"/>
        <v>0.31900000000000001</v>
      </c>
      <c r="P655" s="10">
        <f t="shared" si="319"/>
        <v>13.845084315322458</v>
      </c>
      <c r="Q655" s="42">
        <f t="shared" si="320"/>
        <v>0.30363073183228706</v>
      </c>
      <c r="R655" s="4">
        <f t="shared" si="321"/>
        <v>24775.983348851303</v>
      </c>
      <c r="S655">
        <f t="shared" si="302"/>
        <v>2.4775983348851303E-5</v>
      </c>
      <c r="T655" s="41">
        <f t="shared" si="303"/>
        <v>1.5502838869303252E-4</v>
      </c>
      <c r="U655" s="42">
        <f t="shared" si="322"/>
        <v>4.4461740918681103E-2</v>
      </c>
      <c r="V655" s="42">
        <f t="shared" si="323"/>
        <v>0.4524801953074804</v>
      </c>
      <c r="W655" s="42">
        <f t="shared" si="324"/>
        <v>0.44912124443808171</v>
      </c>
      <c r="X655" s="42">
        <f t="shared" si="325"/>
        <v>3.3589508693986914E-3</v>
      </c>
      <c r="Y655" s="42">
        <f t="shared" si="299"/>
        <v>2.3722953295404027E-3</v>
      </c>
      <c r="Z655" s="10">
        <f t="shared" si="326"/>
        <v>15.302328493123412</v>
      </c>
      <c r="AA655">
        <f t="shared" si="304"/>
        <v>5048246.4435042124</v>
      </c>
      <c r="AB655" s="10">
        <f t="shared" si="305"/>
        <v>5.0482464435042127</v>
      </c>
      <c r="AC655" s="10">
        <f t="shared" si="306"/>
        <v>4.9472464435042127</v>
      </c>
      <c r="AD655" s="3">
        <f t="shared" si="307"/>
        <v>717.51217454738401</v>
      </c>
      <c r="AI655" s="94">
        <f t="shared" si="308"/>
        <v>0.44912124443808171</v>
      </c>
    </row>
    <row r="656" spans="2:35">
      <c r="B656" s="39">
        <f t="shared" si="309"/>
        <v>628</v>
      </c>
      <c r="C656" s="42">
        <f t="shared" si="310"/>
        <v>4.1716067146239393</v>
      </c>
      <c r="D656" s="10">
        <f t="shared" si="311"/>
        <v>1.3683932853755039</v>
      </c>
      <c r="E656" s="40">
        <f t="shared" si="312"/>
        <v>28.343213429248991</v>
      </c>
      <c r="F656" s="40">
        <f t="shared" si="313"/>
        <v>31.08</v>
      </c>
      <c r="G656" s="3">
        <f t="shared" si="314"/>
        <v>193.02714628301297</v>
      </c>
      <c r="H656" s="3">
        <f t="shared" si="315"/>
        <v>81.256230789298584</v>
      </c>
      <c r="I656">
        <f t="shared" si="300"/>
        <v>8.1256230789298584E-5</v>
      </c>
      <c r="J656" s="4">
        <f t="shared" si="316"/>
        <v>630.93999147117029</v>
      </c>
      <c r="K656" s="40">
        <f t="shared" si="317"/>
        <v>7.7648198217220878</v>
      </c>
      <c r="L656" s="40">
        <f t="shared" si="301"/>
        <v>0</v>
      </c>
      <c r="M656" s="10">
        <f t="shared" si="318"/>
        <v>5.0482464435042127</v>
      </c>
      <c r="N656" s="10">
        <f t="shared" si="297"/>
        <v>8.26</v>
      </c>
      <c r="O656" s="10">
        <f t="shared" si="298"/>
        <v>0.31900000000000001</v>
      </c>
      <c r="P656" s="10">
        <f t="shared" si="319"/>
        <v>13.844646847215326</v>
      </c>
      <c r="Q656" s="42">
        <f t="shared" si="320"/>
        <v>0.30411053358704604</v>
      </c>
      <c r="R656" s="4">
        <f t="shared" si="321"/>
        <v>24655.018630634895</v>
      </c>
      <c r="S656">
        <f t="shared" si="302"/>
        <v>2.4655018630634894E-5</v>
      </c>
      <c r="T656" s="41">
        <f t="shared" si="303"/>
        <v>1.5514935341124893E-4</v>
      </c>
      <c r="U656" s="42">
        <f t="shared" si="322"/>
        <v>4.4244663683605849E-2</v>
      </c>
      <c r="V656" s="42">
        <f t="shared" si="323"/>
        <v>0.45243109872388676</v>
      </c>
      <c r="W656" s="42">
        <f t="shared" si="324"/>
        <v>0.44907585182490939</v>
      </c>
      <c r="X656" s="42">
        <f t="shared" si="325"/>
        <v>3.3552468989773709E-3</v>
      </c>
      <c r="Y656" s="42">
        <f t="shared" si="299"/>
        <v>2.3739051828901817E-3</v>
      </c>
      <c r="Z656" s="10">
        <f t="shared" si="326"/>
        <v>15.300773936181059</v>
      </c>
      <c r="AA656">
        <f t="shared" si="304"/>
        <v>5047743.8548747934</v>
      </c>
      <c r="AB656" s="10">
        <f t="shared" si="305"/>
        <v>5.0477438548747937</v>
      </c>
      <c r="AC656" s="10">
        <f t="shared" si="306"/>
        <v>4.9467438548747937</v>
      </c>
      <c r="AD656" s="3">
        <f t="shared" si="307"/>
        <v>717.43928279547401</v>
      </c>
      <c r="AI656" s="94">
        <f t="shared" si="308"/>
        <v>0.44907585182490939</v>
      </c>
    </row>
    <row r="657" spans="2:35">
      <c r="B657" s="39">
        <f t="shared" si="309"/>
        <v>629</v>
      </c>
      <c r="C657" s="42">
        <f t="shared" si="310"/>
        <v>4.1782494004752513</v>
      </c>
      <c r="D657" s="10">
        <f t="shared" si="311"/>
        <v>1.361750599524191</v>
      </c>
      <c r="E657" s="40">
        <f t="shared" si="312"/>
        <v>28.356498800951616</v>
      </c>
      <c r="F657" s="40">
        <f t="shared" si="313"/>
        <v>31.08</v>
      </c>
      <c r="G657" s="3">
        <f t="shared" si="314"/>
        <v>192.97400479620248</v>
      </c>
      <c r="H657" s="3">
        <f t="shared" si="315"/>
        <v>81.256230789298584</v>
      </c>
      <c r="I657">
        <f t="shared" si="300"/>
        <v>8.1256230789298584E-5</v>
      </c>
      <c r="J657" s="4">
        <f t="shared" si="316"/>
        <v>631.53161364904315</v>
      </c>
      <c r="K657" s="40">
        <f t="shared" si="317"/>
        <v>7.7721007670985349</v>
      </c>
      <c r="L657" s="40">
        <f t="shared" si="301"/>
        <v>0</v>
      </c>
      <c r="M657" s="10">
        <f t="shared" si="318"/>
        <v>5.0477438548747937</v>
      </c>
      <c r="N657" s="10">
        <f t="shared" si="297"/>
        <v>8.26</v>
      </c>
      <c r="O657" s="10">
        <f t="shared" si="298"/>
        <v>0.31900000000000001</v>
      </c>
      <c r="P657" s="10">
        <f t="shared" si="319"/>
        <v>13.844207144245551</v>
      </c>
      <c r="Q657" s="42">
        <f t="shared" si="320"/>
        <v>0.30459035058068828</v>
      </c>
      <c r="R657" s="4">
        <f t="shared" si="321"/>
        <v>24534.063260797917</v>
      </c>
      <c r="S657">
        <f t="shared" si="302"/>
        <v>2.4534063260797916E-5</v>
      </c>
      <c r="T657" s="41">
        <f t="shared" si="303"/>
        <v>1.5527030878108593E-4</v>
      </c>
      <c r="U657" s="42">
        <f t="shared" si="322"/>
        <v>4.4027603224664896E-2</v>
      </c>
      <c r="V657" s="42">
        <f t="shared" si="323"/>
        <v>0.45238176600054775</v>
      </c>
      <c r="W657" s="42">
        <f t="shared" si="324"/>
        <v>0.44903023040308387</v>
      </c>
      <c r="X657" s="42">
        <f t="shared" si="325"/>
        <v>3.3515355974638728E-3</v>
      </c>
      <c r="Y657" s="42">
        <f t="shared" si="299"/>
        <v>2.3755133066246416E-3</v>
      </c>
      <c r="Z657" s="10">
        <f t="shared" si="326"/>
        <v>15.299211583161428</v>
      </c>
      <c r="AA657">
        <f t="shared" si="304"/>
        <v>5047238.745771735</v>
      </c>
      <c r="AB657" s="10">
        <f t="shared" si="305"/>
        <v>5.0472387457717351</v>
      </c>
      <c r="AC657" s="10">
        <f t="shared" si="306"/>
        <v>4.9462387457717352</v>
      </c>
      <c r="AD657" s="3">
        <f t="shared" si="307"/>
        <v>717.36602549263739</v>
      </c>
      <c r="AI657" s="94">
        <f t="shared" si="308"/>
        <v>0.44903023040308387</v>
      </c>
    </row>
    <row r="658" spans="2:35">
      <c r="B658" s="39">
        <f t="shared" si="309"/>
        <v>630</v>
      </c>
      <c r="C658" s="42">
        <f t="shared" si="310"/>
        <v>4.1848920863265633</v>
      </c>
      <c r="D658" s="10">
        <f t="shared" si="311"/>
        <v>1.3551079136728781</v>
      </c>
      <c r="E658" s="40">
        <f t="shared" si="312"/>
        <v>28.369784172654242</v>
      </c>
      <c r="F658" s="40">
        <f t="shared" si="313"/>
        <v>31.08</v>
      </c>
      <c r="G658" s="3">
        <f t="shared" si="314"/>
        <v>192.92086330939199</v>
      </c>
      <c r="H658" s="3">
        <f t="shared" si="315"/>
        <v>81.256230789298584</v>
      </c>
      <c r="I658">
        <f t="shared" si="300"/>
        <v>8.1256230789298584E-5</v>
      </c>
      <c r="J658" s="4">
        <f t="shared" si="316"/>
        <v>632.12351307419772</v>
      </c>
      <c r="K658" s="40">
        <f t="shared" si="317"/>
        <v>7.7793851244875629</v>
      </c>
      <c r="L658" s="40">
        <f t="shared" si="301"/>
        <v>0</v>
      </c>
      <c r="M658" s="10">
        <f t="shared" si="318"/>
        <v>5.0472387457717351</v>
      </c>
      <c r="N658" s="10">
        <f t="shared" si="297"/>
        <v>8.26</v>
      </c>
      <c r="O658" s="10">
        <f t="shared" si="298"/>
        <v>0.31900000000000001</v>
      </c>
      <c r="P658" s="10">
        <f t="shared" si="319"/>
        <v>13.843765206132892</v>
      </c>
      <c r="Q658" s="42">
        <f t="shared" si="320"/>
        <v>0.30507018289165305</v>
      </c>
      <c r="R658" s="4">
        <f t="shared" si="321"/>
        <v>24413.117283540352</v>
      </c>
      <c r="S658">
        <f t="shared" si="302"/>
        <v>2.4413117283540354E-5</v>
      </c>
      <c r="T658" s="41">
        <f t="shared" si="303"/>
        <v>1.5539125475834349E-4</v>
      </c>
      <c r="U658" s="42">
        <f t="shared" si="322"/>
        <v>4.3810559621177338E-2</v>
      </c>
      <c r="V658" s="42">
        <f t="shared" si="323"/>
        <v>0.45233219716105261</v>
      </c>
      <c r="W658" s="42">
        <f t="shared" si="324"/>
        <v>0.44898438019058468</v>
      </c>
      <c r="X658" s="42">
        <f t="shared" si="325"/>
        <v>3.3478169704679317E-3</v>
      </c>
      <c r="Y658" s="42">
        <f t="shared" si="299"/>
        <v>2.3771196973782684E-3</v>
      </c>
      <c r="Z658" s="10">
        <f t="shared" si="326"/>
        <v>15.297641434680754</v>
      </c>
      <c r="AA658">
        <f t="shared" si="304"/>
        <v>5046731.1163942665</v>
      </c>
      <c r="AB658" s="10">
        <f t="shared" si="305"/>
        <v>5.0467311163942661</v>
      </c>
      <c r="AC658" s="10">
        <f t="shared" si="306"/>
        <v>4.9457311163942661</v>
      </c>
      <c r="AD658" s="3">
        <f t="shared" si="307"/>
        <v>717.2924026677689</v>
      </c>
      <c r="AI658" s="94">
        <f t="shared" si="308"/>
        <v>0.44898438019058468</v>
      </c>
    </row>
    <row r="659" spans="2:35">
      <c r="B659" s="39">
        <f t="shared" si="309"/>
        <v>631</v>
      </c>
      <c r="C659" s="42">
        <f t="shared" si="310"/>
        <v>4.1915347721778753</v>
      </c>
      <c r="D659" s="10">
        <f t="shared" si="311"/>
        <v>1.3484652278215652</v>
      </c>
      <c r="E659" s="40">
        <f t="shared" si="312"/>
        <v>28.383069544356868</v>
      </c>
      <c r="F659" s="40">
        <f t="shared" si="313"/>
        <v>31.08</v>
      </c>
      <c r="G659" s="3">
        <f t="shared" si="314"/>
        <v>192.8677218225815</v>
      </c>
      <c r="H659" s="3">
        <f t="shared" si="315"/>
        <v>81.256230789298584</v>
      </c>
      <c r="I659">
        <f t="shared" si="300"/>
        <v>8.1256230789298584E-5</v>
      </c>
      <c r="J659" s="4">
        <f t="shared" si="316"/>
        <v>632.71568974663376</v>
      </c>
      <c r="K659" s="40">
        <f t="shared" si="317"/>
        <v>7.7866728938891683</v>
      </c>
      <c r="L659" s="40">
        <f t="shared" si="301"/>
        <v>0</v>
      </c>
      <c r="M659" s="10">
        <f t="shared" si="318"/>
        <v>5.0467311163942661</v>
      </c>
      <c r="N659" s="10">
        <f t="shared" si="297"/>
        <v>8.26</v>
      </c>
      <c r="O659" s="10">
        <f t="shared" si="298"/>
        <v>0.31900000000000001</v>
      </c>
      <c r="P659" s="10">
        <f t="shared" si="319"/>
        <v>13.843321032595751</v>
      </c>
      <c r="Q659" s="42">
        <f t="shared" si="320"/>
        <v>0.3055500305984043</v>
      </c>
      <c r="R659" s="4">
        <f t="shared" si="321"/>
        <v>24292.180743062192</v>
      </c>
      <c r="S659">
        <f t="shared" si="302"/>
        <v>2.4292180743062194E-5</v>
      </c>
      <c r="T659" s="41">
        <f t="shared" si="303"/>
        <v>1.5551219129882163E-4</v>
      </c>
      <c r="U659" s="42">
        <f t="shared" si="322"/>
        <v>4.3593532952462252E-2</v>
      </c>
      <c r="V659" s="42">
        <f t="shared" si="323"/>
        <v>0.4522823922290668</v>
      </c>
      <c r="W659" s="42">
        <f t="shared" si="324"/>
        <v>0.44893830120549649</v>
      </c>
      <c r="X659" s="42">
        <f t="shared" si="325"/>
        <v>3.3440910235703059E-3</v>
      </c>
      <c r="Y659" s="42">
        <f t="shared" si="299"/>
        <v>2.378724351787096E-3</v>
      </c>
      <c r="Z659" s="10">
        <f t="shared" si="326"/>
        <v>15.296063491358703</v>
      </c>
      <c r="AA659">
        <f t="shared" si="304"/>
        <v>5046220.9669427257</v>
      </c>
      <c r="AB659" s="10">
        <f t="shared" si="305"/>
        <v>5.0462209669427258</v>
      </c>
      <c r="AC659" s="10">
        <f t="shared" si="306"/>
        <v>4.9452209669427258</v>
      </c>
      <c r="AD659" s="3">
        <f t="shared" si="307"/>
        <v>717.21841434992393</v>
      </c>
      <c r="AI659" s="94">
        <f t="shared" si="308"/>
        <v>0.44893830120549649</v>
      </c>
    </row>
    <row r="660" spans="2:35">
      <c r="B660" s="39">
        <f t="shared" si="309"/>
        <v>632</v>
      </c>
      <c r="C660" s="42">
        <f t="shared" si="310"/>
        <v>4.1981774580291873</v>
      </c>
      <c r="D660" s="10">
        <f t="shared" si="311"/>
        <v>1.3418225419702523</v>
      </c>
      <c r="E660" s="40">
        <f t="shared" si="312"/>
        <v>28.396354916059494</v>
      </c>
      <c r="F660" s="40">
        <f t="shared" si="313"/>
        <v>31.08</v>
      </c>
      <c r="G660" s="3">
        <f t="shared" si="314"/>
        <v>192.81458033577101</v>
      </c>
      <c r="H660" s="3">
        <f t="shared" si="315"/>
        <v>81.256230789298584</v>
      </c>
      <c r="I660">
        <f t="shared" si="300"/>
        <v>8.1256230789298584E-5</v>
      </c>
      <c r="J660" s="4">
        <f t="shared" si="316"/>
        <v>633.30814366635127</v>
      </c>
      <c r="K660" s="40">
        <f t="shared" si="317"/>
        <v>7.7939640753033519</v>
      </c>
      <c r="L660" s="40">
        <f t="shared" si="301"/>
        <v>0</v>
      </c>
      <c r="M660" s="10">
        <f t="shared" si="318"/>
        <v>5.0462209669427258</v>
      </c>
      <c r="N660" s="10">
        <f t="shared" si="297"/>
        <v>8.26</v>
      </c>
      <c r="O660" s="10">
        <f t="shared" si="298"/>
        <v>0.31900000000000001</v>
      </c>
      <c r="P660" s="10">
        <f t="shared" si="319"/>
        <v>13.842874623351157</v>
      </c>
      <c r="Q660" s="42">
        <f t="shared" si="320"/>
        <v>0.30602989377943079</v>
      </c>
      <c r="R660" s="4">
        <f t="shared" si="321"/>
        <v>24171.25368356346</v>
      </c>
      <c r="S660">
        <f t="shared" si="302"/>
        <v>2.4171253683563461E-5</v>
      </c>
      <c r="T660" s="41">
        <f t="shared" si="303"/>
        <v>1.5563311835832037E-4</v>
      </c>
      <c r="U660" s="42">
        <f t="shared" si="322"/>
        <v>4.3376523297838802E-2</v>
      </c>
      <c r="V660" s="42">
        <f t="shared" si="323"/>
        <v>0.4522323512281875</v>
      </c>
      <c r="W660" s="42">
        <f t="shared" si="324"/>
        <v>0.44889199346600434</v>
      </c>
      <c r="X660" s="42">
        <f t="shared" si="325"/>
        <v>3.3403577621831659E-3</v>
      </c>
      <c r="Y660" s="42">
        <f t="shared" si="299"/>
        <v>2.3803272664886239E-3</v>
      </c>
      <c r="Z660" s="10">
        <f t="shared" si="326"/>
        <v>15.294477753817802</v>
      </c>
      <c r="AA660">
        <f t="shared" si="304"/>
        <v>5045708.2976183752</v>
      </c>
      <c r="AB660" s="10">
        <f t="shared" si="305"/>
        <v>5.0457082976183756</v>
      </c>
      <c r="AC660" s="10">
        <f t="shared" si="306"/>
        <v>4.9447082976183756</v>
      </c>
      <c r="AD660" s="3">
        <f t="shared" si="307"/>
        <v>717.14406056829228</v>
      </c>
      <c r="AI660" s="94">
        <f t="shared" si="308"/>
        <v>0.44889199346600434</v>
      </c>
    </row>
    <row r="661" spans="2:35">
      <c r="B661" s="39">
        <f t="shared" si="309"/>
        <v>633</v>
      </c>
      <c r="C661" s="42">
        <f t="shared" si="310"/>
        <v>4.2048201438804993</v>
      </c>
      <c r="D661" s="10">
        <f t="shared" si="311"/>
        <v>1.3351798561189394</v>
      </c>
      <c r="E661" s="40">
        <f t="shared" si="312"/>
        <v>28.409640287762119</v>
      </c>
      <c r="F661" s="40">
        <f t="shared" si="313"/>
        <v>31.08</v>
      </c>
      <c r="G661" s="3">
        <f t="shared" si="314"/>
        <v>192.76143884896052</v>
      </c>
      <c r="H661" s="3">
        <f t="shared" si="315"/>
        <v>81.256230789298584</v>
      </c>
      <c r="I661">
        <f t="shared" si="300"/>
        <v>8.1256230789298584E-5</v>
      </c>
      <c r="J661" s="4">
        <f t="shared" si="316"/>
        <v>633.90087483335037</v>
      </c>
      <c r="K661" s="40">
        <f t="shared" si="317"/>
        <v>7.8012586687301138</v>
      </c>
      <c r="L661" s="40">
        <f t="shared" si="301"/>
        <v>0</v>
      </c>
      <c r="M661" s="10">
        <f t="shared" si="318"/>
        <v>5.0457082976183756</v>
      </c>
      <c r="N661" s="10">
        <f t="shared" si="297"/>
        <v>8.26</v>
      </c>
      <c r="O661" s="10">
        <f t="shared" si="298"/>
        <v>0.31900000000000001</v>
      </c>
      <c r="P661" s="10">
        <f t="shared" si="319"/>
        <v>13.842425978114589</v>
      </c>
      <c r="Q661" s="42">
        <f t="shared" si="320"/>
        <v>0.30650977251324629</v>
      </c>
      <c r="R661" s="4">
        <f t="shared" si="321"/>
        <v>24050.336149244133</v>
      </c>
      <c r="S661">
        <f t="shared" si="302"/>
        <v>2.4050336149244133E-5</v>
      </c>
      <c r="T661" s="41">
        <f t="shared" si="303"/>
        <v>1.5575403589263969E-4</v>
      </c>
      <c r="U661" s="42">
        <f t="shared" si="322"/>
        <v>4.3159530736626053E-2</v>
      </c>
      <c r="V661" s="42">
        <f t="shared" si="323"/>
        <v>0.45218207418247003</v>
      </c>
      <c r="W661" s="42">
        <f t="shared" si="324"/>
        <v>0.44884545699037776</v>
      </c>
      <c r="X661" s="42">
        <f t="shared" si="325"/>
        <v>3.3366171920922727E-3</v>
      </c>
      <c r="Y661" s="42">
        <f t="shared" si="299"/>
        <v>2.381928438121992E-3</v>
      </c>
      <c r="Z661" s="10">
        <f t="shared" si="326"/>
        <v>15.292884222684545</v>
      </c>
      <c r="AA661">
        <f t="shared" si="304"/>
        <v>5045193.1086237617</v>
      </c>
      <c r="AB661" s="10">
        <f t="shared" si="305"/>
        <v>5.0451931086237618</v>
      </c>
      <c r="AC661" s="10">
        <f t="shared" si="306"/>
        <v>4.9441931086237618</v>
      </c>
      <c r="AD661" s="3">
        <f t="shared" si="307"/>
        <v>717.06934135224969</v>
      </c>
      <c r="AI661" s="94">
        <f t="shared" si="308"/>
        <v>0.44884545699037776</v>
      </c>
    </row>
    <row r="662" spans="2:35">
      <c r="B662" s="39">
        <f t="shared" si="309"/>
        <v>634</v>
      </c>
      <c r="C662" s="42">
        <f t="shared" si="310"/>
        <v>4.2114628297318113</v>
      </c>
      <c r="D662" s="10">
        <f t="shared" si="311"/>
        <v>1.3285371702676265</v>
      </c>
      <c r="E662" s="40">
        <f t="shared" si="312"/>
        <v>28.422925659464745</v>
      </c>
      <c r="F662" s="40">
        <f t="shared" si="313"/>
        <v>31.08</v>
      </c>
      <c r="G662" s="3">
        <f t="shared" si="314"/>
        <v>192.70829736215003</v>
      </c>
      <c r="H662" s="3">
        <f t="shared" si="315"/>
        <v>81.256230789298584</v>
      </c>
      <c r="I662">
        <f t="shared" si="300"/>
        <v>8.1256230789298584E-5</v>
      </c>
      <c r="J662" s="4">
        <f t="shared" si="316"/>
        <v>634.49388324763117</v>
      </c>
      <c r="K662" s="40">
        <f t="shared" si="317"/>
        <v>7.8085566741694565</v>
      </c>
      <c r="L662" s="40">
        <f t="shared" si="301"/>
        <v>0</v>
      </c>
      <c r="M662" s="10">
        <f t="shared" si="318"/>
        <v>5.0451931086237618</v>
      </c>
      <c r="N662" s="10">
        <f t="shared" si="297"/>
        <v>8.26</v>
      </c>
      <c r="O662" s="10">
        <f t="shared" si="298"/>
        <v>0.31900000000000001</v>
      </c>
      <c r="P662" s="10">
        <f t="shared" si="319"/>
        <v>13.841975096600281</v>
      </c>
      <c r="Q662" s="42">
        <f t="shared" si="320"/>
        <v>0.30698966687838958</v>
      </c>
      <c r="R662" s="4">
        <f t="shared" si="321"/>
        <v>23929.428184304204</v>
      </c>
      <c r="S662">
        <f t="shared" si="302"/>
        <v>2.3929428184304203E-5</v>
      </c>
      <c r="T662" s="41">
        <f t="shared" si="303"/>
        <v>1.5587494385757962E-4</v>
      </c>
      <c r="U662" s="42">
        <f t="shared" si="322"/>
        <v>4.2942555348143105E-2</v>
      </c>
      <c r="V662" s="42">
        <f t="shared" si="323"/>
        <v>0.45213156111588149</v>
      </c>
      <c r="W662" s="42">
        <f t="shared" si="324"/>
        <v>0.44879869179700221</v>
      </c>
      <c r="X662" s="42">
        <f t="shared" si="325"/>
        <v>3.3328693188792724E-3</v>
      </c>
      <c r="Y662" s="42">
        <f t="shared" si="299"/>
        <v>2.3835278633278813E-3</v>
      </c>
      <c r="Z662" s="10">
        <f t="shared" si="326"/>
        <v>15.291282898588701</v>
      </c>
      <c r="AA662">
        <f t="shared" si="304"/>
        <v>5044675.4001624892</v>
      </c>
      <c r="AB662" s="10">
        <f t="shared" si="305"/>
        <v>5.0446754001624887</v>
      </c>
      <c r="AC662" s="10">
        <f t="shared" si="306"/>
        <v>4.9436754001624887</v>
      </c>
      <c r="AD662" s="3">
        <f t="shared" si="307"/>
        <v>716.99425673132544</v>
      </c>
      <c r="AI662" s="94">
        <f t="shared" si="308"/>
        <v>0.44879869179700221</v>
      </c>
    </row>
    <row r="663" spans="2:35">
      <c r="B663" s="39">
        <f t="shared" si="309"/>
        <v>635</v>
      </c>
      <c r="C663" s="42">
        <f t="shared" si="310"/>
        <v>4.2181055155831233</v>
      </c>
      <c r="D663" s="10">
        <f t="shared" si="311"/>
        <v>1.3218944844163136</v>
      </c>
      <c r="E663" s="40">
        <f t="shared" si="312"/>
        <v>28.436211031167371</v>
      </c>
      <c r="F663" s="40">
        <f t="shared" si="313"/>
        <v>31.08</v>
      </c>
      <c r="G663" s="3">
        <f t="shared" si="314"/>
        <v>192.65515587533955</v>
      </c>
      <c r="H663" s="3">
        <f t="shared" si="315"/>
        <v>81.256230789298584</v>
      </c>
      <c r="I663">
        <f t="shared" si="300"/>
        <v>8.1256230789298584E-5</v>
      </c>
      <c r="J663" s="4">
        <f t="shared" si="316"/>
        <v>635.08716890919345</v>
      </c>
      <c r="K663" s="40">
        <f t="shared" si="317"/>
        <v>7.8158580916213776</v>
      </c>
      <c r="L663" s="40">
        <f t="shared" si="301"/>
        <v>0</v>
      </c>
      <c r="M663" s="10">
        <f t="shared" si="318"/>
        <v>5.0446754001624887</v>
      </c>
      <c r="N663" s="10">
        <f t="shared" si="297"/>
        <v>8.26</v>
      </c>
      <c r="O663" s="10">
        <f t="shared" si="298"/>
        <v>0.31900000000000001</v>
      </c>
      <c r="P663" s="10">
        <f t="shared" si="319"/>
        <v>13.841521978521046</v>
      </c>
      <c r="Q663" s="42">
        <f t="shared" si="320"/>
        <v>0.30746957695342469</v>
      </c>
      <c r="R663" s="4">
        <f t="shared" si="321"/>
        <v>23808.529832943685</v>
      </c>
      <c r="S663">
        <f t="shared" si="302"/>
        <v>2.3808529832943686E-5</v>
      </c>
      <c r="T663" s="41">
        <f t="shared" si="303"/>
        <v>1.5599584220894015E-4</v>
      </c>
      <c r="U663" s="42">
        <f t="shared" si="322"/>
        <v>4.2725597211709085E-2</v>
      </c>
      <c r="V663" s="42">
        <f t="shared" si="323"/>
        <v>0.45208081205243361</v>
      </c>
      <c r="W663" s="42">
        <f t="shared" si="324"/>
        <v>0.44875169790435954</v>
      </c>
      <c r="X663" s="42">
        <f t="shared" si="325"/>
        <v>3.3291141480740749E-3</v>
      </c>
      <c r="Y663" s="42">
        <f t="shared" si="299"/>
        <v>2.3851255387484839E-3</v>
      </c>
      <c r="Z663" s="10">
        <f t="shared" si="326"/>
        <v>15.289673782163099</v>
      </c>
      <c r="AA663">
        <f t="shared" si="304"/>
        <v>5044155.1724391514</v>
      </c>
      <c r="AB663" s="10">
        <f t="shared" si="305"/>
        <v>5.0441551724391518</v>
      </c>
      <c r="AC663" s="10">
        <f t="shared" si="306"/>
        <v>4.9431551724391518</v>
      </c>
      <c r="AD663" s="3">
        <f t="shared" si="307"/>
        <v>716.91880673519233</v>
      </c>
      <c r="AI663" s="94">
        <f t="shared" si="308"/>
        <v>0.44875169790435954</v>
      </c>
    </row>
    <row r="664" spans="2:35">
      <c r="B664" s="39">
        <f t="shared" si="309"/>
        <v>636</v>
      </c>
      <c r="C664" s="42">
        <f t="shared" si="310"/>
        <v>4.2247482014344353</v>
      </c>
      <c r="D664" s="10">
        <f t="shared" si="311"/>
        <v>1.3152517985650007</v>
      </c>
      <c r="E664" s="40">
        <f t="shared" si="312"/>
        <v>28.449496402869997</v>
      </c>
      <c r="F664" s="40">
        <f t="shared" si="313"/>
        <v>31.08</v>
      </c>
      <c r="G664" s="3">
        <f t="shared" si="314"/>
        <v>192.60201438852906</v>
      </c>
      <c r="H664" s="3">
        <f t="shared" si="315"/>
        <v>81.256230789298584</v>
      </c>
      <c r="I664">
        <f t="shared" si="300"/>
        <v>8.1256230789298584E-5</v>
      </c>
      <c r="J664" s="4">
        <f t="shared" si="316"/>
        <v>635.68073181803732</v>
      </c>
      <c r="K664" s="40">
        <f t="shared" si="317"/>
        <v>7.8231629210858777</v>
      </c>
      <c r="L664" s="40">
        <f t="shared" si="301"/>
        <v>0</v>
      </c>
      <c r="M664" s="10">
        <f t="shared" si="318"/>
        <v>5.0441551724391518</v>
      </c>
      <c r="N664" s="10">
        <f t="shared" si="297"/>
        <v>8.26</v>
      </c>
      <c r="O664" s="10">
        <f t="shared" si="298"/>
        <v>0.31900000000000001</v>
      </c>
      <c r="P664" s="10">
        <f t="shared" si="319"/>
        <v>13.841066623588199</v>
      </c>
      <c r="Q664" s="42">
        <f t="shared" si="320"/>
        <v>0.307949502816941</v>
      </c>
      <c r="R664" s="4">
        <f t="shared" si="321"/>
        <v>23687.641139362579</v>
      </c>
      <c r="S664">
        <f t="shared" si="302"/>
        <v>2.3687641139362577E-5</v>
      </c>
      <c r="T664" s="41">
        <f t="shared" si="303"/>
        <v>1.5611673090252127E-4</v>
      </c>
      <c r="U664" s="42">
        <f t="shared" si="322"/>
        <v>4.2508656406643107E-2</v>
      </c>
      <c r="V664" s="42">
        <f t="shared" si="323"/>
        <v>0.45202982701641187</v>
      </c>
      <c r="W664" s="42">
        <f t="shared" si="324"/>
        <v>0.44870447533102131</v>
      </c>
      <c r="X664" s="42">
        <f t="shared" si="325"/>
        <v>3.325351685390554E-3</v>
      </c>
      <c r="Y664" s="42">
        <f t="shared" si="299"/>
        <v>2.3867214610275903E-3</v>
      </c>
      <c r="Z664" s="10">
        <f t="shared" si="326"/>
        <v>15.288056874044145</v>
      </c>
      <c r="AA664">
        <f t="shared" si="304"/>
        <v>5043632.4256594982</v>
      </c>
      <c r="AB664" s="10">
        <f t="shared" si="305"/>
        <v>5.0436324256594984</v>
      </c>
      <c r="AC664" s="10">
        <f t="shared" si="306"/>
        <v>4.9426324256594985</v>
      </c>
      <c r="AD664" s="3">
        <f t="shared" si="307"/>
        <v>716.8429913936908</v>
      </c>
      <c r="AI664" s="94">
        <f t="shared" si="308"/>
        <v>0.44870447533102131</v>
      </c>
    </row>
    <row r="665" spans="2:35">
      <c r="B665" s="39">
        <f t="shared" si="309"/>
        <v>637</v>
      </c>
      <c r="C665" s="42">
        <f t="shared" si="310"/>
        <v>4.2313908872857473</v>
      </c>
      <c r="D665" s="10">
        <f t="shared" si="311"/>
        <v>1.3086091127136878</v>
      </c>
      <c r="E665" s="40">
        <f t="shared" si="312"/>
        <v>28.462781774572623</v>
      </c>
      <c r="F665" s="40">
        <f t="shared" si="313"/>
        <v>31.08</v>
      </c>
      <c r="G665" s="3">
        <f t="shared" si="314"/>
        <v>192.54887290171857</v>
      </c>
      <c r="H665" s="3">
        <f t="shared" si="315"/>
        <v>81.256230789298584</v>
      </c>
      <c r="I665">
        <f t="shared" si="300"/>
        <v>8.1256230789298584E-5</v>
      </c>
      <c r="J665" s="4">
        <f t="shared" si="316"/>
        <v>636.27457197416265</v>
      </c>
      <c r="K665" s="40">
        <f t="shared" si="317"/>
        <v>7.8304711625629553</v>
      </c>
      <c r="L665" s="40">
        <f t="shared" si="301"/>
        <v>0</v>
      </c>
      <c r="M665" s="10">
        <f t="shared" si="318"/>
        <v>5.0436324256594984</v>
      </c>
      <c r="N665" s="10">
        <f t="shared" si="297"/>
        <v>8.26</v>
      </c>
      <c r="O665" s="10">
        <f t="shared" si="298"/>
        <v>0.31900000000000001</v>
      </c>
      <c r="P665" s="10">
        <f t="shared" si="319"/>
        <v>13.840609031511709</v>
      </c>
      <c r="Q665" s="42">
        <f t="shared" si="320"/>
        <v>0.30842944454755333</v>
      </c>
      <c r="R665" s="4">
        <f t="shared" si="321"/>
        <v>23566.762147760874</v>
      </c>
      <c r="S665">
        <f t="shared" si="302"/>
        <v>2.3566762147760875E-5</v>
      </c>
      <c r="T665" s="41">
        <f t="shared" si="303"/>
        <v>1.5623760989412296E-4</v>
      </c>
      <c r="U665" s="42">
        <f t="shared" si="322"/>
        <v>4.2291733012264271E-2</v>
      </c>
      <c r="V665" s="42">
        <f t="shared" si="323"/>
        <v>0.4519786060321842</v>
      </c>
      <c r="W665" s="42">
        <f t="shared" si="324"/>
        <v>0.44865702409566399</v>
      </c>
      <c r="X665" s="42">
        <f t="shared" si="325"/>
        <v>3.3215819365202126E-3</v>
      </c>
      <c r="Y665" s="42">
        <f t="shared" si="299"/>
        <v>2.3883156268105746E-3</v>
      </c>
      <c r="Z665" s="10">
        <f t="shared" si="326"/>
        <v>15.286432174871702</v>
      </c>
      <c r="AA665">
        <f t="shared" si="304"/>
        <v>5043107.1600303985</v>
      </c>
      <c r="AB665" s="10">
        <f t="shared" si="305"/>
        <v>5.0431071600303987</v>
      </c>
      <c r="AC665" s="10">
        <f t="shared" si="306"/>
        <v>4.9421071600303987</v>
      </c>
      <c r="AD665" s="3">
        <f t="shared" si="307"/>
        <v>716.76681073682357</v>
      </c>
      <c r="AI665" s="94">
        <f t="shared" si="308"/>
        <v>0.44865702409566399</v>
      </c>
    </row>
    <row r="666" spans="2:35">
      <c r="B666" s="39">
        <f t="shared" si="309"/>
        <v>638</v>
      </c>
      <c r="C666" s="42">
        <f t="shared" si="310"/>
        <v>4.2380335731370593</v>
      </c>
      <c r="D666" s="10">
        <f t="shared" si="311"/>
        <v>1.301966426862375</v>
      </c>
      <c r="E666" s="40">
        <f t="shared" si="312"/>
        <v>28.476067146275248</v>
      </c>
      <c r="F666" s="40">
        <f t="shared" si="313"/>
        <v>31.08</v>
      </c>
      <c r="G666" s="3">
        <f t="shared" si="314"/>
        <v>192.49573141490808</v>
      </c>
      <c r="H666" s="3">
        <f t="shared" si="315"/>
        <v>81.256230789298584</v>
      </c>
      <c r="I666">
        <f t="shared" si="300"/>
        <v>8.1256230789298584E-5</v>
      </c>
      <c r="J666" s="4">
        <f t="shared" si="316"/>
        <v>636.86868937756958</v>
      </c>
      <c r="K666" s="40">
        <f t="shared" si="317"/>
        <v>7.837782816052612</v>
      </c>
      <c r="L666" s="40">
        <f t="shared" si="301"/>
        <v>0</v>
      </c>
      <c r="M666" s="10">
        <f t="shared" si="318"/>
        <v>5.0431071600303987</v>
      </c>
      <c r="N666" s="10">
        <f t="shared" si="297"/>
        <v>8.26</v>
      </c>
      <c r="O666" s="10">
        <f t="shared" si="298"/>
        <v>0.31900000000000001</v>
      </c>
      <c r="P666" s="10">
        <f t="shared" si="319"/>
        <v>13.840149202000154</v>
      </c>
      <c r="Q666" s="42">
        <f t="shared" si="320"/>
        <v>0.30890940222390206</v>
      </c>
      <c r="R666" s="4">
        <f t="shared" si="321"/>
        <v>23445.892902338579</v>
      </c>
      <c r="S666">
        <f t="shared" si="302"/>
        <v>2.3445892902338578E-5</v>
      </c>
      <c r="T666" s="41">
        <f t="shared" si="303"/>
        <v>1.5635847913954526E-4</v>
      </c>
      <c r="U666" s="42">
        <f t="shared" si="322"/>
        <v>4.2074827107891698E-2</v>
      </c>
      <c r="V666" s="42">
        <f t="shared" si="323"/>
        <v>0.45192714912423371</v>
      </c>
      <c r="W666" s="42">
        <f t="shared" si="324"/>
        <v>0.44860934421706561</v>
      </c>
      <c r="X666" s="42">
        <f t="shared" si="325"/>
        <v>3.3178049071680982E-3</v>
      </c>
      <c r="Y666" s="42">
        <f t="shared" si="299"/>
        <v>2.3899080327443975E-3</v>
      </c>
      <c r="Z666" s="10">
        <f t="shared" si="326"/>
        <v>15.284799685289061</v>
      </c>
      <c r="AA666">
        <f t="shared" si="304"/>
        <v>5042579.3757598279</v>
      </c>
      <c r="AB666" s="10">
        <f t="shared" si="305"/>
        <v>5.0425793757598276</v>
      </c>
      <c r="AC666" s="10">
        <f t="shared" si="306"/>
        <v>4.9415793757598276</v>
      </c>
      <c r="AD666" s="3">
        <f t="shared" si="307"/>
        <v>716.69026479475383</v>
      </c>
      <c r="AI666" s="94">
        <f t="shared" si="308"/>
        <v>0.44860934421706561</v>
      </c>
    </row>
    <row r="667" spans="2:35">
      <c r="B667" s="39">
        <f t="shared" si="309"/>
        <v>639</v>
      </c>
      <c r="C667" s="42">
        <f t="shared" si="310"/>
        <v>4.2446762589883713</v>
      </c>
      <c r="D667" s="10">
        <f t="shared" si="311"/>
        <v>1.2953237410110621</v>
      </c>
      <c r="E667" s="40">
        <f t="shared" si="312"/>
        <v>28.489352517977874</v>
      </c>
      <c r="F667" s="40">
        <f t="shared" si="313"/>
        <v>31.08</v>
      </c>
      <c r="G667" s="3">
        <f t="shared" si="314"/>
        <v>192.44258992809759</v>
      </c>
      <c r="H667" s="3">
        <f t="shared" si="315"/>
        <v>81.256230789298584</v>
      </c>
      <c r="I667">
        <f t="shared" si="300"/>
        <v>8.1256230789298584E-5</v>
      </c>
      <c r="J667" s="4">
        <f t="shared" si="316"/>
        <v>637.46308402825821</v>
      </c>
      <c r="K667" s="40">
        <f t="shared" si="317"/>
        <v>7.8450978815548487</v>
      </c>
      <c r="L667" s="40">
        <f t="shared" si="301"/>
        <v>0</v>
      </c>
      <c r="M667" s="10">
        <f t="shared" si="318"/>
        <v>5.0425793757598276</v>
      </c>
      <c r="N667" s="10">
        <f t="shared" si="297"/>
        <v>8.26</v>
      </c>
      <c r="O667" s="10">
        <f t="shared" si="298"/>
        <v>0.31900000000000001</v>
      </c>
      <c r="P667" s="10">
        <f t="shared" si="319"/>
        <v>13.839687134760723</v>
      </c>
      <c r="Q667" s="42">
        <f t="shared" si="320"/>
        <v>0.30938937592465343</v>
      </c>
      <c r="R667" s="4">
        <f t="shared" si="321"/>
        <v>23325.03344729566</v>
      </c>
      <c r="S667">
        <f t="shared" si="302"/>
        <v>2.3325033447295661E-5</v>
      </c>
      <c r="T667" s="41">
        <f t="shared" si="303"/>
        <v>1.5647933859458816E-4</v>
      </c>
      <c r="U667" s="42">
        <f t="shared" si="322"/>
        <v>4.1857938772844425E-2</v>
      </c>
      <c r="V667" s="42">
        <f t="shared" si="323"/>
        <v>0.45187545631718612</v>
      </c>
      <c r="W667" s="42">
        <f t="shared" si="324"/>
        <v>0.44856143571410495</v>
      </c>
      <c r="X667" s="42">
        <f t="shared" si="325"/>
        <v>3.3140206030811692E-3</v>
      </c>
      <c r="Y667" s="42">
        <f t="shared" si="299"/>
        <v>2.3914986754776245E-3</v>
      </c>
      <c r="Z667" s="10">
        <f t="shared" si="326"/>
        <v>15.283159405943032</v>
      </c>
      <c r="AA667">
        <f t="shared" si="304"/>
        <v>5042049.0730568999</v>
      </c>
      <c r="AB667" s="10">
        <f t="shared" si="305"/>
        <v>5.0420490730568996</v>
      </c>
      <c r="AC667" s="10">
        <f t="shared" si="306"/>
        <v>4.9410490730568997</v>
      </c>
      <c r="AD667" s="3">
        <f t="shared" si="307"/>
        <v>716.61335359781003</v>
      </c>
      <c r="AI667" s="94">
        <f t="shared" si="308"/>
        <v>0.44856143571410495</v>
      </c>
    </row>
    <row r="668" spans="2:35">
      <c r="B668" s="39">
        <f t="shared" si="309"/>
        <v>640</v>
      </c>
      <c r="C668" s="42">
        <f t="shared" si="310"/>
        <v>4.2513189448396833</v>
      </c>
      <c r="D668" s="10">
        <f t="shared" si="311"/>
        <v>1.2886810551597492</v>
      </c>
      <c r="E668" s="40">
        <f t="shared" si="312"/>
        <v>28.5026378896805</v>
      </c>
      <c r="F668" s="40">
        <f t="shared" si="313"/>
        <v>31.08</v>
      </c>
      <c r="G668" s="3">
        <f t="shared" si="314"/>
        <v>192.3894484412871</v>
      </c>
      <c r="H668" s="3">
        <f t="shared" si="315"/>
        <v>81.256230789298584</v>
      </c>
      <c r="I668">
        <f t="shared" si="300"/>
        <v>8.1256230789298584E-5</v>
      </c>
      <c r="J668" s="4">
        <f t="shared" si="316"/>
        <v>638.05775592622831</v>
      </c>
      <c r="K668" s="40">
        <f t="shared" si="317"/>
        <v>7.8524163590696636</v>
      </c>
      <c r="L668" s="40">
        <f t="shared" si="301"/>
        <v>0</v>
      </c>
      <c r="M668" s="10">
        <f t="shared" si="318"/>
        <v>5.0420490730568996</v>
      </c>
      <c r="N668" s="10">
        <f t="shared" ref="N668:N731" si="327">IF(fueltype=1,VLOOKUP($M668,kndxbn_,4),IF(fueltype=2,VLOOKUP($M668,knsobn_,4),IF(fueltype=3,VLOOKUP($M668,knsbcobn_,4),IF(fueltype=4,VLOOKUP($M668,knsubn_,4),IF(fueltype=5,am_1,IF(fueltype=6,am_0,IF(fueltype=7,am_3,am_4)))))))</f>
        <v>8.26</v>
      </c>
      <c r="O668" s="10">
        <f t="shared" ref="O668:O731" si="328">IF(fueltype=1,VLOOKUP($M668,kndxbn_,5),IF(fueltype=2,VLOOKUP($M668,knsobn_,5),IF(fueltype=3,VLOOKUP($M668,knsbcobn_,5),IF(fueltype=4,VLOOKUP($M668,knsubn_,5),IF(fueltype=5,nm_1,IF(fueltype=6,an_0,IF(fueltype=7,nm_3,nm_4)))))))</f>
        <v>0.31900000000000001</v>
      </c>
      <c r="P668" s="10">
        <f t="shared" si="319"/>
        <v>13.839222829499239</v>
      </c>
      <c r="Q668" s="42">
        <f t="shared" si="320"/>
        <v>0.30986936572849938</v>
      </c>
      <c r="R668" s="4">
        <f t="shared" si="321"/>
        <v>23204.183826832155</v>
      </c>
      <c r="S668">
        <f t="shared" si="302"/>
        <v>2.3204183826832154E-5</v>
      </c>
      <c r="T668" s="41">
        <f t="shared" si="303"/>
        <v>1.5660018821505168E-4</v>
      </c>
      <c r="U668" s="42">
        <f t="shared" si="322"/>
        <v>4.1641068086441642E-2</v>
      </c>
      <c r="V668" s="42">
        <f t="shared" si="323"/>
        <v>0.45182352763557243</v>
      </c>
      <c r="W668" s="42">
        <f t="shared" si="324"/>
        <v>0.4485132986057635</v>
      </c>
      <c r="X668" s="42">
        <f t="shared" si="325"/>
        <v>3.310229029808931E-3</v>
      </c>
      <c r="Y668" s="42">
        <f t="shared" si="299"/>
        <v>2.3930875516603276E-3</v>
      </c>
      <c r="Z668" s="10">
        <f t="shared" si="326"/>
        <v>15.281511337483279</v>
      </c>
      <c r="AA668">
        <f t="shared" si="304"/>
        <v>5041516.2521316512</v>
      </c>
      <c r="AB668" s="10">
        <f t="shared" si="305"/>
        <v>5.0415162521316512</v>
      </c>
      <c r="AC668" s="10">
        <f t="shared" si="306"/>
        <v>4.9405162521316512</v>
      </c>
      <c r="AD668" s="3">
        <f t="shared" si="307"/>
        <v>716.53607717645411</v>
      </c>
      <c r="AI668" s="94">
        <f t="shared" si="308"/>
        <v>0.4485132986057635</v>
      </c>
    </row>
    <row r="669" spans="2:35">
      <c r="B669" s="39">
        <f t="shared" si="309"/>
        <v>641</v>
      </c>
      <c r="C669" s="42">
        <f t="shared" si="310"/>
        <v>4.2579616306909953</v>
      </c>
      <c r="D669" s="10">
        <f t="shared" si="311"/>
        <v>1.2820383693084363</v>
      </c>
      <c r="E669" s="40">
        <f t="shared" si="312"/>
        <v>28.515923261383126</v>
      </c>
      <c r="F669" s="40">
        <f t="shared" si="313"/>
        <v>31.08</v>
      </c>
      <c r="G669" s="3">
        <f t="shared" si="314"/>
        <v>192.33630695447661</v>
      </c>
      <c r="H669" s="3">
        <f t="shared" si="315"/>
        <v>81.256230789298584</v>
      </c>
      <c r="I669">
        <f t="shared" si="300"/>
        <v>8.1256230789298584E-5</v>
      </c>
      <c r="J669" s="4">
        <f t="shared" si="316"/>
        <v>638.65270507147989</v>
      </c>
      <c r="K669" s="40">
        <f t="shared" si="317"/>
        <v>7.8597382485970568</v>
      </c>
      <c r="L669" s="40">
        <f t="shared" si="301"/>
        <v>0</v>
      </c>
      <c r="M669" s="10">
        <f t="shared" si="318"/>
        <v>5.0415162521316512</v>
      </c>
      <c r="N669" s="10">
        <f t="shared" si="327"/>
        <v>8.26</v>
      </c>
      <c r="O669" s="10">
        <f t="shared" si="328"/>
        <v>0.31900000000000001</v>
      </c>
      <c r="P669" s="10">
        <f t="shared" si="319"/>
        <v>13.838756285919958</v>
      </c>
      <c r="Q669" s="42">
        <f t="shared" si="320"/>
        <v>0.310349371714158</v>
      </c>
      <c r="R669" s="4">
        <f t="shared" si="321"/>
        <v>23083.344085148045</v>
      </c>
      <c r="S669">
        <f t="shared" si="302"/>
        <v>2.3083344085148045E-5</v>
      </c>
      <c r="T669" s="41">
        <f t="shared" si="303"/>
        <v>1.567210279567358E-4</v>
      </c>
      <c r="U669" s="42">
        <f t="shared" si="322"/>
        <v>4.1424215128002422E-2</v>
      </c>
      <c r="V669" s="42">
        <f t="shared" si="323"/>
        <v>0.45177136310430915</v>
      </c>
      <c r="W669" s="42">
        <f t="shared" si="324"/>
        <v>0.44846493291110712</v>
      </c>
      <c r="X669" s="42">
        <f t="shared" si="325"/>
        <v>3.3064301932020368E-3</v>
      </c>
      <c r="Y669" s="42">
        <f t="shared" si="299"/>
        <v>2.3946746579442267E-3</v>
      </c>
      <c r="Z669" s="10">
        <f t="shared" si="326"/>
        <v>15.279855480563192</v>
      </c>
      <c r="AA669">
        <f t="shared" si="304"/>
        <v>5040980.9131953232</v>
      </c>
      <c r="AB669" s="10">
        <f t="shared" si="305"/>
        <v>5.0409809131953232</v>
      </c>
      <c r="AC669" s="10">
        <f t="shared" si="306"/>
        <v>4.9399809131953232</v>
      </c>
      <c r="AD669" s="3">
        <f t="shared" si="307"/>
        <v>716.4584355613232</v>
      </c>
      <c r="AI669" s="94">
        <f t="shared" si="308"/>
        <v>0.44846493291110712</v>
      </c>
    </row>
    <row r="670" spans="2:35">
      <c r="B670" s="39">
        <f t="shared" si="309"/>
        <v>642</v>
      </c>
      <c r="C670" s="42">
        <f t="shared" si="310"/>
        <v>4.2646043165423073</v>
      </c>
      <c r="D670" s="10">
        <f t="shared" si="311"/>
        <v>1.2753956834571234</v>
      </c>
      <c r="E670" s="40">
        <f t="shared" si="312"/>
        <v>28.529208633085752</v>
      </c>
      <c r="F670" s="40">
        <f t="shared" si="313"/>
        <v>31.08</v>
      </c>
      <c r="G670" s="3">
        <f t="shared" si="314"/>
        <v>192.28316546766612</v>
      </c>
      <c r="H670" s="3">
        <f t="shared" si="315"/>
        <v>81.256230789298584</v>
      </c>
      <c r="I670">
        <f t="shared" si="300"/>
        <v>8.1256230789298584E-5</v>
      </c>
      <c r="J670" s="4">
        <f t="shared" si="316"/>
        <v>639.24793146401316</v>
      </c>
      <c r="K670" s="40">
        <f t="shared" si="317"/>
        <v>7.8670635501370301</v>
      </c>
      <c r="L670" s="40">
        <f t="shared" si="301"/>
        <v>0</v>
      </c>
      <c r="M670" s="10">
        <f t="shared" si="318"/>
        <v>5.0409809131953232</v>
      </c>
      <c r="N670" s="10">
        <f t="shared" si="327"/>
        <v>8.26</v>
      </c>
      <c r="O670" s="10">
        <f t="shared" si="328"/>
        <v>0.31900000000000001</v>
      </c>
      <c r="P670" s="10">
        <f t="shared" si="319"/>
        <v>13.838287503725837</v>
      </c>
      <c r="Q670" s="42">
        <f t="shared" si="320"/>
        <v>0.31082939396037335</v>
      </c>
      <c r="R670" s="4">
        <f t="shared" si="321"/>
        <v>22962.514266443337</v>
      </c>
      <c r="S670">
        <f t="shared" si="302"/>
        <v>2.2962514266443339E-5</v>
      </c>
      <c r="T670" s="41">
        <f t="shared" si="303"/>
        <v>1.5684185777544051E-4</v>
      </c>
      <c r="U670" s="42">
        <f t="shared" si="322"/>
        <v>4.1207379976845884E-2</v>
      </c>
      <c r="V670" s="42">
        <f t="shared" si="323"/>
        <v>0.45171896274836276</v>
      </c>
      <c r="W670" s="42">
        <f t="shared" si="324"/>
        <v>0.4484163386493108</v>
      </c>
      <c r="X670" s="42">
        <f t="shared" si="325"/>
        <v>3.3026240990519651E-3</v>
      </c>
      <c r="Y670" s="42">
        <f t="shared" ref="Y670:Y733" si="329">IF((X670*(Q670-Q669)+Y669)&lt;0,0,X670*(Q670-Q669)+Y669)</f>
        <v>2.3962599909826588E-3</v>
      </c>
      <c r="Z670" s="10">
        <f t="shared" si="326"/>
        <v>15.278191835839651</v>
      </c>
      <c r="AA670">
        <f t="shared" si="304"/>
        <v>5040443.0564602856</v>
      </c>
      <c r="AB670" s="10">
        <f t="shared" si="305"/>
        <v>5.0404430564602851</v>
      </c>
      <c r="AC670" s="10">
        <f t="shared" si="306"/>
        <v>4.9394430564602851</v>
      </c>
      <c r="AD670" s="3">
        <f t="shared" si="307"/>
        <v>716.38042878321767</v>
      </c>
      <c r="AI670" s="94">
        <f t="shared" si="308"/>
        <v>0.4484163386493108</v>
      </c>
    </row>
    <row r="671" spans="2:35">
      <c r="B671" s="39">
        <f t="shared" si="309"/>
        <v>643</v>
      </c>
      <c r="C671" s="42">
        <f t="shared" si="310"/>
        <v>4.2712470023936193</v>
      </c>
      <c r="D671" s="10">
        <f t="shared" si="311"/>
        <v>1.2687529976058105</v>
      </c>
      <c r="E671" s="40">
        <f t="shared" si="312"/>
        <v>28.542494004788377</v>
      </c>
      <c r="F671" s="40">
        <f t="shared" si="313"/>
        <v>31.08</v>
      </c>
      <c r="G671" s="3">
        <f t="shared" si="314"/>
        <v>192.23002398085563</v>
      </c>
      <c r="H671" s="3">
        <f t="shared" si="315"/>
        <v>81.256230789298584</v>
      </c>
      <c r="I671">
        <f t="shared" si="300"/>
        <v>8.1256230789298584E-5</v>
      </c>
      <c r="J671" s="4">
        <f t="shared" si="316"/>
        <v>639.84343510382791</v>
      </c>
      <c r="K671" s="40">
        <f t="shared" si="317"/>
        <v>7.8743922636895807</v>
      </c>
      <c r="L671" s="40">
        <f t="shared" si="301"/>
        <v>0</v>
      </c>
      <c r="M671" s="10">
        <f t="shared" si="318"/>
        <v>5.0404430564602851</v>
      </c>
      <c r="N671" s="10">
        <f t="shared" si="327"/>
        <v>8.26</v>
      </c>
      <c r="O671" s="10">
        <f t="shared" si="328"/>
        <v>0.31900000000000001</v>
      </c>
      <c r="P671" s="10">
        <f t="shared" si="319"/>
        <v>13.837816482618445</v>
      </c>
      <c r="Q671" s="42">
        <f t="shared" si="320"/>
        <v>0.31130943254591581</v>
      </c>
      <c r="R671" s="4">
        <f t="shared" si="321"/>
        <v>22841.69441491802</v>
      </c>
      <c r="S671">
        <f t="shared" si="302"/>
        <v>2.2841694414918021E-5</v>
      </c>
      <c r="T671" s="41">
        <f t="shared" si="303"/>
        <v>1.5696267762696582E-4</v>
      </c>
      <c r="U671" s="42">
        <f t="shared" si="322"/>
        <v>4.099056271229113E-2</v>
      </c>
      <c r="V671" s="42">
        <f t="shared" si="323"/>
        <v>0.45166632659277078</v>
      </c>
      <c r="W671" s="42">
        <f t="shared" si="324"/>
        <v>0.4483675158396519</v>
      </c>
      <c r="X671" s="42">
        <f t="shared" si="325"/>
        <v>3.2988107531188859E-3</v>
      </c>
      <c r="Y671" s="42">
        <f t="shared" si="329"/>
        <v>2.3978435474305581E-3</v>
      </c>
      <c r="Z671" s="10">
        <f t="shared" si="326"/>
        <v>15.276520403972864</v>
      </c>
      <c r="AA671">
        <f t="shared" si="304"/>
        <v>5039902.6821399825</v>
      </c>
      <c r="AB671" s="10">
        <f t="shared" si="305"/>
        <v>5.0399026821399824</v>
      </c>
      <c r="AC671" s="10">
        <f t="shared" si="306"/>
        <v>4.9389026821399824</v>
      </c>
      <c r="AD671" s="3">
        <f t="shared" si="307"/>
        <v>716.30205687309387</v>
      </c>
      <c r="AI671" s="94">
        <f t="shared" si="308"/>
        <v>0.4483675158396519</v>
      </c>
    </row>
    <row r="672" spans="2:35">
      <c r="B672" s="39">
        <f t="shared" si="309"/>
        <v>644</v>
      </c>
      <c r="C672" s="42">
        <f t="shared" si="310"/>
        <v>4.2778896882449313</v>
      </c>
      <c r="D672" s="10">
        <f t="shared" si="311"/>
        <v>1.2621103117544976</v>
      </c>
      <c r="E672" s="40">
        <f t="shared" si="312"/>
        <v>28.555779376491003</v>
      </c>
      <c r="F672" s="40">
        <f t="shared" si="313"/>
        <v>31.08</v>
      </c>
      <c r="G672" s="3">
        <f t="shared" si="314"/>
        <v>192.17688249404515</v>
      </c>
      <c r="H672" s="3">
        <f t="shared" si="315"/>
        <v>81.256230789298584</v>
      </c>
      <c r="I672">
        <f t="shared" si="300"/>
        <v>8.1256230789298584E-5</v>
      </c>
      <c r="J672" s="4">
        <f t="shared" si="316"/>
        <v>640.43921599092414</v>
      </c>
      <c r="K672" s="40">
        <f t="shared" si="317"/>
        <v>7.8817243892547095</v>
      </c>
      <c r="L672" s="40">
        <f t="shared" si="301"/>
        <v>0</v>
      </c>
      <c r="M672" s="10">
        <f t="shared" si="318"/>
        <v>5.0399026821399824</v>
      </c>
      <c r="N672" s="10">
        <f t="shared" si="327"/>
        <v>8.26</v>
      </c>
      <c r="O672" s="10">
        <f t="shared" si="328"/>
        <v>0.31900000000000001</v>
      </c>
      <c r="P672" s="10">
        <f t="shared" si="319"/>
        <v>13.837343222297921</v>
      </c>
      <c r="Q672" s="42">
        <f t="shared" si="320"/>
        <v>0.31178948754958208</v>
      </c>
      <c r="R672" s="4">
        <f t="shared" si="321"/>
        <v>22720.884574772084</v>
      </c>
      <c r="S672">
        <f t="shared" si="302"/>
        <v>2.2720884574772083E-5</v>
      </c>
      <c r="T672" s="41">
        <f t="shared" si="303"/>
        <v>1.5708348746711176E-4</v>
      </c>
      <c r="U672" s="42">
        <f t="shared" si="322"/>
        <v>4.0773763413657238E-2</v>
      </c>
      <c r="V672" s="42">
        <f t="shared" si="323"/>
        <v>0.45161345466281111</v>
      </c>
      <c r="W672" s="42">
        <f t="shared" si="324"/>
        <v>0.44831846450150542</v>
      </c>
      <c r="X672" s="42">
        <f t="shared" si="325"/>
        <v>3.2949901613056887E-3</v>
      </c>
      <c r="Y672" s="42">
        <f t="shared" si="329"/>
        <v>2.3994253239445242E-3</v>
      </c>
      <c r="Z672" s="10">
        <f t="shared" si="326"/>
        <v>15.274841185626762</v>
      </c>
      <c r="AA672">
        <f t="shared" si="304"/>
        <v>5039359.7904490642</v>
      </c>
      <c r="AB672" s="10">
        <f t="shared" si="305"/>
        <v>5.0393597904490646</v>
      </c>
      <c r="AC672" s="10">
        <f t="shared" si="306"/>
        <v>4.9383597904490646</v>
      </c>
      <c r="AD672" s="3">
        <f t="shared" si="307"/>
        <v>716.22331986208326</v>
      </c>
      <c r="AI672" s="94">
        <f t="shared" si="308"/>
        <v>0.44831846450150542</v>
      </c>
    </row>
    <row r="673" spans="2:35">
      <c r="B673" s="39">
        <f t="shared" si="309"/>
        <v>645</v>
      </c>
      <c r="C673" s="42">
        <f t="shared" si="310"/>
        <v>4.2845323740962433</v>
      </c>
      <c r="D673" s="10">
        <f t="shared" si="311"/>
        <v>1.2554676259031847</v>
      </c>
      <c r="E673" s="40">
        <f t="shared" si="312"/>
        <v>28.569064748193629</v>
      </c>
      <c r="F673" s="40">
        <f t="shared" si="313"/>
        <v>31.08</v>
      </c>
      <c r="G673" s="3">
        <f t="shared" si="314"/>
        <v>192.12374100723466</v>
      </c>
      <c r="H673" s="3">
        <f t="shared" si="315"/>
        <v>81.256230789298584</v>
      </c>
      <c r="I673">
        <f t="shared" si="300"/>
        <v>8.1256230789298584E-5</v>
      </c>
      <c r="J673" s="4">
        <f t="shared" si="316"/>
        <v>641.03527412530207</v>
      </c>
      <c r="K673" s="40">
        <f t="shared" si="317"/>
        <v>7.8890599268324193</v>
      </c>
      <c r="L673" s="40">
        <f t="shared" si="301"/>
        <v>0</v>
      </c>
      <c r="M673" s="10">
        <f t="shared" si="318"/>
        <v>5.0393597904490646</v>
      </c>
      <c r="N673" s="10">
        <f t="shared" si="327"/>
        <v>8.26</v>
      </c>
      <c r="O673" s="10">
        <f t="shared" si="328"/>
        <v>0.31900000000000001</v>
      </c>
      <c r="P673" s="10">
        <f t="shared" si="319"/>
        <v>13.836867722463095</v>
      </c>
      <c r="Q673" s="42">
        <f t="shared" si="320"/>
        <v>0.31226955905019549</v>
      </c>
      <c r="R673" s="4">
        <f t="shared" si="321"/>
        <v>22600.084790205536</v>
      </c>
      <c r="S673">
        <f t="shared" si="302"/>
        <v>2.2600084790205534E-5</v>
      </c>
      <c r="T673" s="41">
        <f t="shared" si="303"/>
        <v>1.5720428725167829E-4</v>
      </c>
      <c r="U673" s="42">
        <f t="shared" si="322"/>
        <v>4.0556982160263336E-2</v>
      </c>
      <c r="V673" s="42">
        <f t="shared" si="323"/>
        <v>0.45156034698354408</v>
      </c>
      <c r="W673" s="42">
        <f t="shared" si="324"/>
        <v>0.44826918465435567</v>
      </c>
      <c r="X673" s="42">
        <f t="shared" si="325"/>
        <v>3.2911623291884129E-3</v>
      </c>
      <c r="Y673" s="42">
        <f t="shared" si="329"/>
        <v>2.4010053171826598E-3</v>
      </c>
      <c r="Z673" s="10">
        <f t="shared" si="326"/>
        <v>15.273154181467955</v>
      </c>
      <c r="AA673">
        <f t="shared" si="304"/>
        <v>5038814.3816030454</v>
      </c>
      <c r="AB673" s="10">
        <f t="shared" si="305"/>
        <v>5.0388143816030455</v>
      </c>
      <c r="AC673" s="10">
        <f t="shared" si="306"/>
        <v>4.9378143816030455</v>
      </c>
      <c r="AD673" s="3">
        <f t="shared" si="307"/>
        <v>716.14421778144242</v>
      </c>
      <c r="AI673" s="94">
        <f t="shared" si="308"/>
        <v>0.44826918465435567</v>
      </c>
    </row>
    <row r="674" spans="2:35">
      <c r="B674" s="39">
        <f t="shared" si="309"/>
        <v>646</v>
      </c>
      <c r="C674" s="42">
        <f t="shared" si="310"/>
        <v>4.2911750599475553</v>
      </c>
      <c r="D674" s="10">
        <f t="shared" si="311"/>
        <v>1.2488249400518718</v>
      </c>
      <c r="E674" s="40">
        <f t="shared" si="312"/>
        <v>28.582350119896255</v>
      </c>
      <c r="F674" s="40">
        <f t="shared" si="313"/>
        <v>31.08</v>
      </c>
      <c r="G674" s="3">
        <f t="shared" si="314"/>
        <v>192.07059952042417</v>
      </c>
      <c r="H674" s="3">
        <f t="shared" si="315"/>
        <v>81.256230789298584</v>
      </c>
      <c r="I674">
        <f t="shared" si="300"/>
        <v>8.1256230789298584E-5</v>
      </c>
      <c r="J674" s="4">
        <f t="shared" si="316"/>
        <v>641.63160950696158</v>
      </c>
      <c r="K674" s="40">
        <f t="shared" si="317"/>
        <v>7.8963988764227082</v>
      </c>
      <c r="L674" s="40">
        <f t="shared" si="301"/>
        <v>0</v>
      </c>
      <c r="M674" s="10">
        <f t="shared" si="318"/>
        <v>5.0388143816030455</v>
      </c>
      <c r="N674" s="10">
        <f t="shared" si="327"/>
        <v>8.26</v>
      </c>
      <c r="O674" s="10">
        <f t="shared" si="328"/>
        <v>0.31900000000000001</v>
      </c>
      <c r="P674" s="10">
        <f t="shared" si="319"/>
        <v>13.836389982811184</v>
      </c>
      <c r="Q674" s="42">
        <f t="shared" si="320"/>
        <v>0.31274964712660591</v>
      </c>
      <c r="R674" s="4">
        <f t="shared" si="321"/>
        <v>22479.295105418387</v>
      </c>
      <c r="S674">
        <f t="shared" si="302"/>
        <v>2.2479295105418386E-5</v>
      </c>
      <c r="T674" s="41">
        <f t="shared" si="303"/>
        <v>1.5732507693646543E-4</v>
      </c>
      <c r="U674" s="42">
        <f t="shared" si="322"/>
        <v>4.0340219031428565E-2</v>
      </c>
      <c r="V674" s="42">
        <f t="shared" si="323"/>
        <v>0.45150700358044732</v>
      </c>
      <c r="W674" s="42">
        <f t="shared" si="324"/>
        <v>0.44821967631776577</v>
      </c>
      <c r="X674" s="42">
        <f t="shared" si="325"/>
        <v>3.2873272626815497E-3</v>
      </c>
      <c r="Y674" s="42">
        <f t="shared" si="329"/>
        <v>2.402583523804732E-3</v>
      </c>
      <c r="Z674" s="10">
        <f t="shared" si="326"/>
        <v>15.271459392166689</v>
      </c>
      <c r="AA674">
        <f t="shared" si="304"/>
        <v>5038266.4558186168</v>
      </c>
      <c r="AB674" s="10">
        <f t="shared" si="305"/>
        <v>5.0382664558186168</v>
      </c>
      <c r="AC674" s="10">
        <f t="shared" si="306"/>
        <v>4.9372664558186168</v>
      </c>
      <c r="AD674" s="3">
        <f t="shared" si="307"/>
        <v>716.0647506625985</v>
      </c>
      <c r="AI674" s="94">
        <f t="shared" si="308"/>
        <v>0.44821967631776577</v>
      </c>
    </row>
    <row r="675" spans="2:35">
      <c r="B675" s="39">
        <f t="shared" si="309"/>
        <v>647</v>
      </c>
      <c r="C675" s="42">
        <f t="shared" si="310"/>
        <v>4.2978177457988673</v>
      </c>
      <c r="D675" s="10">
        <f t="shared" si="311"/>
        <v>1.2421822542005589</v>
      </c>
      <c r="E675" s="40">
        <f t="shared" si="312"/>
        <v>28.59563549159888</v>
      </c>
      <c r="F675" s="40">
        <f t="shared" si="313"/>
        <v>31.08</v>
      </c>
      <c r="G675" s="3">
        <f t="shared" si="314"/>
        <v>192.01745803361368</v>
      </c>
      <c r="H675" s="3">
        <f t="shared" si="315"/>
        <v>81.256230789298584</v>
      </c>
      <c r="I675">
        <f t="shared" si="300"/>
        <v>8.1256230789298584E-5</v>
      </c>
      <c r="J675" s="4">
        <f t="shared" si="316"/>
        <v>642.22822213590257</v>
      </c>
      <c r="K675" s="40">
        <f t="shared" si="317"/>
        <v>7.9037412380255745</v>
      </c>
      <c r="L675" s="40">
        <f t="shared" si="301"/>
        <v>0</v>
      </c>
      <c r="M675" s="10">
        <f t="shared" si="318"/>
        <v>5.0382664558186168</v>
      </c>
      <c r="N675" s="10">
        <f t="shared" si="327"/>
        <v>8.26</v>
      </c>
      <c r="O675" s="10">
        <f t="shared" si="328"/>
        <v>0.31900000000000001</v>
      </c>
      <c r="P675" s="10">
        <f t="shared" si="319"/>
        <v>13.835910003038055</v>
      </c>
      <c r="Q675" s="42">
        <f t="shared" si="320"/>
        <v>0.31322975185768998</v>
      </c>
      <c r="R675" s="4">
        <f t="shared" si="321"/>
        <v>22358.515564610621</v>
      </c>
      <c r="S675">
        <f t="shared" si="302"/>
        <v>2.2358515564610621E-5</v>
      </c>
      <c r="T675" s="41">
        <f t="shared" si="303"/>
        <v>1.574458564772732E-4</v>
      </c>
      <c r="U675" s="42">
        <f t="shared" si="322"/>
        <v>4.0123474106471983E-2</v>
      </c>
      <c r="V675" s="42">
        <f t="shared" si="323"/>
        <v>0.45145342447923248</v>
      </c>
      <c r="W675" s="42">
        <f t="shared" si="324"/>
        <v>0.44816993951140505</v>
      </c>
      <c r="X675" s="42">
        <f t="shared" si="325"/>
        <v>3.2834849678274325E-3</v>
      </c>
      <c r="Y675" s="42">
        <f t="shared" si="329"/>
        <v>2.4041599404722295E-3</v>
      </c>
      <c r="Z675" s="10">
        <f t="shared" si="326"/>
        <v>15.2697568183972</v>
      </c>
      <c r="AA675">
        <f t="shared" si="304"/>
        <v>5037716.0133137591</v>
      </c>
      <c r="AB675" s="10">
        <f t="shared" si="305"/>
        <v>5.0377160133137595</v>
      </c>
      <c r="AC675" s="10">
        <f t="shared" si="306"/>
        <v>4.9367160133137595</v>
      </c>
      <c r="AD675" s="3">
        <f t="shared" si="307"/>
        <v>715.98491853716598</v>
      </c>
      <c r="AI675" s="94">
        <f t="shared" si="308"/>
        <v>0.44816993951140505</v>
      </c>
    </row>
    <row r="676" spans="2:35">
      <c r="B676" s="39">
        <f t="shared" si="309"/>
        <v>648</v>
      </c>
      <c r="C676" s="42">
        <f t="shared" si="310"/>
        <v>4.3044604316501793</v>
      </c>
      <c r="D676" s="10">
        <f t="shared" si="311"/>
        <v>1.2355395683492461</v>
      </c>
      <c r="E676" s="40">
        <f t="shared" si="312"/>
        <v>28.608920863301506</v>
      </c>
      <c r="F676" s="40">
        <f t="shared" si="313"/>
        <v>31.08</v>
      </c>
      <c r="G676" s="3">
        <f t="shared" si="314"/>
        <v>191.96431654680319</v>
      </c>
      <c r="H676" s="3">
        <f t="shared" si="315"/>
        <v>81.256230789298584</v>
      </c>
      <c r="I676">
        <f t="shared" si="300"/>
        <v>8.1256230789298584E-5</v>
      </c>
      <c r="J676" s="4">
        <f t="shared" si="316"/>
        <v>642.82511201212515</v>
      </c>
      <c r="K676" s="40">
        <f t="shared" si="317"/>
        <v>7.9110870116410199</v>
      </c>
      <c r="L676" s="40">
        <f t="shared" si="301"/>
        <v>0</v>
      </c>
      <c r="M676" s="10">
        <f t="shared" si="318"/>
        <v>5.0377160133137595</v>
      </c>
      <c r="N676" s="10">
        <f t="shared" si="327"/>
        <v>8.26</v>
      </c>
      <c r="O676" s="10">
        <f t="shared" si="328"/>
        <v>0.31900000000000001</v>
      </c>
      <c r="P676" s="10">
        <f t="shared" si="319"/>
        <v>13.835427782838337</v>
      </c>
      <c r="Q676" s="42">
        <f t="shared" si="320"/>
        <v>0.31370987332235128</v>
      </c>
      <c r="R676" s="4">
        <f t="shared" si="321"/>
        <v>22237.746211982234</v>
      </c>
      <c r="S676">
        <f t="shared" si="302"/>
        <v>2.2237746211982234E-5</v>
      </c>
      <c r="T676" s="41">
        <f t="shared" si="303"/>
        <v>1.5756662582990159E-4</v>
      </c>
      <c r="U676" s="42">
        <f t="shared" si="322"/>
        <v>3.9906747464712719E-2</v>
      </c>
      <c r="V676" s="42">
        <f t="shared" si="323"/>
        <v>0.45139960970532528</v>
      </c>
      <c r="W676" s="42">
        <f t="shared" si="324"/>
        <v>0.44811997425506045</v>
      </c>
      <c r="X676" s="42">
        <f t="shared" si="325"/>
        <v>3.2796354502648284E-3</v>
      </c>
      <c r="Y676" s="42">
        <f t="shared" si="329"/>
        <v>2.4057345638481657E-3</v>
      </c>
      <c r="Z676" s="10">
        <f t="shared" si="326"/>
        <v>15.268046460836421</v>
      </c>
      <c r="AA676">
        <f t="shared" si="304"/>
        <v>5037163.0543073257</v>
      </c>
      <c r="AB676" s="10">
        <f t="shared" si="305"/>
        <v>5.0371630543073254</v>
      </c>
      <c r="AC676" s="10">
        <f t="shared" si="306"/>
        <v>4.9361630543073254</v>
      </c>
      <c r="AD676" s="3">
        <f t="shared" si="307"/>
        <v>715.90472143688555</v>
      </c>
      <c r="AI676" s="94">
        <f t="shared" si="308"/>
        <v>0.44811997425506045</v>
      </c>
    </row>
    <row r="677" spans="2:35">
      <c r="B677" s="39">
        <f t="shared" si="309"/>
        <v>649</v>
      </c>
      <c r="C677" s="42">
        <f t="shared" si="310"/>
        <v>4.3111031175014913</v>
      </c>
      <c r="D677" s="10">
        <f t="shared" si="311"/>
        <v>1.2288968824979332</v>
      </c>
      <c r="E677" s="40">
        <f t="shared" si="312"/>
        <v>28.622206235004132</v>
      </c>
      <c r="F677" s="40">
        <f t="shared" si="313"/>
        <v>31.08</v>
      </c>
      <c r="G677" s="3">
        <f t="shared" si="314"/>
        <v>191.9111750599927</v>
      </c>
      <c r="H677" s="3">
        <f t="shared" si="315"/>
        <v>81.256230789298584</v>
      </c>
      <c r="I677">
        <f t="shared" si="300"/>
        <v>8.1256230789298584E-5</v>
      </c>
      <c r="J677" s="4">
        <f t="shared" si="316"/>
        <v>643.4222791356292</v>
      </c>
      <c r="K677" s="40">
        <f t="shared" si="317"/>
        <v>7.9184361972690427</v>
      </c>
      <c r="L677" s="40">
        <f t="shared" si="301"/>
        <v>0</v>
      </c>
      <c r="M677" s="10">
        <f t="shared" si="318"/>
        <v>5.0371630543073254</v>
      </c>
      <c r="N677" s="10">
        <f t="shared" si="327"/>
        <v>8.26</v>
      </c>
      <c r="O677" s="10">
        <f t="shared" si="328"/>
        <v>0.31900000000000001</v>
      </c>
      <c r="P677" s="10">
        <f t="shared" si="319"/>
        <v>13.834943321905049</v>
      </c>
      <c r="Q677" s="42">
        <f t="shared" si="320"/>
        <v>0.31419001159952042</v>
      </c>
      <c r="R677" s="4">
        <f t="shared" si="321"/>
        <v>22116.987091733241</v>
      </c>
      <c r="S677">
        <f t="shared" si="302"/>
        <v>2.2116987091733241E-5</v>
      </c>
      <c r="T677" s="41">
        <f t="shared" si="303"/>
        <v>1.5768738495015058E-4</v>
      </c>
      <c r="U677" s="42">
        <f t="shared" si="322"/>
        <v>3.9690039185469886E-2</v>
      </c>
      <c r="V677" s="42">
        <f t="shared" si="323"/>
        <v>0.45134555928456566</v>
      </c>
      <c r="W677" s="42">
        <f t="shared" si="324"/>
        <v>0.44806978056859781</v>
      </c>
      <c r="X677" s="42">
        <f t="shared" si="325"/>
        <v>3.2757787159678475E-3</v>
      </c>
      <c r="Y677" s="42">
        <f t="shared" si="329"/>
        <v>2.4073073905972377E-3</v>
      </c>
      <c r="Z677" s="10">
        <f t="shared" si="326"/>
        <v>15.266328320164959</v>
      </c>
      <c r="AA677">
        <f t="shared" si="304"/>
        <v>5036607.5790193547</v>
      </c>
      <c r="AB677" s="10">
        <f t="shared" si="305"/>
        <v>5.0366075790193543</v>
      </c>
      <c r="AC677" s="10">
        <f t="shared" si="306"/>
        <v>4.9356075790193543</v>
      </c>
      <c r="AD677" s="3">
        <f t="shared" si="307"/>
        <v>715.82415939367002</v>
      </c>
      <c r="AI677" s="94">
        <f t="shared" si="308"/>
        <v>0.44806978056859781</v>
      </c>
    </row>
    <row r="678" spans="2:35">
      <c r="B678" s="39">
        <f t="shared" si="309"/>
        <v>650</v>
      </c>
      <c r="C678" s="42">
        <f t="shared" si="310"/>
        <v>4.3177458033528033</v>
      </c>
      <c r="D678" s="10">
        <f t="shared" si="311"/>
        <v>1.2222541966466203</v>
      </c>
      <c r="E678" s="40">
        <f t="shared" si="312"/>
        <v>28.635491606706758</v>
      </c>
      <c r="F678" s="40">
        <f t="shared" si="313"/>
        <v>31.08</v>
      </c>
      <c r="G678" s="3">
        <f t="shared" si="314"/>
        <v>191.85803357318221</v>
      </c>
      <c r="H678" s="3">
        <f t="shared" si="315"/>
        <v>81.256230789298584</v>
      </c>
      <c r="I678">
        <f t="shared" si="300"/>
        <v>8.1256230789298584E-5</v>
      </c>
      <c r="J678" s="4">
        <f t="shared" si="316"/>
        <v>644.01972350641495</v>
      </c>
      <c r="K678" s="40">
        <f t="shared" si="317"/>
        <v>7.9257887949096464</v>
      </c>
      <c r="L678" s="40">
        <f t="shared" si="301"/>
        <v>0</v>
      </c>
      <c r="M678" s="10">
        <f t="shared" si="318"/>
        <v>5.0366075790193543</v>
      </c>
      <c r="N678" s="10">
        <f t="shared" si="327"/>
        <v>8.26</v>
      </c>
      <c r="O678" s="10">
        <f t="shared" si="328"/>
        <v>0.31900000000000001</v>
      </c>
      <c r="P678" s="10">
        <f t="shared" si="319"/>
        <v>13.834456619929865</v>
      </c>
      <c r="Q678" s="42">
        <f t="shared" si="320"/>
        <v>0.31467016676815512</v>
      </c>
      <c r="R678" s="4">
        <f t="shared" si="321"/>
        <v>21996.238248063622</v>
      </c>
      <c r="S678">
        <f t="shared" si="302"/>
        <v>2.1996238248063623E-5</v>
      </c>
      <c r="T678" s="41">
        <f t="shared" si="303"/>
        <v>1.5780813379382021E-4</v>
      </c>
      <c r="U678" s="42">
        <f t="shared" si="322"/>
        <v>3.947334934806257E-2</v>
      </c>
      <c r="V678" s="42">
        <f t="shared" si="323"/>
        <v>0.45129127324290691</v>
      </c>
      <c r="W678" s="42">
        <f t="shared" si="324"/>
        <v>0.44801935847199076</v>
      </c>
      <c r="X678" s="42">
        <f t="shared" si="325"/>
        <v>3.2719147709161511E-3</v>
      </c>
      <c r="Y678" s="42">
        <f t="shared" si="329"/>
        <v>2.4088784173858253E-3</v>
      </c>
      <c r="Z678" s="10">
        <f t="shared" si="326"/>
        <v>15.264602397067048</v>
      </c>
      <c r="AA678">
        <f t="shared" si="304"/>
        <v>5036049.587671062</v>
      </c>
      <c r="AB678" s="10">
        <f t="shared" si="305"/>
        <v>5.0360495876710623</v>
      </c>
      <c r="AC678" s="10">
        <f t="shared" si="306"/>
        <v>4.9350495876710623</v>
      </c>
      <c r="AD678" s="3">
        <f t="shared" si="307"/>
        <v>715.74323243960293</v>
      </c>
      <c r="AI678" s="94">
        <f t="shared" si="308"/>
        <v>0.44801935847199076</v>
      </c>
    </row>
    <row r="679" spans="2:35">
      <c r="B679" s="39">
        <f t="shared" si="309"/>
        <v>651</v>
      </c>
      <c r="C679" s="42">
        <f t="shared" si="310"/>
        <v>4.3243884892041153</v>
      </c>
      <c r="D679" s="10">
        <f t="shared" si="311"/>
        <v>1.2156115107953074</v>
      </c>
      <c r="E679" s="40">
        <f t="shared" si="312"/>
        <v>28.648776978409384</v>
      </c>
      <c r="F679" s="40">
        <f t="shared" si="313"/>
        <v>31.08</v>
      </c>
      <c r="G679" s="3">
        <f t="shared" si="314"/>
        <v>191.80489208637172</v>
      </c>
      <c r="H679" s="3">
        <f t="shared" si="315"/>
        <v>81.256230789298584</v>
      </c>
      <c r="I679">
        <f t="shared" ref="I679:I742" si="330">H679/1000^2</f>
        <v>8.1256230789298584E-5</v>
      </c>
      <c r="J679" s="4">
        <f t="shared" si="316"/>
        <v>644.61744512448217</v>
      </c>
      <c r="K679" s="40">
        <f t="shared" si="317"/>
        <v>7.9331448045628283</v>
      </c>
      <c r="L679" s="40">
        <f t="shared" ref="L679:L742" si="331">IF((gstar-K679)&lt;0,0,gstar-K679)</f>
        <v>0</v>
      </c>
      <c r="M679" s="10">
        <f t="shared" si="318"/>
        <v>5.0360495876710623</v>
      </c>
      <c r="N679" s="10">
        <f t="shared" si="327"/>
        <v>8.26</v>
      </c>
      <c r="O679" s="10">
        <f t="shared" si="328"/>
        <v>0.31900000000000001</v>
      </c>
      <c r="P679" s="10">
        <f t="shared" si="319"/>
        <v>13.833967676603123</v>
      </c>
      <c r="Q679" s="42">
        <f t="shared" si="320"/>
        <v>0.31515033890724048</v>
      </c>
      <c r="R679" s="4">
        <f t="shared" si="321"/>
        <v>21875.49972517338</v>
      </c>
      <c r="S679">
        <f t="shared" ref="S679:S742" si="332">R679/1000^3</f>
        <v>2.1875499725173381E-5</v>
      </c>
      <c r="T679" s="41">
        <f t="shared" ref="T679:T742" si="333">(vc/1000^3-S679)</f>
        <v>1.5792887231671045E-4</v>
      </c>
      <c r="U679" s="42">
        <f t="shared" si="322"/>
        <v>3.9256678031809891E-2</v>
      </c>
      <c r="V679" s="42">
        <f t="shared" si="323"/>
        <v>0.45123675160620469</v>
      </c>
      <c r="W679" s="42">
        <f t="shared" si="324"/>
        <v>0.44796870798531968</v>
      </c>
      <c r="X679" s="42">
        <f t="shared" si="325"/>
        <v>3.2680436208850083E-3</v>
      </c>
      <c r="Y679" s="42">
        <f t="shared" si="329"/>
        <v>2.4104476408818897E-3</v>
      </c>
      <c r="Z679" s="10">
        <f t="shared" si="326"/>
        <v>15.262868692229876</v>
      </c>
      <c r="AA679">
        <f t="shared" ref="AA679:AA742" si="334">Z679*rat*to+patm*1000000</f>
        <v>5035489.0804846138</v>
      </c>
      <c r="AB679" s="10">
        <f t="shared" ref="AB679:AB742" si="335">AA679/1000000</f>
        <v>5.0354890804846137</v>
      </c>
      <c r="AC679" s="10">
        <f t="shared" ref="AC679:AC742" si="336">AB679-patm</f>
        <v>4.9344890804846138</v>
      </c>
      <c r="AD679" s="3">
        <f t="shared" ref="AD679:AD742" si="337">AC679*1000000/6895</f>
        <v>715.66194060690555</v>
      </c>
      <c r="AI679" s="94">
        <f t="shared" ref="AI679:AI742" si="338">($M679-patm)*1000000*$I679/SQRT(rat*to)*SQRT(k)*(2/(k+1))^((k+1)/2/(k-1))</f>
        <v>0.44796870798531968</v>
      </c>
    </row>
    <row r="680" spans="2:35">
      <c r="B680" s="39">
        <f t="shared" ref="B680:B743" si="339">1+B679</f>
        <v>652</v>
      </c>
      <c r="C680" s="42">
        <f t="shared" ref="C680:C743" si="340">xincp+C679</f>
        <v>4.3310311750554273</v>
      </c>
      <c r="D680" s="10">
        <f t="shared" ref="D680:D743" si="341">(F680-E680)/2</f>
        <v>1.2089688249439945</v>
      </c>
      <c r="E680" s="40">
        <f t="shared" ref="E680:E743" si="342">E679+ci*2*xincp</f>
        <v>28.662062350112009</v>
      </c>
      <c r="F680" s="40">
        <f t="shared" ref="F680:F743" si="343">F679-osi*2*xincp</f>
        <v>31.08</v>
      </c>
      <c r="G680" s="3">
        <f t="shared" ref="G680:G743" si="344">G679-ei*n*2*xincp</f>
        <v>191.75175059956123</v>
      </c>
      <c r="H680" s="3">
        <f t="shared" ref="H680:H743" si="345">PI()/4*(dto+erate*(two-D680)/two)^2</f>
        <v>81.256230789298584</v>
      </c>
      <c r="I680">
        <f t="shared" si="330"/>
        <v>8.1256230789298584E-5</v>
      </c>
      <c r="J680" s="4">
        <f t="shared" ref="J680:J743" si="346">PI()/4*dc^2-PI()/4*(F680^2-E680^2)</f>
        <v>645.2154439898311</v>
      </c>
      <c r="K680" s="40">
        <f t="shared" ref="K680:K743" si="347">J680/H680</f>
        <v>7.9405042262285903</v>
      </c>
      <c r="L680" s="40">
        <f t="shared" si="331"/>
        <v>0</v>
      </c>
      <c r="M680" s="10">
        <f t="shared" ref="M680:M743" si="348">AB679</f>
        <v>5.0354890804846137</v>
      </c>
      <c r="N680" s="10">
        <f t="shared" si="327"/>
        <v>8.26</v>
      </c>
      <c r="O680" s="10">
        <f t="shared" si="328"/>
        <v>0.31900000000000001</v>
      </c>
      <c r="P680" s="10">
        <f t="shared" ref="P680:P743" si="349">(1+kv*L680)*N680*M680^O680</f>
        <v>13.833476491613606</v>
      </c>
      <c r="Q680" s="42">
        <f t="shared" ref="Q680:Q743" si="350">xincp/P680+Q679</f>
        <v>0.31563052809578895</v>
      </c>
      <c r="R680" s="4">
        <f t="shared" ref="R680:R743" si="351">PI()/4*(F680^2-E680^2)*G680</f>
        <v>21754.771567262513</v>
      </c>
      <c r="S680">
        <f t="shared" si="332"/>
        <v>2.1754771567262513E-5</v>
      </c>
      <c r="T680" s="41">
        <f t="shared" si="333"/>
        <v>1.5804960047462131E-4</v>
      </c>
      <c r="U680" s="42">
        <f t="shared" ref="U680:U743" si="352">rhopgrain*R680/1000^2</f>
        <v>3.9040025316030937E-2</v>
      </c>
      <c r="V680" s="42">
        <f t="shared" ref="V680:V743" si="353">(U679-U680)/(Q680-Q679)</f>
        <v>0.4511819944007005</v>
      </c>
      <c r="W680" s="42">
        <f t="shared" ref="W680:W743" si="354">IF(V680&lt;AI680,IF(AB679&gt;pbd,AI680,0),AI680)</f>
        <v>0.44791782912875117</v>
      </c>
      <c r="X680" s="42">
        <f t="shared" ref="X680:X743" si="355">V680-W680</f>
        <v>3.2641652719493375E-3</v>
      </c>
      <c r="Y680" s="42">
        <f t="shared" si="329"/>
        <v>2.4120150577551154E-3</v>
      </c>
      <c r="Z680" s="10">
        <f t="shared" ref="Z680:Z743" si="356">Y680/T680</f>
        <v>15.261127206344458</v>
      </c>
      <c r="AA680">
        <f t="shared" si="334"/>
        <v>5034926.0576834157</v>
      </c>
      <c r="AB680" s="10">
        <f t="shared" si="335"/>
        <v>5.0349260576834158</v>
      </c>
      <c r="AC680" s="10">
        <f t="shared" si="336"/>
        <v>4.9339260576834159</v>
      </c>
      <c r="AD680" s="3">
        <f t="shared" si="337"/>
        <v>715.58028392797905</v>
      </c>
      <c r="AI680" s="94">
        <f t="shared" si="338"/>
        <v>0.44791782912875117</v>
      </c>
    </row>
    <row r="681" spans="2:35">
      <c r="B681" s="39">
        <f t="shared" si="339"/>
        <v>653</v>
      </c>
      <c r="C681" s="42">
        <f t="shared" si="340"/>
        <v>4.3376738609067393</v>
      </c>
      <c r="D681" s="10">
        <f t="shared" si="341"/>
        <v>1.2023261390926816</v>
      </c>
      <c r="E681" s="40">
        <f t="shared" si="342"/>
        <v>28.675347721814635</v>
      </c>
      <c r="F681" s="40">
        <f t="shared" si="343"/>
        <v>31.08</v>
      </c>
      <c r="G681" s="3">
        <f t="shared" si="344"/>
        <v>191.69860911275074</v>
      </c>
      <c r="H681" s="3">
        <f t="shared" si="345"/>
        <v>81.256230789298584</v>
      </c>
      <c r="I681">
        <f t="shared" si="330"/>
        <v>8.1256230789298584E-5</v>
      </c>
      <c r="J681" s="4">
        <f t="shared" si="346"/>
        <v>645.81372010246139</v>
      </c>
      <c r="K681" s="40">
        <f t="shared" si="347"/>
        <v>7.9478670599069288</v>
      </c>
      <c r="L681" s="40">
        <f t="shared" si="331"/>
        <v>0</v>
      </c>
      <c r="M681" s="10">
        <f t="shared" si="348"/>
        <v>5.0349260576834158</v>
      </c>
      <c r="N681" s="10">
        <f t="shared" si="327"/>
        <v>8.26</v>
      </c>
      <c r="O681" s="10">
        <f t="shared" si="328"/>
        <v>0.31900000000000001</v>
      </c>
      <c r="P681" s="10">
        <f t="shared" si="349"/>
        <v>13.832983064648813</v>
      </c>
      <c r="Q681" s="42">
        <f t="shared" si="350"/>
        <v>0.31611073441284054</v>
      </c>
      <c r="R681" s="4">
        <f t="shared" si="351"/>
        <v>21634.053818531029</v>
      </c>
      <c r="S681">
        <f t="shared" si="332"/>
        <v>2.1634053818531029E-5</v>
      </c>
      <c r="T681" s="41">
        <f t="shared" si="333"/>
        <v>1.5817031822335279E-4</v>
      </c>
      <c r="U681" s="42">
        <f t="shared" si="352"/>
        <v>3.8823391280044854E-2</v>
      </c>
      <c r="V681" s="42">
        <f t="shared" si="353"/>
        <v>0.45112700165251823</v>
      </c>
      <c r="W681" s="42">
        <f t="shared" si="354"/>
        <v>0.44786672192256438</v>
      </c>
      <c r="X681" s="42">
        <f t="shared" si="355"/>
        <v>3.2602797299538522E-3</v>
      </c>
      <c r="Y681" s="42">
        <f t="shared" si="329"/>
        <v>2.4135806646767943E-3</v>
      </c>
      <c r="Z681" s="10">
        <f t="shared" si="356"/>
        <v>15.259377940104853</v>
      </c>
      <c r="AA681">
        <f t="shared" si="334"/>
        <v>5034360.5194918578</v>
      </c>
      <c r="AB681" s="10">
        <f t="shared" si="335"/>
        <v>5.0343605194918579</v>
      </c>
      <c r="AC681" s="10">
        <f t="shared" si="336"/>
        <v>4.9333605194918579</v>
      </c>
      <c r="AD681" s="3">
        <f t="shared" si="337"/>
        <v>715.49826243536734</v>
      </c>
      <c r="AI681" s="94">
        <f t="shared" si="338"/>
        <v>0.44786672192256438</v>
      </c>
    </row>
    <row r="682" spans="2:35">
      <c r="B682" s="39">
        <f t="shared" si="339"/>
        <v>654</v>
      </c>
      <c r="C682" s="42">
        <f t="shared" si="340"/>
        <v>4.3443165467580513</v>
      </c>
      <c r="D682" s="10">
        <f t="shared" si="341"/>
        <v>1.1956834532413687</v>
      </c>
      <c r="E682" s="40">
        <f t="shared" si="342"/>
        <v>28.688633093517261</v>
      </c>
      <c r="F682" s="40">
        <f t="shared" si="343"/>
        <v>31.08</v>
      </c>
      <c r="G682" s="3">
        <f t="shared" si="344"/>
        <v>191.64546762594026</v>
      </c>
      <c r="H682" s="3">
        <f t="shared" si="345"/>
        <v>81.256230789298584</v>
      </c>
      <c r="I682">
        <f t="shared" si="330"/>
        <v>8.1256230789298584E-5</v>
      </c>
      <c r="J682" s="4">
        <f t="shared" si="346"/>
        <v>646.41227346237338</v>
      </c>
      <c r="K682" s="40">
        <f t="shared" si="347"/>
        <v>7.9552333055978472</v>
      </c>
      <c r="L682" s="40">
        <f t="shared" si="331"/>
        <v>0</v>
      </c>
      <c r="M682" s="10">
        <f t="shared" si="348"/>
        <v>5.0343605194918579</v>
      </c>
      <c r="N682" s="10">
        <f t="shared" si="327"/>
        <v>8.26</v>
      </c>
      <c r="O682" s="10">
        <f t="shared" si="328"/>
        <v>0.31900000000000001</v>
      </c>
      <c r="P682" s="10">
        <f t="shared" si="349"/>
        <v>13.832487395394715</v>
      </c>
      <c r="Q682" s="42">
        <f t="shared" si="350"/>
        <v>0.316590957937463</v>
      </c>
      <c r="R682" s="4">
        <f t="shared" si="351"/>
        <v>21513.346523178916</v>
      </c>
      <c r="S682">
        <f t="shared" si="332"/>
        <v>2.1513346523178914E-5</v>
      </c>
      <c r="T682" s="41">
        <f t="shared" si="333"/>
        <v>1.5829102551870493E-4</v>
      </c>
      <c r="U682" s="42">
        <f t="shared" si="352"/>
        <v>3.8606776003170723E-2</v>
      </c>
      <c r="V682" s="42">
        <f t="shared" si="353"/>
        <v>0.45107177338808935</v>
      </c>
      <c r="W682" s="42">
        <f t="shared" si="354"/>
        <v>0.44781538638712798</v>
      </c>
      <c r="X682" s="42">
        <f t="shared" si="355"/>
        <v>3.2563870009613693E-3</v>
      </c>
      <c r="Y682" s="42">
        <f t="shared" si="329"/>
        <v>2.4151444583199308E-3</v>
      </c>
      <c r="Z682" s="10">
        <f t="shared" si="356"/>
        <v>15.257620894208801</v>
      </c>
      <c r="AA682">
        <f t="shared" si="334"/>
        <v>5033792.4661355196</v>
      </c>
      <c r="AB682" s="10">
        <f t="shared" si="335"/>
        <v>5.0337924661355196</v>
      </c>
      <c r="AC682" s="10">
        <f t="shared" si="336"/>
        <v>4.9327924661355196</v>
      </c>
      <c r="AD682" s="3">
        <f t="shared" si="337"/>
        <v>715.41587616178674</v>
      </c>
      <c r="AI682" s="94">
        <f t="shared" si="338"/>
        <v>0.44781538638712798</v>
      </c>
    </row>
    <row r="683" spans="2:35">
      <c r="B683" s="39">
        <f t="shared" si="339"/>
        <v>655</v>
      </c>
      <c r="C683" s="42">
        <f t="shared" si="340"/>
        <v>4.3509592326093633</v>
      </c>
      <c r="D683" s="10">
        <f t="shared" si="341"/>
        <v>1.1890407673900558</v>
      </c>
      <c r="E683" s="40">
        <f t="shared" si="342"/>
        <v>28.701918465219887</v>
      </c>
      <c r="F683" s="40">
        <f t="shared" si="343"/>
        <v>31.08</v>
      </c>
      <c r="G683" s="3">
        <f t="shared" si="344"/>
        <v>191.59232613912977</v>
      </c>
      <c r="H683" s="3">
        <f t="shared" si="345"/>
        <v>81.256230789298584</v>
      </c>
      <c r="I683">
        <f t="shared" si="330"/>
        <v>8.1256230789298584E-5</v>
      </c>
      <c r="J683" s="4">
        <f t="shared" si="346"/>
        <v>647.01110406956684</v>
      </c>
      <c r="K683" s="40">
        <f t="shared" si="347"/>
        <v>7.962602963301344</v>
      </c>
      <c r="L683" s="40">
        <f t="shared" si="331"/>
        <v>0</v>
      </c>
      <c r="M683" s="10">
        <f t="shared" si="348"/>
        <v>5.0337924661355196</v>
      </c>
      <c r="N683" s="10">
        <f t="shared" si="327"/>
        <v>8.26</v>
      </c>
      <c r="O683" s="10">
        <f t="shared" si="328"/>
        <v>0.31900000000000001</v>
      </c>
      <c r="P683" s="10">
        <f t="shared" si="349"/>
        <v>13.831989483535951</v>
      </c>
      <c r="Q683" s="42">
        <f t="shared" si="350"/>
        <v>0.31707119874875184</v>
      </c>
      <c r="R683" s="4">
        <f t="shared" si="351"/>
        <v>21392.649725406169</v>
      </c>
      <c r="S683">
        <f t="shared" si="332"/>
        <v>2.1392649725406168E-5</v>
      </c>
      <c r="T683" s="41">
        <f t="shared" si="333"/>
        <v>1.5841172231647767E-4</v>
      </c>
      <c r="U683" s="42">
        <f t="shared" si="352"/>
        <v>3.8390179564727636E-2</v>
      </c>
      <c r="V683" s="42">
        <f t="shared" si="353"/>
        <v>0.45101630963391354</v>
      </c>
      <c r="W683" s="42">
        <f t="shared" si="354"/>
        <v>0.4477638225429183</v>
      </c>
      <c r="X683" s="42">
        <f t="shared" si="355"/>
        <v>3.2524870909952375E-3</v>
      </c>
      <c r="Y683" s="42">
        <f t="shared" si="329"/>
        <v>2.4167064353592168E-3</v>
      </c>
      <c r="Z683" s="10">
        <f t="shared" si="356"/>
        <v>15.255856069357538</v>
      </c>
      <c r="AA683">
        <f t="shared" si="334"/>
        <v>5033221.897841109</v>
      </c>
      <c r="AB683" s="10">
        <f t="shared" si="335"/>
        <v>5.0332218978411092</v>
      </c>
      <c r="AC683" s="10">
        <f t="shared" si="336"/>
        <v>4.9322218978411092</v>
      </c>
      <c r="AD683" s="3">
        <f t="shared" si="337"/>
        <v>715.33312514011732</v>
      </c>
      <c r="AI683" s="94">
        <f t="shared" si="338"/>
        <v>0.4477638225429183</v>
      </c>
    </row>
    <row r="684" spans="2:35">
      <c r="B684" s="39">
        <f t="shared" si="339"/>
        <v>656</v>
      </c>
      <c r="C684" s="42">
        <f t="shared" si="340"/>
        <v>4.3576019184606753</v>
      </c>
      <c r="D684" s="10">
        <f t="shared" si="341"/>
        <v>1.1823980815387429</v>
      </c>
      <c r="E684" s="40">
        <f t="shared" si="342"/>
        <v>28.715203836922512</v>
      </c>
      <c r="F684" s="40">
        <f t="shared" si="343"/>
        <v>31.08</v>
      </c>
      <c r="G684" s="3">
        <f t="shared" si="344"/>
        <v>191.53918465231928</v>
      </c>
      <c r="H684" s="3">
        <f t="shared" si="345"/>
        <v>81.256230789298584</v>
      </c>
      <c r="I684">
        <f t="shared" si="330"/>
        <v>8.1256230789298584E-5</v>
      </c>
      <c r="J684" s="4">
        <f t="shared" si="346"/>
        <v>647.61021192404189</v>
      </c>
      <c r="K684" s="40">
        <f t="shared" si="347"/>
        <v>7.9699760330174199</v>
      </c>
      <c r="L684" s="40">
        <f t="shared" si="331"/>
        <v>0</v>
      </c>
      <c r="M684" s="10">
        <f t="shared" si="348"/>
        <v>5.0332218978411092</v>
      </c>
      <c r="N684" s="10">
        <f t="shared" si="327"/>
        <v>8.26</v>
      </c>
      <c r="O684" s="10">
        <f t="shared" si="328"/>
        <v>0.31900000000000001</v>
      </c>
      <c r="P684" s="10">
        <f t="shared" si="349"/>
        <v>13.831489328755756</v>
      </c>
      <c r="Q684" s="42">
        <f t="shared" si="350"/>
        <v>0.31755145692583053</v>
      </c>
      <c r="R684" s="4">
        <f t="shared" si="351"/>
        <v>21271.963469412804</v>
      </c>
      <c r="S684">
        <f t="shared" si="332"/>
        <v>2.1271963469412803E-5</v>
      </c>
      <c r="T684" s="41">
        <f t="shared" si="333"/>
        <v>1.5853240857247104E-4</v>
      </c>
      <c r="U684" s="42">
        <f t="shared" si="352"/>
        <v>3.8173602044034742E-2</v>
      </c>
      <c r="V684" s="42">
        <f t="shared" si="353"/>
        <v>0.45096061041643692</v>
      </c>
      <c r="W684" s="42">
        <f t="shared" si="354"/>
        <v>0.44771203041051433</v>
      </c>
      <c r="X684" s="42">
        <f t="shared" si="355"/>
        <v>3.2485800059225967E-3</v>
      </c>
      <c r="Y684" s="42">
        <f t="shared" si="329"/>
        <v>2.4182665924709556E-3</v>
      </c>
      <c r="Z684" s="10">
        <f t="shared" si="356"/>
        <v>15.254083466255269</v>
      </c>
      <c r="AA684">
        <f t="shared" si="334"/>
        <v>5032648.8148362981</v>
      </c>
      <c r="AB684" s="10">
        <f t="shared" si="335"/>
        <v>5.032648814836298</v>
      </c>
      <c r="AC684" s="10">
        <f t="shared" si="336"/>
        <v>4.931648814836298</v>
      </c>
      <c r="AD684" s="3">
        <f t="shared" si="337"/>
        <v>715.25000940337895</v>
      </c>
      <c r="AI684" s="94">
        <f t="shared" si="338"/>
        <v>0.44771203041051433</v>
      </c>
    </row>
    <row r="685" spans="2:35">
      <c r="B685" s="39">
        <f t="shared" si="339"/>
        <v>657</v>
      </c>
      <c r="C685" s="42">
        <f t="shared" si="340"/>
        <v>4.3642446043119874</v>
      </c>
      <c r="D685" s="10">
        <f t="shared" si="341"/>
        <v>1.17575539568743</v>
      </c>
      <c r="E685" s="40">
        <f t="shared" si="342"/>
        <v>28.728489208625138</v>
      </c>
      <c r="F685" s="40">
        <f t="shared" si="343"/>
        <v>31.08</v>
      </c>
      <c r="G685" s="3">
        <f t="shared" si="344"/>
        <v>191.48604316550879</v>
      </c>
      <c r="H685" s="3">
        <f t="shared" si="345"/>
        <v>81.256230789298584</v>
      </c>
      <c r="I685">
        <f t="shared" si="330"/>
        <v>8.1256230789298584E-5</v>
      </c>
      <c r="J685" s="4">
        <f t="shared" si="346"/>
        <v>648.20959702579853</v>
      </c>
      <c r="K685" s="40">
        <f t="shared" si="347"/>
        <v>7.9773525147460749</v>
      </c>
      <c r="L685" s="40">
        <f t="shared" si="331"/>
        <v>0</v>
      </c>
      <c r="M685" s="10">
        <f t="shared" si="348"/>
        <v>5.032648814836298</v>
      </c>
      <c r="N685" s="10">
        <f t="shared" si="327"/>
        <v>8.26</v>
      </c>
      <c r="O685" s="10">
        <f t="shared" si="328"/>
        <v>0.31900000000000001</v>
      </c>
      <c r="P685" s="10">
        <f t="shared" si="349"/>
        <v>13.83098693073584</v>
      </c>
      <c r="Q685" s="42">
        <f t="shared" si="350"/>
        <v>0.31803173254785072</v>
      </c>
      <c r="R685" s="4">
        <f t="shared" si="351"/>
        <v>21151.287799398804</v>
      </c>
      <c r="S685">
        <f t="shared" si="332"/>
        <v>2.1151287799398806E-5</v>
      </c>
      <c r="T685" s="41">
        <f t="shared" si="333"/>
        <v>1.5865308424248503E-4</v>
      </c>
      <c r="U685" s="42">
        <f t="shared" si="352"/>
        <v>3.795704352041112E-2</v>
      </c>
      <c r="V685" s="42">
        <f t="shared" si="353"/>
        <v>0.45090467576245125</v>
      </c>
      <c r="W685" s="42">
        <f t="shared" si="354"/>
        <v>0.44766001001058264</v>
      </c>
      <c r="X685" s="42">
        <f t="shared" si="355"/>
        <v>3.2446657518686028E-3</v>
      </c>
      <c r="Y685" s="42">
        <f t="shared" si="329"/>
        <v>2.4198249263331817E-3</v>
      </c>
      <c r="Z685" s="10">
        <f t="shared" si="356"/>
        <v>15.252303085609899</v>
      </c>
      <c r="AA685">
        <f t="shared" si="334"/>
        <v>5032073.2173499521</v>
      </c>
      <c r="AB685" s="10">
        <f t="shared" si="335"/>
        <v>5.0320732173499518</v>
      </c>
      <c r="AC685" s="10">
        <f t="shared" si="336"/>
        <v>4.9310732173499519</v>
      </c>
      <c r="AD685" s="3">
        <f t="shared" si="337"/>
        <v>715.16652898476457</v>
      </c>
      <c r="AI685" s="94">
        <f t="shared" si="338"/>
        <v>0.44766001001058264</v>
      </c>
    </row>
    <row r="686" spans="2:35">
      <c r="B686" s="39">
        <f t="shared" si="339"/>
        <v>658</v>
      </c>
      <c r="C686" s="42">
        <f t="shared" si="340"/>
        <v>4.3708872901632994</v>
      </c>
      <c r="D686" s="10">
        <f t="shared" si="341"/>
        <v>1.1691127098361171</v>
      </c>
      <c r="E686" s="40">
        <f t="shared" si="342"/>
        <v>28.741774580327764</v>
      </c>
      <c r="F686" s="40">
        <f t="shared" si="343"/>
        <v>31.08</v>
      </c>
      <c r="G686" s="3">
        <f t="shared" si="344"/>
        <v>191.4329016786983</v>
      </c>
      <c r="H686" s="3">
        <f t="shared" si="345"/>
        <v>81.256230789298584</v>
      </c>
      <c r="I686">
        <f t="shared" si="330"/>
        <v>8.1256230789298584E-5</v>
      </c>
      <c r="J686" s="4">
        <f t="shared" si="346"/>
        <v>648.80925937483676</v>
      </c>
      <c r="K686" s="40">
        <f t="shared" si="347"/>
        <v>7.9847324084873099</v>
      </c>
      <c r="L686" s="40">
        <f t="shared" si="331"/>
        <v>0</v>
      </c>
      <c r="M686" s="10">
        <f t="shared" si="348"/>
        <v>5.0320732173499518</v>
      </c>
      <c r="N686" s="10">
        <f t="shared" si="327"/>
        <v>8.26</v>
      </c>
      <c r="O686" s="10">
        <f t="shared" si="328"/>
        <v>0.31900000000000001</v>
      </c>
      <c r="P686" s="10">
        <f t="shared" si="349"/>
        <v>13.83048228915656</v>
      </c>
      <c r="Q686" s="42">
        <f t="shared" si="350"/>
        <v>0.31851202569399212</v>
      </c>
      <c r="R686" s="4">
        <f t="shared" si="351"/>
        <v>21030.622759564165</v>
      </c>
      <c r="S686">
        <f t="shared" si="332"/>
        <v>2.1030622759564166E-5</v>
      </c>
      <c r="T686" s="41">
        <f t="shared" si="333"/>
        <v>1.5877374928231967E-4</v>
      </c>
      <c r="U686" s="42">
        <f t="shared" si="352"/>
        <v>3.7740504073175869E-2</v>
      </c>
      <c r="V686" s="42">
        <f t="shared" si="353"/>
        <v>0.45084850569885454</v>
      </c>
      <c r="W686" s="42">
        <f t="shared" si="354"/>
        <v>0.44760776136389785</v>
      </c>
      <c r="X686" s="42">
        <f t="shared" si="355"/>
        <v>3.2407443349566911E-3</v>
      </c>
      <c r="Y686" s="42">
        <f t="shared" si="329"/>
        <v>2.4213814336256582E-3</v>
      </c>
      <c r="Z686" s="10">
        <f t="shared" si="356"/>
        <v>15.250514928132974</v>
      </c>
      <c r="AA686">
        <f t="shared" si="334"/>
        <v>5031495.1056121131</v>
      </c>
      <c r="AB686" s="10">
        <f t="shared" si="335"/>
        <v>5.0314951056121133</v>
      </c>
      <c r="AC686" s="10">
        <f t="shared" si="336"/>
        <v>4.9304951056121133</v>
      </c>
      <c r="AD686" s="3">
        <f t="shared" si="337"/>
        <v>715.08268391763784</v>
      </c>
      <c r="AI686" s="94">
        <f t="shared" si="338"/>
        <v>0.44760776136389785</v>
      </c>
    </row>
    <row r="687" spans="2:35">
      <c r="B687" s="39">
        <f t="shared" si="339"/>
        <v>659</v>
      </c>
      <c r="C687" s="42">
        <f t="shared" si="340"/>
        <v>4.3775299760146114</v>
      </c>
      <c r="D687" s="10">
        <f t="shared" si="341"/>
        <v>1.1624700239848043</v>
      </c>
      <c r="E687" s="40">
        <f t="shared" si="342"/>
        <v>28.75505995203039</v>
      </c>
      <c r="F687" s="40">
        <f t="shared" si="343"/>
        <v>31.08</v>
      </c>
      <c r="G687" s="3">
        <f t="shared" si="344"/>
        <v>191.37976019188781</v>
      </c>
      <c r="H687" s="3">
        <f t="shared" si="345"/>
        <v>81.256230789298584</v>
      </c>
      <c r="I687">
        <f t="shared" si="330"/>
        <v>8.1256230789298584E-5</v>
      </c>
      <c r="J687" s="4">
        <f t="shared" si="346"/>
        <v>649.40919897115646</v>
      </c>
      <c r="K687" s="40">
        <f t="shared" si="347"/>
        <v>7.9921157142411214</v>
      </c>
      <c r="L687" s="40">
        <f t="shared" si="331"/>
        <v>0</v>
      </c>
      <c r="M687" s="10">
        <f t="shared" si="348"/>
        <v>5.0314951056121133</v>
      </c>
      <c r="N687" s="10">
        <f t="shared" si="327"/>
        <v>8.26</v>
      </c>
      <c r="O687" s="10">
        <f t="shared" si="328"/>
        <v>0.31900000000000001</v>
      </c>
      <c r="P687" s="10">
        <f t="shared" si="349"/>
        <v>13.829975403696924</v>
      </c>
      <c r="Q687" s="42">
        <f t="shared" si="350"/>
        <v>0.31899233644346286</v>
      </c>
      <c r="R687" s="4">
        <f t="shared" si="351"/>
        <v>20909.968394108906</v>
      </c>
      <c r="S687">
        <f t="shared" si="332"/>
        <v>2.0909968394108906E-5</v>
      </c>
      <c r="T687" s="41">
        <f t="shared" si="333"/>
        <v>1.5889440364777493E-4</v>
      </c>
      <c r="U687" s="42">
        <f t="shared" si="352"/>
        <v>3.7523983781648139E-2</v>
      </c>
      <c r="V687" s="42">
        <f t="shared" si="353"/>
        <v>0.45079210025241656</v>
      </c>
      <c r="W687" s="42">
        <f t="shared" si="354"/>
        <v>0.44755528449134169</v>
      </c>
      <c r="X687" s="42">
        <f t="shared" si="355"/>
        <v>3.2368157610748738E-3</v>
      </c>
      <c r="Y687" s="42">
        <f t="shared" si="329"/>
        <v>2.4229361110297588E-3</v>
      </c>
      <c r="Z687" s="10">
        <f t="shared" si="356"/>
        <v>15.248718994538914</v>
      </c>
      <c r="AA687">
        <f t="shared" si="334"/>
        <v>5030914.479853753</v>
      </c>
      <c r="AB687" s="10">
        <f t="shared" si="335"/>
        <v>5.0309144798537533</v>
      </c>
      <c r="AC687" s="10">
        <f t="shared" si="336"/>
        <v>4.9299144798537533</v>
      </c>
      <c r="AD687" s="3">
        <f t="shared" si="337"/>
        <v>714.99847423549716</v>
      </c>
      <c r="AI687" s="94">
        <f t="shared" si="338"/>
        <v>0.44755528449134169</v>
      </c>
    </row>
    <row r="688" spans="2:35">
      <c r="B688" s="39">
        <f t="shared" si="339"/>
        <v>660</v>
      </c>
      <c r="C688" s="42">
        <f t="shared" si="340"/>
        <v>4.3841726618659234</v>
      </c>
      <c r="D688" s="10">
        <f t="shared" si="341"/>
        <v>1.1558273381334914</v>
      </c>
      <c r="E688" s="40">
        <f t="shared" si="342"/>
        <v>28.768345323733016</v>
      </c>
      <c r="F688" s="40">
        <f t="shared" si="343"/>
        <v>31.08</v>
      </c>
      <c r="G688" s="3">
        <f t="shared" si="344"/>
        <v>191.32661870507732</v>
      </c>
      <c r="H688" s="3">
        <f t="shared" si="345"/>
        <v>81.256230789298584</v>
      </c>
      <c r="I688">
        <f t="shared" si="330"/>
        <v>8.1256230789298584E-5</v>
      </c>
      <c r="J688" s="4">
        <f t="shared" si="346"/>
        <v>650.00941581475786</v>
      </c>
      <c r="K688" s="40">
        <f t="shared" si="347"/>
        <v>7.9995024320075139</v>
      </c>
      <c r="L688" s="40">
        <f t="shared" si="331"/>
        <v>0</v>
      </c>
      <c r="M688" s="10">
        <f t="shared" si="348"/>
        <v>5.0309144798537533</v>
      </c>
      <c r="N688" s="10">
        <f t="shared" si="327"/>
        <v>8.26</v>
      </c>
      <c r="O688" s="10">
        <f t="shared" si="328"/>
        <v>0.31900000000000001</v>
      </c>
      <c r="P688" s="10">
        <f t="shared" si="349"/>
        <v>13.829466274034363</v>
      </c>
      <c r="Q688" s="42">
        <f t="shared" si="350"/>
        <v>0.31947266487549963</v>
      </c>
      <c r="R688" s="4">
        <f t="shared" si="351"/>
        <v>20789.324747232986</v>
      </c>
      <c r="S688">
        <f t="shared" si="332"/>
        <v>2.0789324747232984E-5</v>
      </c>
      <c r="T688" s="41">
        <f t="shared" si="333"/>
        <v>1.5901504729465084E-4</v>
      </c>
      <c r="U688" s="42">
        <f t="shared" si="352"/>
        <v>3.7307482725146952E-2</v>
      </c>
      <c r="V688" s="42">
        <f t="shared" si="353"/>
        <v>0.45073545945040627</v>
      </c>
      <c r="W688" s="42">
        <f t="shared" si="354"/>
        <v>0.44750257941387994</v>
      </c>
      <c r="X688" s="42">
        <f t="shared" si="355"/>
        <v>3.232880036526331E-3</v>
      </c>
      <c r="Y688" s="42">
        <f t="shared" si="329"/>
        <v>2.4244889552286664E-3</v>
      </c>
      <c r="Z688" s="10">
        <f t="shared" si="356"/>
        <v>15.246915285546216</v>
      </c>
      <c r="AA688">
        <f t="shared" si="334"/>
        <v>5030331.340307164</v>
      </c>
      <c r="AB688" s="10">
        <f t="shared" si="335"/>
        <v>5.0303313403071641</v>
      </c>
      <c r="AC688" s="10">
        <f t="shared" si="336"/>
        <v>4.9293313403071641</v>
      </c>
      <c r="AD688" s="3">
        <f t="shared" si="337"/>
        <v>714.91389997203248</v>
      </c>
      <c r="AI688" s="94">
        <f t="shared" si="338"/>
        <v>0.44750257941387994</v>
      </c>
    </row>
    <row r="689" spans="2:35">
      <c r="B689" s="39">
        <f t="shared" si="339"/>
        <v>661</v>
      </c>
      <c r="C689" s="42">
        <f t="shared" si="340"/>
        <v>4.3908153477172354</v>
      </c>
      <c r="D689" s="10">
        <f t="shared" si="341"/>
        <v>1.1491846522821785</v>
      </c>
      <c r="E689" s="40">
        <f t="shared" si="342"/>
        <v>28.781630695435641</v>
      </c>
      <c r="F689" s="40">
        <f t="shared" si="343"/>
        <v>31.08</v>
      </c>
      <c r="G689" s="3">
        <f t="shared" si="344"/>
        <v>191.27347721826683</v>
      </c>
      <c r="H689" s="3">
        <f t="shared" si="345"/>
        <v>81.256230789298584</v>
      </c>
      <c r="I689">
        <f t="shared" si="330"/>
        <v>8.1256230789298584E-5</v>
      </c>
      <c r="J689" s="4">
        <f t="shared" si="346"/>
        <v>650.60990990564062</v>
      </c>
      <c r="K689" s="40">
        <f t="shared" si="347"/>
        <v>8.0068925617864828</v>
      </c>
      <c r="L689" s="40">
        <f t="shared" si="331"/>
        <v>0</v>
      </c>
      <c r="M689" s="10">
        <f t="shared" si="348"/>
        <v>5.0303313403071641</v>
      </c>
      <c r="N689" s="10">
        <f t="shared" si="327"/>
        <v>8.26</v>
      </c>
      <c r="O689" s="10">
        <f t="shared" si="328"/>
        <v>0.31900000000000001</v>
      </c>
      <c r="P689" s="10">
        <f t="shared" si="349"/>
        <v>13.82895489984508</v>
      </c>
      <c r="Q689" s="42">
        <f t="shared" si="350"/>
        <v>0.31995301106936758</v>
      </c>
      <c r="R689" s="4">
        <f t="shared" si="351"/>
        <v>20668.691863136461</v>
      </c>
      <c r="S689">
        <f t="shared" si="332"/>
        <v>2.0668691863136459E-5</v>
      </c>
      <c r="T689" s="41">
        <f t="shared" si="333"/>
        <v>1.5913568017874736E-4</v>
      </c>
      <c r="U689" s="42">
        <f t="shared" si="352"/>
        <v>3.7091000982991534E-2</v>
      </c>
      <c r="V689" s="42">
        <f t="shared" si="353"/>
        <v>0.45067858331970806</v>
      </c>
      <c r="W689" s="42">
        <f t="shared" si="354"/>
        <v>0.44744964615259863</v>
      </c>
      <c r="X689" s="42">
        <f t="shared" si="355"/>
        <v>3.2289371671094247E-3</v>
      </c>
      <c r="Y689" s="42">
        <f t="shared" si="329"/>
        <v>2.4260399629071261E-3</v>
      </c>
      <c r="Z689" s="10">
        <f t="shared" si="356"/>
        <v>15.245103801875883</v>
      </c>
      <c r="AA689">
        <f t="shared" si="334"/>
        <v>5029745.687205445</v>
      </c>
      <c r="AB689" s="10">
        <f t="shared" si="335"/>
        <v>5.0297456872054447</v>
      </c>
      <c r="AC689" s="10">
        <f t="shared" si="336"/>
        <v>4.9287456872054447</v>
      </c>
      <c r="AD689" s="3">
        <f t="shared" si="337"/>
        <v>714.82896116105076</v>
      </c>
      <c r="AI689" s="94">
        <f t="shared" si="338"/>
        <v>0.44744964615259863</v>
      </c>
    </row>
    <row r="690" spans="2:35">
      <c r="B690" s="39">
        <f t="shared" si="339"/>
        <v>662</v>
      </c>
      <c r="C690" s="42">
        <f t="shared" si="340"/>
        <v>4.3974580335685474</v>
      </c>
      <c r="D690" s="10">
        <f t="shared" si="341"/>
        <v>1.1425419664308656</v>
      </c>
      <c r="E690" s="40">
        <f t="shared" si="342"/>
        <v>28.794916067138267</v>
      </c>
      <c r="F690" s="40">
        <f t="shared" si="343"/>
        <v>31.08</v>
      </c>
      <c r="G690" s="3">
        <f t="shared" si="344"/>
        <v>191.22033573145634</v>
      </c>
      <c r="H690" s="3">
        <f t="shared" si="345"/>
        <v>81.256230789298584</v>
      </c>
      <c r="I690">
        <f t="shared" si="330"/>
        <v>8.1256230789298584E-5</v>
      </c>
      <c r="J690" s="4">
        <f t="shared" si="346"/>
        <v>651.21068124380508</v>
      </c>
      <c r="K690" s="40">
        <f t="shared" si="347"/>
        <v>8.0142861035780317</v>
      </c>
      <c r="L690" s="40">
        <f t="shared" si="331"/>
        <v>0</v>
      </c>
      <c r="M690" s="10">
        <f t="shared" si="348"/>
        <v>5.0297456872054447</v>
      </c>
      <c r="N690" s="10">
        <f t="shared" si="327"/>
        <v>8.26</v>
      </c>
      <c r="O690" s="10">
        <f t="shared" si="328"/>
        <v>0.31900000000000001</v>
      </c>
      <c r="P690" s="10">
        <f t="shared" si="349"/>
        <v>13.828441280803593</v>
      </c>
      <c r="Q690" s="42">
        <f t="shared" si="350"/>
        <v>0.32043337510436071</v>
      </c>
      <c r="R690" s="4">
        <f t="shared" si="351"/>
        <v>20548.069786019267</v>
      </c>
      <c r="S690">
        <f t="shared" si="332"/>
        <v>2.0548069786019266E-5</v>
      </c>
      <c r="T690" s="41">
        <f t="shared" si="333"/>
        <v>1.5925630225586458E-4</v>
      </c>
      <c r="U690" s="42">
        <f t="shared" si="352"/>
        <v>3.6874538634500874E-2</v>
      </c>
      <c r="V690" s="42">
        <f t="shared" si="353"/>
        <v>0.45062147188799456</v>
      </c>
      <c r="W690" s="42">
        <f t="shared" si="354"/>
        <v>0.44739648472865667</v>
      </c>
      <c r="X690" s="42">
        <f t="shared" si="355"/>
        <v>3.2249871593378887E-3</v>
      </c>
      <c r="Y690" s="42">
        <f t="shared" si="329"/>
        <v>2.4275891307517865E-3</v>
      </c>
      <c r="Z690" s="10">
        <f t="shared" si="356"/>
        <v>15.243284544253514</v>
      </c>
      <c r="AA690">
        <f t="shared" si="334"/>
        <v>5029157.5207831832</v>
      </c>
      <c r="AB690" s="10">
        <f t="shared" si="335"/>
        <v>5.0291575207831833</v>
      </c>
      <c r="AC690" s="10">
        <f t="shared" si="336"/>
        <v>4.9281575207831834</v>
      </c>
      <c r="AD690" s="3">
        <f t="shared" si="337"/>
        <v>714.74365783657481</v>
      </c>
      <c r="AI690" s="94">
        <f t="shared" si="338"/>
        <v>0.44739648472865667</v>
      </c>
    </row>
    <row r="691" spans="2:35">
      <c r="B691" s="39">
        <f t="shared" si="339"/>
        <v>663</v>
      </c>
      <c r="C691" s="42">
        <f t="shared" si="340"/>
        <v>4.4041007194198594</v>
      </c>
      <c r="D691" s="10">
        <f t="shared" si="341"/>
        <v>1.1358992805795527</v>
      </c>
      <c r="E691" s="40">
        <f t="shared" si="342"/>
        <v>28.808201438840893</v>
      </c>
      <c r="F691" s="40">
        <f t="shared" si="343"/>
        <v>31.08</v>
      </c>
      <c r="G691" s="3">
        <f t="shared" si="344"/>
        <v>191.16719424464586</v>
      </c>
      <c r="H691" s="3">
        <f t="shared" si="345"/>
        <v>81.256230789298584</v>
      </c>
      <c r="I691">
        <f t="shared" si="330"/>
        <v>8.1256230789298584E-5</v>
      </c>
      <c r="J691" s="4">
        <f t="shared" si="346"/>
        <v>651.81172982925102</v>
      </c>
      <c r="K691" s="40">
        <f t="shared" si="347"/>
        <v>8.0216830573821589</v>
      </c>
      <c r="L691" s="40">
        <f t="shared" si="331"/>
        <v>0</v>
      </c>
      <c r="M691" s="10">
        <f t="shared" si="348"/>
        <v>5.0291575207831833</v>
      </c>
      <c r="N691" s="10">
        <f t="shared" si="327"/>
        <v>8.26</v>
      </c>
      <c r="O691" s="10">
        <f t="shared" si="328"/>
        <v>0.31900000000000001</v>
      </c>
      <c r="P691" s="10">
        <f t="shared" si="349"/>
        <v>13.827925416583334</v>
      </c>
      <c r="Q691" s="42">
        <f t="shared" si="350"/>
        <v>0.3209137570598018</v>
      </c>
      <c r="R691" s="4">
        <f t="shared" si="351"/>
        <v>20427.45856008145</v>
      </c>
      <c r="S691">
        <f t="shared" si="332"/>
        <v>2.042745856008145E-5</v>
      </c>
      <c r="T691" s="41">
        <f t="shared" si="333"/>
        <v>1.5937691348180238E-4</v>
      </c>
      <c r="U691" s="42">
        <f t="shared" si="352"/>
        <v>3.6658095758994161E-2</v>
      </c>
      <c r="V691" s="42">
        <f t="shared" si="353"/>
        <v>0.45056412518237487</v>
      </c>
      <c r="W691" s="42">
        <f t="shared" si="354"/>
        <v>0.44734309516334825</v>
      </c>
      <c r="X691" s="42">
        <f t="shared" si="355"/>
        <v>3.2210300190266272E-3</v>
      </c>
      <c r="Y691" s="42">
        <f t="shared" si="329"/>
        <v>2.4291364554508612E-3</v>
      </c>
      <c r="Z691" s="10">
        <f t="shared" si="356"/>
        <v>15.24145751340717</v>
      </c>
      <c r="AA691">
        <f t="shared" si="334"/>
        <v>5028566.841275759</v>
      </c>
      <c r="AB691" s="10">
        <f t="shared" si="335"/>
        <v>5.0285668412757589</v>
      </c>
      <c r="AC691" s="10">
        <f t="shared" si="336"/>
        <v>4.9275668412757589</v>
      </c>
      <c r="AD691" s="3">
        <f t="shared" si="337"/>
        <v>714.65799003274242</v>
      </c>
      <c r="AI691" s="94">
        <f t="shared" si="338"/>
        <v>0.44734309516334825</v>
      </c>
    </row>
    <row r="692" spans="2:35">
      <c r="B692" s="39">
        <f t="shared" si="339"/>
        <v>664</v>
      </c>
      <c r="C692" s="42">
        <f t="shared" si="340"/>
        <v>4.4107434052711714</v>
      </c>
      <c r="D692" s="10">
        <f t="shared" si="341"/>
        <v>1.1292565947282398</v>
      </c>
      <c r="E692" s="40">
        <f t="shared" si="342"/>
        <v>28.821486810543519</v>
      </c>
      <c r="F692" s="40">
        <f t="shared" si="343"/>
        <v>31.08</v>
      </c>
      <c r="G692" s="3">
        <f t="shared" si="344"/>
        <v>191.11405275783537</v>
      </c>
      <c r="H692" s="3">
        <f t="shared" si="345"/>
        <v>81.256230789298584</v>
      </c>
      <c r="I692">
        <f t="shared" si="330"/>
        <v>8.1256230789298584E-5</v>
      </c>
      <c r="J692" s="4">
        <f t="shared" si="346"/>
        <v>652.41305566197855</v>
      </c>
      <c r="K692" s="40">
        <f t="shared" si="347"/>
        <v>8.0290834231988661</v>
      </c>
      <c r="L692" s="40">
        <f t="shared" si="331"/>
        <v>0</v>
      </c>
      <c r="M692" s="10">
        <f t="shared" si="348"/>
        <v>5.0285668412757589</v>
      </c>
      <c r="N692" s="10">
        <f t="shared" si="327"/>
        <v>8.26</v>
      </c>
      <c r="O692" s="10">
        <f t="shared" si="328"/>
        <v>0.31900000000000001</v>
      </c>
      <c r="P692" s="10">
        <f t="shared" si="349"/>
        <v>13.827407306856031</v>
      </c>
      <c r="Q692" s="42">
        <f t="shared" si="350"/>
        <v>0.32139415701504276</v>
      </c>
      <c r="R692" s="4">
        <f t="shared" si="351"/>
        <v>20306.858229522979</v>
      </c>
      <c r="S692">
        <f t="shared" si="332"/>
        <v>2.030685822952298E-5</v>
      </c>
      <c r="T692" s="41">
        <f t="shared" si="333"/>
        <v>1.5949751381236086E-4</v>
      </c>
      <c r="U692" s="42">
        <f t="shared" si="352"/>
        <v>3.6441672435790461E-2</v>
      </c>
      <c r="V692" s="42">
        <f t="shared" si="353"/>
        <v>0.45050654323051553</v>
      </c>
      <c r="W692" s="42">
        <f t="shared" si="354"/>
        <v>0.44728947747803965</v>
      </c>
      <c r="X692" s="42">
        <f t="shared" si="355"/>
        <v>3.2170657524758783E-3</v>
      </c>
      <c r="Y692" s="42">
        <f t="shared" si="329"/>
        <v>2.430681933694358E-3</v>
      </c>
      <c r="Z692" s="10">
        <f t="shared" si="356"/>
        <v>15.239622710068746</v>
      </c>
      <c r="AA692">
        <f t="shared" si="334"/>
        <v>5027973.6489197975</v>
      </c>
      <c r="AB692" s="10">
        <f t="shared" si="335"/>
        <v>5.0279736489197973</v>
      </c>
      <c r="AC692" s="10">
        <f t="shared" si="336"/>
        <v>4.9269736489197973</v>
      </c>
      <c r="AD692" s="3">
        <f t="shared" si="337"/>
        <v>714.57195778387199</v>
      </c>
      <c r="AI692" s="94">
        <f t="shared" si="338"/>
        <v>0.44728947747803965</v>
      </c>
    </row>
    <row r="693" spans="2:35">
      <c r="B693" s="39">
        <f t="shared" si="339"/>
        <v>665</v>
      </c>
      <c r="C693" s="42">
        <f t="shared" si="340"/>
        <v>4.4173860911224834</v>
      </c>
      <c r="D693" s="10">
        <f t="shared" si="341"/>
        <v>1.1226139088769269</v>
      </c>
      <c r="E693" s="40">
        <f t="shared" si="342"/>
        <v>28.834772182246144</v>
      </c>
      <c r="F693" s="40">
        <f t="shared" si="343"/>
        <v>31.08</v>
      </c>
      <c r="G693" s="3">
        <f t="shared" si="344"/>
        <v>191.06091127102488</v>
      </c>
      <c r="H693" s="3">
        <f t="shared" si="345"/>
        <v>81.256230789298584</v>
      </c>
      <c r="I693">
        <f t="shared" si="330"/>
        <v>8.1256230789298584E-5</v>
      </c>
      <c r="J693" s="4">
        <f t="shared" si="346"/>
        <v>653.01465874198766</v>
      </c>
      <c r="K693" s="40">
        <f t="shared" si="347"/>
        <v>8.0364872010281516</v>
      </c>
      <c r="L693" s="40">
        <f t="shared" si="331"/>
        <v>0</v>
      </c>
      <c r="M693" s="10">
        <f t="shared" si="348"/>
        <v>5.0279736489197973</v>
      </c>
      <c r="N693" s="10">
        <f t="shared" si="327"/>
        <v>8.26</v>
      </c>
      <c r="O693" s="10">
        <f t="shared" si="328"/>
        <v>0.31900000000000001</v>
      </c>
      <c r="P693" s="10">
        <f t="shared" si="349"/>
        <v>13.826886951292119</v>
      </c>
      <c r="Q693" s="42">
        <f t="shared" si="350"/>
        <v>0.32187457504946454</v>
      </c>
      <c r="R693" s="4">
        <f t="shared" si="351"/>
        <v>20186.268838543863</v>
      </c>
      <c r="S693">
        <f t="shared" si="332"/>
        <v>2.0186268838543864E-5</v>
      </c>
      <c r="T693" s="41">
        <f t="shared" si="333"/>
        <v>1.5961810320333996E-4</v>
      </c>
      <c r="U693" s="42">
        <f t="shared" si="352"/>
        <v>3.6225268744208887E-2</v>
      </c>
      <c r="V693" s="42">
        <f t="shared" si="353"/>
        <v>0.45044872606006892</v>
      </c>
      <c r="W693" s="42">
        <f t="shared" si="354"/>
        <v>0.44723563169420993</v>
      </c>
      <c r="X693" s="42">
        <f t="shared" si="355"/>
        <v>3.2130943658589817E-3</v>
      </c>
      <c r="Y693" s="42">
        <f t="shared" si="329"/>
        <v>2.4322255621740158E-3</v>
      </c>
      <c r="Z693" s="10">
        <f t="shared" si="356"/>
        <v>15.237780134973576</v>
      </c>
      <c r="AA693">
        <f t="shared" si="334"/>
        <v>5027377.9439530289</v>
      </c>
      <c r="AB693" s="10">
        <f t="shared" si="335"/>
        <v>5.0273779439530291</v>
      </c>
      <c r="AC693" s="10">
        <f t="shared" si="336"/>
        <v>4.9263779439530291</v>
      </c>
      <c r="AD693" s="3">
        <f t="shared" si="337"/>
        <v>714.48556112444214</v>
      </c>
      <c r="AI693" s="94">
        <f t="shared" si="338"/>
        <v>0.44723563169420993</v>
      </c>
    </row>
    <row r="694" spans="2:35">
      <c r="B694" s="39">
        <f t="shared" si="339"/>
        <v>666</v>
      </c>
      <c r="C694" s="42">
        <f t="shared" si="340"/>
        <v>4.4240287769737954</v>
      </c>
      <c r="D694" s="10">
        <f t="shared" si="341"/>
        <v>1.115971223025614</v>
      </c>
      <c r="E694" s="40">
        <f t="shared" si="342"/>
        <v>28.84805755394877</v>
      </c>
      <c r="F694" s="40">
        <f t="shared" si="343"/>
        <v>31.08</v>
      </c>
      <c r="G694" s="3">
        <f t="shared" si="344"/>
        <v>191.00776978421439</v>
      </c>
      <c r="H694" s="3">
        <f t="shared" si="345"/>
        <v>81.256230789298584</v>
      </c>
      <c r="I694">
        <f t="shared" si="330"/>
        <v>8.1256230789298584E-5</v>
      </c>
      <c r="J694" s="4">
        <f t="shared" si="346"/>
        <v>653.61653906927836</v>
      </c>
      <c r="K694" s="40">
        <f t="shared" si="347"/>
        <v>8.0438943908700153</v>
      </c>
      <c r="L694" s="40">
        <f t="shared" si="331"/>
        <v>0</v>
      </c>
      <c r="M694" s="10">
        <f t="shared" si="348"/>
        <v>5.0273779439530291</v>
      </c>
      <c r="N694" s="10">
        <f t="shared" si="327"/>
        <v>8.26</v>
      </c>
      <c r="O694" s="10">
        <f t="shared" si="328"/>
        <v>0.31900000000000001</v>
      </c>
      <c r="P694" s="10">
        <f t="shared" si="349"/>
        <v>13.826364349560595</v>
      </c>
      <c r="Q694" s="42">
        <f t="shared" si="350"/>
        <v>0.32235501124247745</v>
      </c>
      <c r="R694" s="4">
        <f t="shared" si="351"/>
        <v>20065.690431344094</v>
      </c>
      <c r="S694">
        <f t="shared" si="332"/>
        <v>2.0065690431344094E-5</v>
      </c>
      <c r="T694" s="41">
        <f t="shared" si="333"/>
        <v>1.5973868161053975E-4</v>
      </c>
      <c r="U694" s="42">
        <f t="shared" si="352"/>
        <v>3.600888476356854E-2</v>
      </c>
      <c r="V694" s="42">
        <f t="shared" si="353"/>
        <v>0.45039067369874825</v>
      </c>
      <c r="W694" s="42">
        <f t="shared" si="354"/>
        <v>0.44718155783343844</v>
      </c>
      <c r="X694" s="42">
        <f t="shared" si="355"/>
        <v>3.2091158653098084E-3</v>
      </c>
      <c r="Y694" s="42">
        <f t="shared" si="329"/>
        <v>2.4337673375832824E-3</v>
      </c>
      <c r="Z694" s="10">
        <f t="shared" si="356"/>
        <v>15.235929788860231</v>
      </c>
      <c r="AA694">
        <f t="shared" si="334"/>
        <v>5026779.7266142359</v>
      </c>
      <c r="AB694" s="10">
        <f t="shared" si="335"/>
        <v>5.0267797266142358</v>
      </c>
      <c r="AC694" s="10">
        <f t="shared" si="336"/>
        <v>4.9257797266142358</v>
      </c>
      <c r="AD694" s="3">
        <f t="shared" si="337"/>
        <v>714.39880008908426</v>
      </c>
      <c r="AI694" s="94">
        <f t="shared" si="338"/>
        <v>0.44718155783343844</v>
      </c>
    </row>
    <row r="695" spans="2:35">
      <c r="B695" s="39">
        <f t="shared" si="339"/>
        <v>667</v>
      </c>
      <c r="C695" s="42">
        <f t="shared" si="340"/>
        <v>4.4306714628251074</v>
      </c>
      <c r="D695" s="10">
        <f t="shared" si="341"/>
        <v>1.1093285371743011</v>
      </c>
      <c r="E695" s="40">
        <f t="shared" si="342"/>
        <v>28.861342925651396</v>
      </c>
      <c r="F695" s="40">
        <f t="shared" si="343"/>
        <v>31.08</v>
      </c>
      <c r="G695" s="3">
        <f t="shared" si="344"/>
        <v>190.9546282974039</v>
      </c>
      <c r="H695" s="3">
        <f t="shared" si="345"/>
        <v>81.256230789298584</v>
      </c>
      <c r="I695">
        <f t="shared" si="330"/>
        <v>8.1256230789298584E-5</v>
      </c>
      <c r="J695" s="4">
        <f t="shared" si="346"/>
        <v>654.21869664385065</v>
      </c>
      <c r="K695" s="40">
        <f t="shared" si="347"/>
        <v>8.0513049927244591</v>
      </c>
      <c r="L695" s="40">
        <f t="shared" si="331"/>
        <v>0</v>
      </c>
      <c r="M695" s="10">
        <f t="shared" si="348"/>
        <v>5.0267797266142358</v>
      </c>
      <c r="N695" s="10">
        <f t="shared" si="327"/>
        <v>8.26</v>
      </c>
      <c r="O695" s="10">
        <f t="shared" si="328"/>
        <v>0.31900000000000001</v>
      </c>
      <c r="P695" s="10">
        <f t="shared" si="349"/>
        <v>13.825839501328998</v>
      </c>
      <c r="Q695" s="42">
        <f t="shared" si="350"/>
        <v>0.32283546567352112</v>
      </c>
      <c r="R695" s="4">
        <f t="shared" si="351"/>
        <v>19945.123052123687</v>
      </c>
      <c r="S695">
        <f t="shared" si="332"/>
        <v>1.9945123052123686E-5</v>
      </c>
      <c r="T695" s="41">
        <f t="shared" si="333"/>
        <v>1.5985924898976014E-4</v>
      </c>
      <c r="U695" s="42">
        <f t="shared" si="352"/>
        <v>3.579252057318856E-2</v>
      </c>
      <c r="V695" s="42">
        <f t="shared" si="353"/>
        <v>0.45033238617444626</v>
      </c>
      <c r="W695" s="42">
        <f t="shared" si="354"/>
        <v>0.44712725591740043</v>
      </c>
      <c r="X695" s="42">
        <f t="shared" si="355"/>
        <v>3.2051302570458295E-3</v>
      </c>
      <c r="Y695" s="42">
        <f t="shared" si="329"/>
        <v>2.4353072566173522E-3</v>
      </c>
      <c r="Z695" s="10">
        <f t="shared" si="356"/>
        <v>15.234071672470742</v>
      </c>
      <c r="AA695">
        <f t="shared" si="334"/>
        <v>5026178.9971433161</v>
      </c>
      <c r="AB695" s="10">
        <f t="shared" si="335"/>
        <v>5.0261789971433162</v>
      </c>
      <c r="AC695" s="10">
        <f t="shared" si="336"/>
        <v>4.9251789971433162</v>
      </c>
      <c r="AD695" s="3">
        <f t="shared" si="337"/>
        <v>714.31167471259118</v>
      </c>
      <c r="AI695" s="94">
        <f t="shared" si="338"/>
        <v>0.44712725591740043</v>
      </c>
    </row>
    <row r="696" spans="2:35">
      <c r="B696" s="39">
        <f t="shared" si="339"/>
        <v>668</v>
      </c>
      <c r="C696" s="42">
        <f t="shared" si="340"/>
        <v>4.4373141486764194</v>
      </c>
      <c r="D696" s="10">
        <f t="shared" si="341"/>
        <v>1.1026858513229882</v>
      </c>
      <c r="E696" s="40">
        <f t="shared" si="342"/>
        <v>28.874628297354022</v>
      </c>
      <c r="F696" s="40">
        <f t="shared" si="343"/>
        <v>31.08</v>
      </c>
      <c r="G696" s="3">
        <f t="shared" si="344"/>
        <v>190.90148681059341</v>
      </c>
      <c r="H696" s="3">
        <f t="shared" si="345"/>
        <v>81.256230789298584</v>
      </c>
      <c r="I696">
        <f t="shared" si="330"/>
        <v>8.1256230789298584E-5</v>
      </c>
      <c r="J696" s="4">
        <f t="shared" si="346"/>
        <v>654.82113146570441</v>
      </c>
      <c r="K696" s="40">
        <f t="shared" si="347"/>
        <v>8.0587190065914811</v>
      </c>
      <c r="L696" s="40">
        <f t="shared" si="331"/>
        <v>0</v>
      </c>
      <c r="M696" s="10">
        <f t="shared" si="348"/>
        <v>5.0261789971433162</v>
      </c>
      <c r="N696" s="10">
        <f t="shared" si="327"/>
        <v>8.26</v>
      </c>
      <c r="O696" s="10">
        <f t="shared" si="328"/>
        <v>0.31900000000000001</v>
      </c>
      <c r="P696" s="10">
        <f t="shared" si="349"/>
        <v>13.82531240626343</v>
      </c>
      <c r="Q696" s="42">
        <f t="shared" si="350"/>
        <v>0.32331593842206474</v>
      </c>
      <c r="R696" s="4">
        <f t="shared" si="351"/>
        <v>19824.566745082626</v>
      </c>
      <c r="S696">
        <f t="shared" si="332"/>
        <v>1.9824566745082625E-5</v>
      </c>
      <c r="T696" s="41">
        <f t="shared" si="333"/>
        <v>1.599798052968012E-4</v>
      </c>
      <c r="U696" s="42">
        <f t="shared" si="352"/>
        <v>3.5576176252388021E-2</v>
      </c>
      <c r="V696" s="42">
        <f t="shared" si="353"/>
        <v>0.45027386351527016</v>
      </c>
      <c r="W696" s="42">
        <f t="shared" si="354"/>
        <v>0.4470727259678719</v>
      </c>
      <c r="X696" s="42">
        <f t="shared" si="355"/>
        <v>3.2011375473982584E-3</v>
      </c>
      <c r="Y696" s="42">
        <f t="shared" si="329"/>
        <v>2.4368453159732168E-3</v>
      </c>
      <c r="Z696" s="10">
        <f t="shared" si="356"/>
        <v>15.232205786550869</v>
      </c>
      <c r="AA696">
        <f t="shared" si="334"/>
        <v>5025575.7557813739</v>
      </c>
      <c r="AB696" s="10">
        <f t="shared" si="335"/>
        <v>5.0255757557813743</v>
      </c>
      <c r="AC696" s="10">
        <f t="shared" si="336"/>
        <v>4.9245757557813743</v>
      </c>
      <c r="AD696" s="3">
        <f t="shared" si="337"/>
        <v>714.22418502993094</v>
      </c>
      <c r="AI696" s="94">
        <f t="shared" si="338"/>
        <v>0.4470727259678719</v>
      </c>
    </row>
    <row r="697" spans="2:35">
      <c r="B697" s="39">
        <f t="shared" si="339"/>
        <v>669</v>
      </c>
      <c r="C697" s="42">
        <f t="shared" si="340"/>
        <v>4.4439568345277314</v>
      </c>
      <c r="D697" s="10">
        <f t="shared" si="341"/>
        <v>1.0960431654716754</v>
      </c>
      <c r="E697" s="40">
        <f t="shared" si="342"/>
        <v>28.887913669056648</v>
      </c>
      <c r="F697" s="40">
        <f t="shared" si="343"/>
        <v>31.08</v>
      </c>
      <c r="G697" s="3">
        <f t="shared" si="344"/>
        <v>190.84834532378292</v>
      </c>
      <c r="H697" s="3">
        <f t="shared" si="345"/>
        <v>81.256230789298584</v>
      </c>
      <c r="I697">
        <f t="shared" si="330"/>
        <v>8.1256230789298584E-5</v>
      </c>
      <c r="J697" s="4">
        <f t="shared" si="346"/>
        <v>655.42384353483976</v>
      </c>
      <c r="K697" s="40">
        <f t="shared" si="347"/>
        <v>8.0661364324710814</v>
      </c>
      <c r="L697" s="40">
        <f t="shared" si="331"/>
        <v>0</v>
      </c>
      <c r="M697" s="10">
        <f t="shared" si="348"/>
        <v>5.0255757557813743</v>
      </c>
      <c r="N697" s="10">
        <f t="shared" si="327"/>
        <v>8.26</v>
      </c>
      <c r="O697" s="10">
        <f t="shared" si="328"/>
        <v>0.31900000000000001</v>
      </c>
      <c r="P697" s="10">
        <f t="shared" si="349"/>
        <v>13.82478306402866</v>
      </c>
      <c r="Q697" s="42">
        <f t="shared" si="350"/>
        <v>0.32379642956760729</v>
      </c>
      <c r="R697" s="4">
        <f t="shared" si="351"/>
        <v>19704.021554420924</v>
      </c>
      <c r="S697">
        <f t="shared" si="332"/>
        <v>1.9704021554420923E-5</v>
      </c>
      <c r="T697" s="41">
        <f t="shared" si="333"/>
        <v>1.6010035048746291E-4</v>
      </c>
      <c r="U697" s="42">
        <f t="shared" si="352"/>
        <v>3.5359851880486064E-2</v>
      </c>
      <c r="V697" s="42">
        <f t="shared" si="353"/>
        <v>0.45021510574912554</v>
      </c>
      <c r="W697" s="42">
        <f t="shared" si="354"/>
        <v>0.4470179680067386</v>
      </c>
      <c r="X697" s="42">
        <f t="shared" si="355"/>
        <v>3.1971377423869463E-3</v>
      </c>
      <c r="Y697" s="42">
        <f t="shared" si="329"/>
        <v>2.4383815123495134E-3</v>
      </c>
      <c r="Z697" s="10">
        <f t="shared" si="356"/>
        <v>15.230332131849128</v>
      </c>
      <c r="AA697">
        <f t="shared" si="334"/>
        <v>5024970.0027704043</v>
      </c>
      <c r="AB697" s="10">
        <f t="shared" si="335"/>
        <v>5.0249700027704041</v>
      </c>
      <c r="AC697" s="10">
        <f t="shared" si="336"/>
        <v>4.9239700027704041</v>
      </c>
      <c r="AD697" s="3">
        <f t="shared" si="337"/>
        <v>714.1363310762008</v>
      </c>
      <c r="AI697" s="94">
        <f t="shared" si="338"/>
        <v>0.4470179680067386</v>
      </c>
    </row>
    <row r="698" spans="2:35">
      <c r="B698" s="39">
        <f t="shared" si="339"/>
        <v>670</v>
      </c>
      <c r="C698" s="42">
        <f t="shared" si="340"/>
        <v>4.4505995203790434</v>
      </c>
      <c r="D698" s="10">
        <f t="shared" si="341"/>
        <v>1.0894004796203625</v>
      </c>
      <c r="E698" s="40">
        <f t="shared" si="342"/>
        <v>28.901199040759273</v>
      </c>
      <c r="F698" s="40">
        <f t="shared" si="343"/>
        <v>31.08</v>
      </c>
      <c r="G698" s="3">
        <f t="shared" si="344"/>
        <v>190.79520383697243</v>
      </c>
      <c r="H698" s="3">
        <f t="shared" si="345"/>
        <v>81.256230789298584</v>
      </c>
      <c r="I698">
        <f t="shared" si="330"/>
        <v>8.1256230789298584E-5</v>
      </c>
      <c r="J698" s="4">
        <f t="shared" si="346"/>
        <v>656.0268328512567</v>
      </c>
      <c r="K698" s="40">
        <f t="shared" si="347"/>
        <v>8.0735572703632617</v>
      </c>
      <c r="L698" s="40">
        <f t="shared" si="331"/>
        <v>0</v>
      </c>
      <c r="M698" s="10">
        <f t="shared" si="348"/>
        <v>5.0249700027704041</v>
      </c>
      <c r="N698" s="10">
        <f t="shared" si="327"/>
        <v>8.26</v>
      </c>
      <c r="O698" s="10">
        <f t="shared" si="328"/>
        <v>0.31900000000000001</v>
      </c>
      <c r="P698" s="10">
        <f t="shared" si="349"/>
        <v>13.824251474287836</v>
      </c>
      <c r="Q698" s="42">
        <f t="shared" si="350"/>
        <v>0.32427693918967737</v>
      </c>
      <c r="R698" s="4">
        <f t="shared" si="351"/>
        <v>19583.487524338547</v>
      </c>
      <c r="S698">
        <f t="shared" si="332"/>
        <v>1.9583487524338545E-5</v>
      </c>
      <c r="T698" s="41">
        <f t="shared" si="333"/>
        <v>1.6022088451754529E-4</v>
      </c>
      <c r="U698" s="42">
        <f t="shared" si="352"/>
        <v>3.5143547536801739E-2</v>
      </c>
      <c r="V698" s="42">
        <f t="shared" si="353"/>
        <v>0.45015611290459784</v>
      </c>
      <c r="W698" s="42">
        <f t="shared" si="354"/>
        <v>0.44696298205596713</v>
      </c>
      <c r="X698" s="42">
        <f t="shared" si="355"/>
        <v>3.1931308486307097E-3</v>
      </c>
      <c r="Y698" s="42">
        <f t="shared" si="329"/>
        <v>2.4399158424468093E-3</v>
      </c>
      <c r="Z698" s="10">
        <f t="shared" si="356"/>
        <v>15.228450709118523</v>
      </c>
      <c r="AA698">
        <f t="shared" si="334"/>
        <v>5024361.7383538559</v>
      </c>
      <c r="AB698" s="10">
        <f t="shared" si="335"/>
        <v>5.0243617383538561</v>
      </c>
      <c r="AC698" s="10">
        <f t="shared" si="336"/>
        <v>4.9233617383538562</v>
      </c>
      <c r="AD698" s="3">
        <f t="shared" si="337"/>
        <v>714.04811288670862</v>
      </c>
      <c r="AI698" s="94">
        <f t="shared" si="338"/>
        <v>0.44696298205596713</v>
      </c>
    </row>
    <row r="699" spans="2:35">
      <c r="B699" s="39">
        <f t="shared" si="339"/>
        <v>671</v>
      </c>
      <c r="C699" s="42">
        <f t="shared" si="340"/>
        <v>4.4572422062303554</v>
      </c>
      <c r="D699" s="10">
        <f t="shared" si="341"/>
        <v>1.0827577937690496</v>
      </c>
      <c r="E699" s="40">
        <f t="shared" si="342"/>
        <v>28.914484412461899</v>
      </c>
      <c r="F699" s="40">
        <f t="shared" si="343"/>
        <v>31.08</v>
      </c>
      <c r="G699" s="3">
        <f t="shared" si="344"/>
        <v>190.74206235016194</v>
      </c>
      <c r="H699" s="3">
        <f t="shared" si="345"/>
        <v>81.256230789298584</v>
      </c>
      <c r="I699">
        <f t="shared" si="330"/>
        <v>8.1256230789298584E-5</v>
      </c>
      <c r="J699" s="4">
        <f t="shared" si="346"/>
        <v>656.63009941495511</v>
      </c>
      <c r="K699" s="40">
        <f t="shared" si="347"/>
        <v>8.0809815202680202</v>
      </c>
      <c r="L699" s="40">
        <f t="shared" si="331"/>
        <v>0</v>
      </c>
      <c r="M699" s="10">
        <f t="shared" si="348"/>
        <v>5.0243617383538561</v>
      </c>
      <c r="N699" s="10">
        <f t="shared" si="327"/>
        <v>8.26</v>
      </c>
      <c r="O699" s="10">
        <f t="shared" si="328"/>
        <v>0.31900000000000001</v>
      </c>
      <c r="P699" s="10">
        <f t="shared" si="349"/>
        <v>13.82371763670298</v>
      </c>
      <c r="Q699" s="42">
        <f t="shared" si="350"/>
        <v>0.32475746736783367</v>
      </c>
      <c r="R699" s="4">
        <f t="shared" si="351"/>
        <v>19462.964699035529</v>
      </c>
      <c r="S699">
        <f t="shared" si="332"/>
        <v>1.946296469903553E-5</v>
      </c>
      <c r="T699" s="41">
        <f t="shared" si="333"/>
        <v>1.603414073428483E-4</v>
      </c>
      <c r="U699" s="42">
        <f t="shared" si="352"/>
        <v>3.4927263300654203E-2</v>
      </c>
      <c r="V699" s="42">
        <f t="shared" si="353"/>
        <v>0.4500968850096958</v>
      </c>
      <c r="W699" s="42">
        <f t="shared" si="354"/>
        <v>0.44690776813765609</v>
      </c>
      <c r="X699" s="42">
        <f t="shared" si="355"/>
        <v>3.1891168720397101E-3</v>
      </c>
      <c r="Y699" s="42">
        <f t="shared" si="329"/>
        <v>2.4414483029672582E-3</v>
      </c>
      <c r="Z699" s="10">
        <f t="shared" si="356"/>
        <v>15.226561519114382</v>
      </c>
      <c r="AA699">
        <f t="shared" si="334"/>
        <v>5023750.9627759242</v>
      </c>
      <c r="AB699" s="10">
        <f t="shared" si="335"/>
        <v>5.0237509627759245</v>
      </c>
      <c r="AC699" s="10">
        <f t="shared" si="336"/>
        <v>4.9227509627759245</v>
      </c>
      <c r="AD699" s="3">
        <f t="shared" si="337"/>
        <v>713.9595304968708</v>
      </c>
      <c r="AI699" s="94">
        <f t="shared" si="338"/>
        <v>0.44690776813765609</v>
      </c>
    </row>
    <row r="700" spans="2:35">
      <c r="B700" s="39">
        <f t="shared" si="339"/>
        <v>672</v>
      </c>
      <c r="C700" s="42">
        <f t="shared" si="340"/>
        <v>4.4638848920816674</v>
      </c>
      <c r="D700" s="10">
        <f t="shared" si="341"/>
        <v>1.0761151079177367</v>
      </c>
      <c r="E700" s="40">
        <f t="shared" si="342"/>
        <v>28.927769784164525</v>
      </c>
      <c r="F700" s="40">
        <f t="shared" si="343"/>
        <v>31.08</v>
      </c>
      <c r="G700" s="3">
        <f t="shared" si="344"/>
        <v>190.68892086335146</v>
      </c>
      <c r="H700" s="3">
        <f t="shared" si="345"/>
        <v>81.256230789298584</v>
      </c>
      <c r="I700">
        <f t="shared" si="330"/>
        <v>8.1256230789298584E-5</v>
      </c>
      <c r="J700" s="4">
        <f t="shared" si="346"/>
        <v>657.23364322593511</v>
      </c>
      <c r="K700" s="40">
        <f t="shared" si="347"/>
        <v>8.0884091821853552</v>
      </c>
      <c r="L700" s="40">
        <f t="shared" si="331"/>
        <v>0</v>
      </c>
      <c r="M700" s="10">
        <f t="shared" si="348"/>
        <v>5.0237509627759245</v>
      </c>
      <c r="N700" s="10">
        <f t="shared" si="327"/>
        <v>8.26</v>
      </c>
      <c r="O700" s="10">
        <f t="shared" si="328"/>
        <v>0.31900000000000001</v>
      </c>
      <c r="P700" s="10">
        <f t="shared" si="349"/>
        <v>13.823181550934363</v>
      </c>
      <c r="Q700" s="42">
        <f t="shared" si="350"/>
        <v>0.32523801418166487</v>
      </c>
      <c r="R700" s="4">
        <f t="shared" si="351"/>
        <v>19342.453122711864</v>
      </c>
      <c r="S700">
        <f t="shared" si="332"/>
        <v>1.9342453122711863E-5</v>
      </c>
      <c r="T700" s="41">
        <f t="shared" si="333"/>
        <v>1.6046191891917196E-4</v>
      </c>
      <c r="U700" s="42">
        <f t="shared" si="352"/>
        <v>3.4710999251362576E-2</v>
      </c>
      <c r="V700" s="42">
        <f t="shared" si="353"/>
        <v>0.45003742209306485</v>
      </c>
      <c r="W700" s="42">
        <f t="shared" si="354"/>
        <v>0.44685232627397176</v>
      </c>
      <c r="X700" s="42">
        <f t="shared" si="355"/>
        <v>3.1850958190930978E-3</v>
      </c>
      <c r="Y700" s="42">
        <f t="shared" si="329"/>
        <v>2.4429788906148706E-3</v>
      </c>
      <c r="Z700" s="10">
        <f t="shared" si="356"/>
        <v>15.224664562596004</v>
      </c>
      <c r="AA700">
        <f t="shared" si="334"/>
        <v>5023137.6762820911</v>
      </c>
      <c r="AB700" s="10">
        <f t="shared" si="335"/>
        <v>5.023137676282091</v>
      </c>
      <c r="AC700" s="10">
        <f t="shared" si="336"/>
        <v>4.922137676282091</v>
      </c>
      <c r="AD700" s="3">
        <f t="shared" si="337"/>
        <v>713.87058394229018</v>
      </c>
      <c r="AI700" s="94">
        <f t="shared" si="338"/>
        <v>0.44685232627397176</v>
      </c>
    </row>
    <row r="701" spans="2:35">
      <c r="B701" s="39">
        <f t="shared" si="339"/>
        <v>673</v>
      </c>
      <c r="C701" s="42">
        <f t="shared" si="340"/>
        <v>4.4705275779329794</v>
      </c>
      <c r="D701" s="10">
        <f t="shared" si="341"/>
        <v>1.0694724220664238</v>
      </c>
      <c r="E701" s="40">
        <f t="shared" si="342"/>
        <v>28.941055155867151</v>
      </c>
      <c r="F701" s="40">
        <f t="shared" si="343"/>
        <v>31.08</v>
      </c>
      <c r="G701" s="3">
        <f t="shared" si="344"/>
        <v>190.63577937654097</v>
      </c>
      <c r="H701" s="3">
        <f t="shared" si="345"/>
        <v>81.256230789298584</v>
      </c>
      <c r="I701">
        <f t="shared" si="330"/>
        <v>8.1256230789298584E-5</v>
      </c>
      <c r="J701" s="4">
        <f t="shared" si="346"/>
        <v>657.83746428419681</v>
      </c>
      <c r="K701" s="40">
        <f t="shared" si="347"/>
        <v>8.0958402561152738</v>
      </c>
      <c r="L701" s="40">
        <f t="shared" si="331"/>
        <v>0</v>
      </c>
      <c r="M701" s="10">
        <f t="shared" si="348"/>
        <v>5.023137676282091</v>
      </c>
      <c r="N701" s="10">
        <f t="shared" si="327"/>
        <v>8.26</v>
      </c>
      <c r="O701" s="10">
        <f t="shared" si="328"/>
        <v>0.31900000000000001</v>
      </c>
      <c r="P701" s="10">
        <f t="shared" si="349"/>
        <v>13.822643216640987</v>
      </c>
      <c r="Q701" s="42">
        <f t="shared" si="350"/>
        <v>0.32571857971078993</v>
      </c>
      <c r="R701" s="4">
        <f t="shared" si="351"/>
        <v>19221.952839567515</v>
      </c>
      <c r="S701">
        <f t="shared" si="332"/>
        <v>1.9221952839567516E-5</v>
      </c>
      <c r="T701" s="41">
        <f t="shared" si="333"/>
        <v>1.6058241920231632E-4</v>
      </c>
      <c r="U701" s="42">
        <f t="shared" si="352"/>
        <v>3.4494755468245882E-2</v>
      </c>
      <c r="V701" s="42">
        <f t="shared" si="353"/>
        <v>0.44997772418341253</v>
      </c>
      <c r="W701" s="42">
        <f t="shared" si="354"/>
        <v>0.4467966564871973</v>
      </c>
      <c r="X701" s="42">
        <f t="shared" si="355"/>
        <v>3.181067696215234E-3</v>
      </c>
      <c r="Y701" s="42">
        <f t="shared" si="329"/>
        <v>2.4445076020954849E-3</v>
      </c>
      <c r="Z701" s="10">
        <f t="shared" si="356"/>
        <v>15.222759840326431</v>
      </c>
      <c r="AA701">
        <f t="shared" si="334"/>
        <v>5022521.8791190479</v>
      </c>
      <c r="AB701" s="10">
        <f t="shared" si="335"/>
        <v>5.022521879119048</v>
      </c>
      <c r="AC701" s="10">
        <f t="shared" si="336"/>
        <v>4.921521879119048</v>
      </c>
      <c r="AD701" s="3">
        <f t="shared" si="337"/>
        <v>713.78127325874516</v>
      </c>
      <c r="AI701" s="94">
        <f t="shared" si="338"/>
        <v>0.4467966564871973</v>
      </c>
    </row>
    <row r="702" spans="2:35">
      <c r="B702" s="39">
        <f t="shared" si="339"/>
        <v>674</v>
      </c>
      <c r="C702" s="42">
        <f t="shared" si="340"/>
        <v>4.4771702637842914</v>
      </c>
      <c r="D702" s="10">
        <f t="shared" si="341"/>
        <v>1.0628297362151109</v>
      </c>
      <c r="E702" s="40">
        <f t="shared" si="342"/>
        <v>28.954340527569776</v>
      </c>
      <c r="F702" s="40">
        <f t="shared" si="343"/>
        <v>31.08</v>
      </c>
      <c r="G702" s="3">
        <f t="shared" si="344"/>
        <v>190.58263788973048</v>
      </c>
      <c r="H702" s="3">
        <f t="shared" si="345"/>
        <v>81.256230789298584</v>
      </c>
      <c r="I702">
        <f t="shared" si="330"/>
        <v>8.1256230789298584E-5</v>
      </c>
      <c r="J702" s="4">
        <f t="shared" si="346"/>
        <v>658.44156258973999</v>
      </c>
      <c r="K702" s="40">
        <f t="shared" si="347"/>
        <v>8.1032747420577689</v>
      </c>
      <c r="L702" s="40">
        <f t="shared" si="331"/>
        <v>0</v>
      </c>
      <c r="M702" s="10">
        <f t="shared" si="348"/>
        <v>5.022521879119048</v>
      </c>
      <c r="N702" s="10">
        <f t="shared" si="327"/>
        <v>8.26</v>
      </c>
      <c r="O702" s="10">
        <f t="shared" si="328"/>
        <v>0.31900000000000001</v>
      </c>
      <c r="P702" s="10">
        <f t="shared" si="349"/>
        <v>13.822102633480498</v>
      </c>
      <c r="Q702" s="42">
        <f t="shared" si="350"/>
        <v>0.3261991640348581</v>
      </c>
      <c r="R702" s="4">
        <f t="shared" si="351"/>
        <v>19101.46389380252</v>
      </c>
      <c r="S702">
        <f t="shared" si="332"/>
        <v>1.9101463893802521E-5</v>
      </c>
      <c r="T702" s="41">
        <f t="shared" si="333"/>
        <v>1.6070290814808132E-4</v>
      </c>
      <c r="U702" s="42">
        <f t="shared" si="352"/>
        <v>3.427853203062331E-2</v>
      </c>
      <c r="V702" s="42">
        <f t="shared" si="353"/>
        <v>0.44991779130919374</v>
      </c>
      <c r="W702" s="42">
        <f t="shared" si="354"/>
        <v>0.44674075879972547</v>
      </c>
      <c r="X702" s="42">
        <f t="shared" si="355"/>
        <v>3.1770325094682694E-3</v>
      </c>
      <c r="Y702" s="42">
        <f t="shared" si="329"/>
        <v>2.4460344341165905E-3</v>
      </c>
      <c r="Z702" s="10">
        <f t="shared" si="356"/>
        <v>15.220847353071342</v>
      </c>
      <c r="AA702">
        <f t="shared" si="334"/>
        <v>5021903.5715343412</v>
      </c>
      <c r="AB702" s="10">
        <f t="shared" si="335"/>
        <v>5.0219035715343416</v>
      </c>
      <c r="AC702" s="10">
        <f t="shared" si="336"/>
        <v>4.9209035715343417</v>
      </c>
      <c r="AD702" s="3">
        <f t="shared" si="337"/>
        <v>713.69159848213792</v>
      </c>
      <c r="AI702" s="94">
        <f t="shared" si="338"/>
        <v>0.44674075879972547</v>
      </c>
    </row>
    <row r="703" spans="2:35">
      <c r="B703" s="39">
        <f t="shared" si="339"/>
        <v>675</v>
      </c>
      <c r="C703" s="42">
        <f t="shared" si="340"/>
        <v>4.4838129496356034</v>
      </c>
      <c r="D703" s="10">
        <f t="shared" si="341"/>
        <v>1.056187050363798</v>
      </c>
      <c r="E703" s="40">
        <f t="shared" si="342"/>
        <v>28.967625899272402</v>
      </c>
      <c r="F703" s="40">
        <f t="shared" si="343"/>
        <v>31.08</v>
      </c>
      <c r="G703" s="3">
        <f t="shared" si="344"/>
        <v>190.52949640291999</v>
      </c>
      <c r="H703" s="3">
        <f t="shared" si="345"/>
        <v>81.256230789298584</v>
      </c>
      <c r="I703">
        <f t="shared" si="330"/>
        <v>8.1256230789298584E-5</v>
      </c>
      <c r="J703" s="4">
        <f t="shared" si="346"/>
        <v>659.04593814256464</v>
      </c>
      <c r="K703" s="40">
        <f t="shared" si="347"/>
        <v>8.1107126400128404</v>
      </c>
      <c r="L703" s="40">
        <f t="shared" si="331"/>
        <v>0</v>
      </c>
      <c r="M703" s="10">
        <f t="shared" si="348"/>
        <v>5.0219035715343416</v>
      </c>
      <c r="N703" s="10">
        <f t="shared" si="327"/>
        <v>8.26</v>
      </c>
      <c r="O703" s="10">
        <f t="shared" si="328"/>
        <v>0.31900000000000001</v>
      </c>
      <c r="P703" s="10">
        <f t="shared" si="349"/>
        <v>13.82155980110889</v>
      </c>
      <c r="Q703" s="42">
        <f t="shared" si="350"/>
        <v>0.32667976723354913</v>
      </c>
      <c r="R703" s="4">
        <f t="shared" si="351"/>
        <v>18980.986329616859</v>
      </c>
      <c r="S703">
        <f t="shared" si="332"/>
        <v>1.8980986329616859E-5</v>
      </c>
      <c r="T703" s="41">
        <f t="shared" si="333"/>
        <v>1.6082338571226696E-4</v>
      </c>
      <c r="U703" s="42">
        <f t="shared" si="352"/>
        <v>3.4062329017813926E-2</v>
      </c>
      <c r="V703" s="42">
        <f t="shared" si="353"/>
        <v>0.44985762349945424</v>
      </c>
      <c r="W703" s="42">
        <f t="shared" si="354"/>
        <v>0.44668463323402691</v>
      </c>
      <c r="X703" s="42">
        <f t="shared" si="355"/>
        <v>3.1729902654273334E-3</v>
      </c>
      <c r="Y703" s="42">
        <f t="shared" si="329"/>
        <v>2.4475593833875701E-3</v>
      </c>
      <c r="Z703" s="10">
        <f t="shared" si="356"/>
        <v>15.218927101600499</v>
      </c>
      <c r="AA703">
        <f t="shared" si="334"/>
        <v>5021282.7537768325</v>
      </c>
      <c r="AB703" s="10">
        <f t="shared" si="335"/>
        <v>5.0212827537768323</v>
      </c>
      <c r="AC703" s="10">
        <f t="shared" si="336"/>
        <v>4.9202827537768323</v>
      </c>
      <c r="AD703" s="3">
        <f t="shared" si="337"/>
        <v>713.60155964856165</v>
      </c>
      <c r="AI703" s="94">
        <f t="shared" si="338"/>
        <v>0.44668463323402691</v>
      </c>
    </row>
    <row r="704" spans="2:35">
      <c r="B704" s="39">
        <f t="shared" si="339"/>
        <v>676</v>
      </c>
      <c r="C704" s="42">
        <f t="shared" si="340"/>
        <v>4.4904556354869154</v>
      </c>
      <c r="D704" s="10">
        <f t="shared" si="341"/>
        <v>1.0495443645124851</v>
      </c>
      <c r="E704" s="40">
        <f t="shared" si="342"/>
        <v>28.980911270975028</v>
      </c>
      <c r="F704" s="40">
        <f t="shared" si="343"/>
        <v>31.08</v>
      </c>
      <c r="G704" s="3">
        <f t="shared" si="344"/>
        <v>190.4763549161095</v>
      </c>
      <c r="H704" s="3">
        <f t="shared" si="345"/>
        <v>81.256230789298584</v>
      </c>
      <c r="I704">
        <f t="shared" si="330"/>
        <v>8.1256230789298584E-5</v>
      </c>
      <c r="J704" s="4">
        <f t="shared" si="346"/>
        <v>659.65059094267087</v>
      </c>
      <c r="K704" s="40">
        <f t="shared" si="347"/>
        <v>8.1181539499804938</v>
      </c>
      <c r="L704" s="40">
        <f t="shared" si="331"/>
        <v>0</v>
      </c>
      <c r="M704" s="10">
        <f t="shared" si="348"/>
        <v>5.0212827537768323</v>
      </c>
      <c r="N704" s="10">
        <f t="shared" si="327"/>
        <v>8.26</v>
      </c>
      <c r="O704" s="10">
        <f t="shared" si="328"/>
        <v>0.31900000000000001</v>
      </c>
      <c r="P704" s="10">
        <f t="shared" si="349"/>
        <v>13.821014719180909</v>
      </c>
      <c r="Q704" s="42">
        <f t="shared" si="350"/>
        <v>0.32716038938657332</v>
      </c>
      <c r="R704" s="4">
        <f t="shared" si="351"/>
        <v>18860.52019121054</v>
      </c>
      <c r="S704">
        <f t="shared" si="332"/>
        <v>1.886052019121054E-5</v>
      </c>
      <c r="T704" s="41">
        <f t="shared" si="333"/>
        <v>1.6094385185067329E-4</v>
      </c>
      <c r="U704" s="42">
        <f t="shared" si="352"/>
        <v>3.3846146509136872E-2</v>
      </c>
      <c r="V704" s="42">
        <f t="shared" si="353"/>
        <v>0.4497972207830655</v>
      </c>
      <c r="W704" s="42">
        <f t="shared" si="354"/>
        <v>0.44662827981269138</v>
      </c>
      <c r="X704" s="42">
        <f t="shared" si="355"/>
        <v>3.1689409703741234E-3</v>
      </c>
      <c r="Y704" s="42">
        <f t="shared" si="329"/>
        <v>2.4490824466195577E-3</v>
      </c>
      <c r="Z704" s="10">
        <f t="shared" si="356"/>
        <v>15.216999086686842</v>
      </c>
      <c r="AA704">
        <f t="shared" si="334"/>
        <v>5020659.4260964142</v>
      </c>
      <c r="AB704" s="10">
        <f t="shared" si="335"/>
        <v>5.0206594260964144</v>
      </c>
      <c r="AC704" s="10">
        <f t="shared" si="336"/>
        <v>4.9196594260964144</v>
      </c>
      <c r="AD704" s="3">
        <f t="shared" si="337"/>
        <v>713.5111567942588</v>
      </c>
      <c r="AI704" s="94">
        <f t="shared" si="338"/>
        <v>0.44662827981269138</v>
      </c>
    </row>
    <row r="705" spans="2:35">
      <c r="B705" s="39">
        <f t="shared" si="339"/>
        <v>677</v>
      </c>
      <c r="C705" s="42">
        <f t="shared" si="340"/>
        <v>4.4970983213382274</v>
      </c>
      <c r="D705" s="10">
        <f t="shared" si="341"/>
        <v>1.0429016786611722</v>
      </c>
      <c r="E705" s="40">
        <f t="shared" si="342"/>
        <v>28.994196642677654</v>
      </c>
      <c r="F705" s="40">
        <f t="shared" si="343"/>
        <v>31.08</v>
      </c>
      <c r="G705" s="3">
        <f t="shared" si="344"/>
        <v>190.42321342929901</v>
      </c>
      <c r="H705" s="3">
        <f t="shared" si="345"/>
        <v>81.256230789298584</v>
      </c>
      <c r="I705">
        <f t="shared" si="330"/>
        <v>8.1256230789298584E-5</v>
      </c>
      <c r="J705" s="4">
        <f t="shared" si="346"/>
        <v>660.25552099005881</v>
      </c>
      <c r="K705" s="40">
        <f t="shared" si="347"/>
        <v>8.1255986719607254</v>
      </c>
      <c r="L705" s="40">
        <f t="shared" si="331"/>
        <v>0</v>
      </c>
      <c r="M705" s="10">
        <f t="shared" si="348"/>
        <v>5.0206594260964144</v>
      </c>
      <c r="N705" s="10">
        <f t="shared" si="327"/>
        <v>8.26</v>
      </c>
      <c r="O705" s="10">
        <f t="shared" si="328"/>
        <v>0.31900000000000001</v>
      </c>
      <c r="P705" s="10">
        <f t="shared" si="349"/>
        <v>13.820467387349785</v>
      </c>
      <c r="Q705" s="42">
        <f t="shared" si="350"/>
        <v>0.32764103057367183</v>
      </c>
      <c r="R705" s="4">
        <f t="shared" si="351"/>
        <v>18740.065522783541</v>
      </c>
      <c r="S705">
        <f t="shared" si="332"/>
        <v>1.8740065522783542E-5</v>
      </c>
      <c r="T705" s="41">
        <f t="shared" si="333"/>
        <v>1.6106430651910029E-4</v>
      </c>
      <c r="U705" s="42">
        <f t="shared" si="352"/>
        <v>3.3629984583911199E-2</v>
      </c>
      <c r="V705" s="42">
        <f t="shared" si="353"/>
        <v>0.44973658318917847</v>
      </c>
      <c r="W705" s="42">
        <f t="shared" si="354"/>
        <v>0.44657169855840245</v>
      </c>
      <c r="X705" s="42">
        <f t="shared" si="355"/>
        <v>3.1648846307760214E-3</v>
      </c>
      <c r="Y705" s="42">
        <f t="shared" si="329"/>
        <v>2.4506036205255237E-3</v>
      </c>
      <c r="Z705" s="10">
        <f t="shared" si="356"/>
        <v>15.215063309106984</v>
      </c>
      <c r="AA705">
        <f t="shared" si="334"/>
        <v>5020033.5887441663</v>
      </c>
      <c r="AB705" s="10">
        <f t="shared" si="335"/>
        <v>5.0200335887441661</v>
      </c>
      <c r="AC705" s="10">
        <f t="shared" si="336"/>
        <v>4.9190335887441661</v>
      </c>
      <c r="AD705" s="3">
        <f t="shared" si="337"/>
        <v>713.42038995564417</v>
      </c>
      <c r="AI705" s="94">
        <f t="shared" si="338"/>
        <v>0.44657169855840245</v>
      </c>
    </row>
    <row r="706" spans="2:35">
      <c r="B706" s="39">
        <f t="shared" si="339"/>
        <v>678</v>
      </c>
      <c r="C706" s="42">
        <f t="shared" si="340"/>
        <v>4.5037410071895394</v>
      </c>
      <c r="D706" s="10">
        <f t="shared" si="341"/>
        <v>1.0362589928098593</v>
      </c>
      <c r="E706" s="40">
        <f t="shared" si="342"/>
        <v>29.00748201438028</v>
      </c>
      <c r="F706" s="40">
        <f t="shared" si="343"/>
        <v>31.08</v>
      </c>
      <c r="G706" s="3">
        <f t="shared" si="344"/>
        <v>190.37007194248852</v>
      </c>
      <c r="H706" s="3">
        <f t="shared" si="345"/>
        <v>81.256230789298584</v>
      </c>
      <c r="I706">
        <f t="shared" si="330"/>
        <v>8.1256230789298584E-5</v>
      </c>
      <c r="J706" s="4">
        <f t="shared" si="346"/>
        <v>660.86072828472811</v>
      </c>
      <c r="K706" s="40">
        <f t="shared" si="347"/>
        <v>8.1330468059535352</v>
      </c>
      <c r="L706" s="40">
        <f t="shared" si="331"/>
        <v>0</v>
      </c>
      <c r="M706" s="10">
        <f t="shared" si="348"/>
        <v>5.0200335887441661</v>
      </c>
      <c r="N706" s="10">
        <f t="shared" si="327"/>
        <v>8.26</v>
      </c>
      <c r="O706" s="10">
        <f t="shared" si="328"/>
        <v>0.31900000000000001</v>
      </c>
      <c r="P706" s="10">
        <f t="shared" si="349"/>
        <v>13.819917805267384</v>
      </c>
      <c r="Q706" s="42">
        <f t="shared" si="350"/>
        <v>0.32812169087461662</v>
      </c>
      <c r="R706" s="4">
        <f t="shared" si="351"/>
        <v>18619.6223685359</v>
      </c>
      <c r="S706">
        <f t="shared" si="332"/>
        <v>1.8619622368535901E-5</v>
      </c>
      <c r="T706" s="41">
        <f t="shared" si="333"/>
        <v>1.6118474967334793E-4</v>
      </c>
      <c r="U706" s="42">
        <f t="shared" si="352"/>
        <v>3.3413843321456096E-2</v>
      </c>
      <c r="V706" s="42">
        <f t="shared" si="353"/>
        <v>0.44967571074676421</v>
      </c>
      <c r="W706" s="42">
        <f t="shared" si="354"/>
        <v>0.44651488949395135</v>
      </c>
      <c r="X706" s="42">
        <f t="shared" si="355"/>
        <v>3.1608212528128621E-3</v>
      </c>
      <c r="Y706" s="42">
        <f t="shared" si="329"/>
        <v>2.4521229018201335E-3</v>
      </c>
      <c r="Z706" s="10">
        <f t="shared" si="356"/>
        <v>15.213119769640308</v>
      </c>
      <c r="AA706">
        <f t="shared" si="334"/>
        <v>5019405.2419720627</v>
      </c>
      <c r="AB706" s="10">
        <f t="shared" si="335"/>
        <v>5.0194052419720627</v>
      </c>
      <c r="AC706" s="10">
        <f t="shared" si="336"/>
        <v>4.9184052419720627</v>
      </c>
      <c r="AD706" s="3">
        <f t="shared" si="337"/>
        <v>713.32925916926217</v>
      </c>
      <c r="AI706" s="94">
        <f t="shared" si="338"/>
        <v>0.44651488949395135</v>
      </c>
    </row>
    <row r="707" spans="2:35">
      <c r="B707" s="39">
        <f t="shared" si="339"/>
        <v>679</v>
      </c>
      <c r="C707" s="42">
        <f t="shared" si="340"/>
        <v>4.5103836930408514</v>
      </c>
      <c r="D707" s="10">
        <f t="shared" si="341"/>
        <v>1.0296163069585464</v>
      </c>
      <c r="E707" s="40">
        <f t="shared" si="342"/>
        <v>29.020767386082905</v>
      </c>
      <c r="F707" s="40">
        <f t="shared" si="343"/>
        <v>31.08</v>
      </c>
      <c r="G707" s="3">
        <f t="shared" si="344"/>
        <v>190.31693045567803</v>
      </c>
      <c r="H707" s="3">
        <f t="shared" si="345"/>
        <v>81.256230789298584</v>
      </c>
      <c r="I707">
        <f t="shared" si="330"/>
        <v>8.1256230789298584E-5</v>
      </c>
      <c r="J707" s="4">
        <f t="shared" si="346"/>
        <v>661.46621282667911</v>
      </c>
      <c r="K707" s="40">
        <f t="shared" si="347"/>
        <v>8.1404983519589234</v>
      </c>
      <c r="L707" s="40">
        <f t="shared" si="331"/>
        <v>0</v>
      </c>
      <c r="M707" s="10">
        <f t="shared" si="348"/>
        <v>5.0194052419720627</v>
      </c>
      <c r="N707" s="10">
        <f t="shared" si="327"/>
        <v>8.26</v>
      </c>
      <c r="O707" s="10">
        <f t="shared" si="328"/>
        <v>0.31900000000000001</v>
      </c>
      <c r="P707" s="10">
        <f t="shared" si="349"/>
        <v>13.819365972583945</v>
      </c>
      <c r="Q707" s="42">
        <f t="shared" si="350"/>
        <v>0.32860237036921069</v>
      </c>
      <c r="R707" s="4">
        <f t="shared" si="351"/>
        <v>18499.190772667567</v>
      </c>
      <c r="S707">
        <f t="shared" si="332"/>
        <v>1.8499190772667568E-5</v>
      </c>
      <c r="T707" s="41">
        <f t="shared" si="333"/>
        <v>1.6130518126921626E-4</v>
      </c>
      <c r="U707" s="42">
        <f t="shared" si="352"/>
        <v>3.3197722801090582E-2</v>
      </c>
      <c r="V707" s="42">
        <f t="shared" si="353"/>
        <v>0.44961460348548055</v>
      </c>
      <c r="W707" s="42">
        <f t="shared" si="354"/>
        <v>0.4464578526422105</v>
      </c>
      <c r="X707" s="42">
        <f t="shared" si="355"/>
        <v>3.1567508432700508E-3</v>
      </c>
      <c r="Y707" s="42">
        <f t="shared" si="329"/>
        <v>2.4536402872200359E-3</v>
      </c>
      <c r="Z707" s="10">
        <f t="shared" si="356"/>
        <v>15.211168469070699</v>
      </c>
      <c r="AA707">
        <f t="shared" si="334"/>
        <v>5018774.3860335341</v>
      </c>
      <c r="AB707" s="10">
        <f t="shared" si="335"/>
        <v>5.0187743860335337</v>
      </c>
      <c r="AC707" s="10">
        <f t="shared" si="336"/>
        <v>4.9177743860335337</v>
      </c>
      <c r="AD707" s="3">
        <f t="shared" si="337"/>
        <v>713.23776447186856</v>
      </c>
      <c r="AI707" s="94">
        <f t="shared" si="338"/>
        <v>0.4464578526422105</v>
      </c>
    </row>
    <row r="708" spans="2:35">
      <c r="B708" s="39">
        <f t="shared" si="339"/>
        <v>680</v>
      </c>
      <c r="C708" s="42">
        <f t="shared" si="340"/>
        <v>4.5170263788921634</v>
      </c>
      <c r="D708" s="10">
        <f t="shared" si="341"/>
        <v>1.0229736211072336</v>
      </c>
      <c r="E708" s="40">
        <f t="shared" si="342"/>
        <v>29.034052757785531</v>
      </c>
      <c r="F708" s="40">
        <f t="shared" si="343"/>
        <v>31.08</v>
      </c>
      <c r="G708" s="3">
        <f t="shared" si="344"/>
        <v>190.26378896886754</v>
      </c>
      <c r="H708" s="3">
        <f t="shared" si="345"/>
        <v>81.256230789298584</v>
      </c>
      <c r="I708">
        <f t="shared" si="330"/>
        <v>8.1256230789298584E-5</v>
      </c>
      <c r="J708" s="4">
        <f t="shared" si="346"/>
        <v>662.0719746159117</v>
      </c>
      <c r="K708" s="40">
        <f t="shared" si="347"/>
        <v>8.1479533099768933</v>
      </c>
      <c r="L708" s="40">
        <f t="shared" si="331"/>
        <v>0</v>
      </c>
      <c r="M708" s="10">
        <f t="shared" si="348"/>
        <v>5.0187743860335337</v>
      </c>
      <c r="N708" s="10">
        <f t="shared" si="327"/>
        <v>8.26</v>
      </c>
      <c r="O708" s="10">
        <f t="shared" si="328"/>
        <v>0.31900000000000001</v>
      </c>
      <c r="P708" s="10">
        <f t="shared" si="349"/>
        <v>13.818811888948572</v>
      </c>
      <c r="Q708" s="42">
        <f t="shared" si="350"/>
        <v>0.32908306913728819</v>
      </c>
      <c r="R708" s="4">
        <f t="shared" si="351"/>
        <v>18378.770779378559</v>
      </c>
      <c r="S708">
        <f t="shared" si="332"/>
        <v>1.8378770779378558E-5</v>
      </c>
      <c r="T708" s="41">
        <f t="shared" si="333"/>
        <v>1.6142560126250529E-4</v>
      </c>
      <c r="U708" s="42">
        <f t="shared" si="352"/>
        <v>3.2981623102133789E-2</v>
      </c>
      <c r="V708" s="42">
        <f t="shared" si="353"/>
        <v>0.44955326143452018</v>
      </c>
      <c r="W708" s="42">
        <f t="shared" si="354"/>
        <v>0.44640058802618438</v>
      </c>
      <c r="X708" s="42">
        <f t="shared" si="355"/>
        <v>3.1526734083358043E-3</v>
      </c>
      <c r="Y708" s="42">
        <f t="shared" si="329"/>
        <v>2.4551557734435736E-3</v>
      </c>
      <c r="Z708" s="10">
        <f t="shared" si="356"/>
        <v>15.209209408184739</v>
      </c>
      <c r="AA708">
        <f t="shared" si="334"/>
        <v>5018141.0211828817</v>
      </c>
      <c r="AB708" s="10">
        <f t="shared" si="335"/>
        <v>5.0181410211828821</v>
      </c>
      <c r="AC708" s="10">
        <f t="shared" si="336"/>
        <v>4.9171410211828821</v>
      </c>
      <c r="AD708" s="3">
        <f t="shared" si="337"/>
        <v>713.14590590034538</v>
      </c>
      <c r="AI708" s="94">
        <f t="shared" si="338"/>
        <v>0.44640058802618438</v>
      </c>
    </row>
    <row r="709" spans="2:35">
      <c r="B709" s="39">
        <f t="shared" si="339"/>
        <v>681</v>
      </c>
      <c r="C709" s="42">
        <f t="shared" si="340"/>
        <v>4.5236690647434754</v>
      </c>
      <c r="D709" s="10">
        <f t="shared" si="341"/>
        <v>1.0163309352559207</v>
      </c>
      <c r="E709" s="40">
        <f t="shared" si="342"/>
        <v>29.047338129488157</v>
      </c>
      <c r="F709" s="40">
        <f t="shared" si="343"/>
        <v>31.08</v>
      </c>
      <c r="G709" s="3">
        <f t="shared" si="344"/>
        <v>190.21064748205706</v>
      </c>
      <c r="H709" s="3">
        <f t="shared" si="345"/>
        <v>81.256230789298584</v>
      </c>
      <c r="I709">
        <f t="shared" si="330"/>
        <v>8.1256230789298584E-5</v>
      </c>
      <c r="J709" s="4">
        <f t="shared" si="346"/>
        <v>662.67801365242576</v>
      </c>
      <c r="K709" s="40">
        <f t="shared" si="347"/>
        <v>8.1554116800074397</v>
      </c>
      <c r="L709" s="40">
        <f t="shared" si="331"/>
        <v>0</v>
      </c>
      <c r="M709" s="10">
        <f t="shared" si="348"/>
        <v>5.0181410211828821</v>
      </c>
      <c r="N709" s="10">
        <f t="shared" si="327"/>
        <v>8.26</v>
      </c>
      <c r="O709" s="10">
        <f t="shared" si="328"/>
        <v>0.31900000000000001</v>
      </c>
      <c r="P709" s="10">
        <f t="shared" si="349"/>
        <v>13.818255554008708</v>
      </c>
      <c r="Q709" s="42">
        <f t="shared" si="350"/>
        <v>0.32956378725871449</v>
      </c>
      <c r="R709" s="4">
        <f t="shared" si="351"/>
        <v>18258.362432868893</v>
      </c>
      <c r="S709">
        <f t="shared" si="332"/>
        <v>1.8258362432868894E-5</v>
      </c>
      <c r="T709" s="41">
        <f t="shared" si="333"/>
        <v>1.6154600960901493E-4</v>
      </c>
      <c r="U709" s="42">
        <f t="shared" si="352"/>
        <v>3.2765544303904867E-2</v>
      </c>
      <c r="V709" s="42">
        <f t="shared" si="353"/>
        <v>0.44949168462343364</v>
      </c>
      <c r="W709" s="42">
        <f t="shared" si="354"/>
        <v>0.44634309566895686</v>
      </c>
      <c r="X709" s="42">
        <f t="shared" si="355"/>
        <v>3.1485889544767831E-3</v>
      </c>
      <c r="Y709" s="42">
        <f t="shared" si="329"/>
        <v>2.4566693572109135E-3</v>
      </c>
      <c r="Z709" s="10">
        <f t="shared" si="356"/>
        <v>15.207242587772475</v>
      </c>
      <c r="AA709">
        <f t="shared" si="334"/>
        <v>5017505.1476755291</v>
      </c>
      <c r="AB709" s="10">
        <f t="shared" si="335"/>
        <v>5.0175051476755295</v>
      </c>
      <c r="AC709" s="10">
        <f t="shared" si="336"/>
        <v>4.9165051476755295</v>
      </c>
      <c r="AD709" s="3">
        <f t="shared" si="337"/>
        <v>713.05368349173739</v>
      </c>
      <c r="AI709" s="94">
        <f t="shared" si="338"/>
        <v>0.44634309566895686</v>
      </c>
    </row>
    <row r="710" spans="2:35">
      <c r="B710" s="39">
        <f t="shared" si="339"/>
        <v>682</v>
      </c>
      <c r="C710" s="42">
        <f t="shared" si="340"/>
        <v>4.5303117505947874</v>
      </c>
      <c r="D710" s="10">
        <f t="shared" si="341"/>
        <v>1.0096882494046078</v>
      </c>
      <c r="E710" s="40">
        <f t="shared" si="342"/>
        <v>29.060623501190783</v>
      </c>
      <c r="F710" s="40">
        <f t="shared" si="343"/>
        <v>31.08</v>
      </c>
      <c r="G710" s="3">
        <f t="shared" si="344"/>
        <v>190.15750599524657</v>
      </c>
      <c r="H710" s="3">
        <f t="shared" si="345"/>
        <v>81.256230789298584</v>
      </c>
      <c r="I710">
        <f t="shared" si="330"/>
        <v>8.1256230789298584E-5</v>
      </c>
      <c r="J710" s="4">
        <f t="shared" si="346"/>
        <v>663.28432993622141</v>
      </c>
      <c r="K710" s="40">
        <f t="shared" si="347"/>
        <v>8.1628734620505643</v>
      </c>
      <c r="L710" s="40">
        <f t="shared" si="331"/>
        <v>0</v>
      </c>
      <c r="M710" s="10">
        <f t="shared" si="348"/>
        <v>5.0175051476755295</v>
      </c>
      <c r="N710" s="10">
        <f t="shared" si="327"/>
        <v>8.26</v>
      </c>
      <c r="O710" s="10">
        <f t="shared" si="328"/>
        <v>0.31900000000000001</v>
      </c>
      <c r="P710" s="10">
        <f t="shared" si="349"/>
        <v>13.817696967410377</v>
      </c>
      <c r="Q710" s="42">
        <f t="shared" si="350"/>
        <v>0.33004452481338653</v>
      </c>
      <c r="R710" s="4">
        <f t="shared" si="351"/>
        <v>18137.965777338559</v>
      </c>
      <c r="S710">
        <f t="shared" si="332"/>
        <v>1.813796577733856E-5</v>
      </c>
      <c r="T710" s="41">
        <f t="shared" si="333"/>
        <v>1.6166640626454526E-4</v>
      </c>
      <c r="U710" s="42">
        <f t="shared" si="352"/>
        <v>3.2549486485722909E-2</v>
      </c>
      <c r="V710" s="42">
        <f t="shared" si="353"/>
        <v>0.44942987308190152</v>
      </c>
      <c r="W710" s="42">
        <f t="shared" si="354"/>
        <v>0.4462853755937134</v>
      </c>
      <c r="X710" s="42">
        <f t="shared" si="355"/>
        <v>3.1444974881881249E-3</v>
      </c>
      <c r="Y710" s="42">
        <f t="shared" si="329"/>
        <v>2.4581810352440575E-3</v>
      </c>
      <c r="Z710" s="10">
        <f t="shared" si="356"/>
        <v>15.205268008627444</v>
      </c>
      <c r="AA710">
        <f t="shared" si="334"/>
        <v>5016866.7657680269</v>
      </c>
      <c r="AB710" s="10">
        <f t="shared" si="335"/>
        <v>5.016866765768027</v>
      </c>
      <c r="AC710" s="10">
        <f t="shared" si="336"/>
        <v>4.9158667657680271</v>
      </c>
      <c r="AD710" s="3">
        <f t="shared" si="337"/>
        <v>712.96109728325268</v>
      </c>
      <c r="AI710" s="94">
        <f t="shared" si="338"/>
        <v>0.4462853755937134</v>
      </c>
    </row>
    <row r="711" spans="2:35">
      <c r="B711" s="39">
        <f t="shared" si="339"/>
        <v>683</v>
      </c>
      <c r="C711" s="42">
        <f t="shared" si="340"/>
        <v>4.5369544364460994</v>
      </c>
      <c r="D711" s="10">
        <f t="shared" si="341"/>
        <v>1.0030455635532949</v>
      </c>
      <c r="E711" s="40">
        <f t="shared" si="342"/>
        <v>29.073908872893409</v>
      </c>
      <c r="F711" s="40">
        <f t="shared" si="343"/>
        <v>31.08</v>
      </c>
      <c r="G711" s="3">
        <f t="shared" si="344"/>
        <v>190.10436450843608</v>
      </c>
      <c r="H711" s="3">
        <f t="shared" si="345"/>
        <v>81.256230789298584</v>
      </c>
      <c r="I711">
        <f t="shared" si="330"/>
        <v>8.1256230789298584E-5</v>
      </c>
      <c r="J711" s="4">
        <f t="shared" si="346"/>
        <v>663.89092346729865</v>
      </c>
      <c r="K711" s="40">
        <f t="shared" si="347"/>
        <v>8.170338656106269</v>
      </c>
      <c r="L711" s="40">
        <f t="shared" si="331"/>
        <v>0</v>
      </c>
      <c r="M711" s="10">
        <f t="shared" si="348"/>
        <v>5.016866765768027</v>
      </c>
      <c r="N711" s="10">
        <f t="shared" si="327"/>
        <v>8.26</v>
      </c>
      <c r="O711" s="10">
        <f t="shared" si="328"/>
        <v>0.31900000000000001</v>
      </c>
      <c r="P711" s="10">
        <f t="shared" si="349"/>
        <v>13.817136128798172</v>
      </c>
      <c r="Q711" s="42">
        <f t="shared" si="350"/>
        <v>0.33052528188123265</v>
      </c>
      <c r="R711" s="4">
        <f t="shared" si="351"/>
        <v>18017.58085698753</v>
      </c>
      <c r="S711">
        <f t="shared" si="332"/>
        <v>1.801758085698753E-5</v>
      </c>
      <c r="T711" s="41">
        <f t="shared" si="333"/>
        <v>1.617867911848963E-4</v>
      </c>
      <c r="U711" s="42">
        <f t="shared" si="352"/>
        <v>3.2333449726906965E-2</v>
      </c>
      <c r="V711" s="42">
        <f t="shared" si="353"/>
        <v>0.44936782683992482</v>
      </c>
      <c r="W711" s="42">
        <f t="shared" si="354"/>
        <v>0.44622742782374175</v>
      </c>
      <c r="X711" s="42">
        <f t="shared" si="355"/>
        <v>3.1403990161830708E-3</v>
      </c>
      <c r="Y711" s="42">
        <f t="shared" si="329"/>
        <v>2.4596908042669443E-3</v>
      </c>
      <c r="Z711" s="10">
        <f t="shared" si="356"/>
        <v>15.203285671547272</v>
      </c>
      <c r="AA711">
        <f t="shared" si="334"/>
        <v>5016225.8757182462</v>
      </c>
      <c r="AB711" s="10">
        <f t="shared" si="335"/>
        <v>5.0162258757182459</v>
      </c>
      <c r="AC711" s="10">
        <f t="shared" si="336"/>
        <v>4.9152258757182459</v>
      </c>
      <c r="AD711" s="3">
        <f t="shared" si="337"/>
        <v>712.86814731229094</v>
      </c>
      <c r="AI711" s="94">
        <f t="shared" si="338"/>
        <v>0.44622742782374175</v>
      </c>
    </row>
    <row r="712" spans="2:35">
      <c r="B712" s="39">
        <f t="shared" si="339"/>
        <v>684</v>
      </c>
      <c r="C712" s="42">
        <f t="shared" si="340"/>
        <v>4.5435971222974114</v>
      </c>
      <c r="D712" s="10">
        <f t="shared" si="341"/>
        <v>0.99640287770198199</v>
      </c>
      <c r="E712" s="40">
        <f t="shared" si="342"/>
        <v>29.087194244596034</v>
      </c>
      <c r="F712" s="40">
        <f t="shared" si="343"/>
        <v>31.08</v>
      </c>
      <c r="G712" s="3">
        <f t="shared" si="344"/>
        <v>190.05122302162559</v>
      </c>
      <c r="H712" s="3">
        <f t="shared" si="345"/>
        <v>81.256230789298584</v>
      </c>
      <c r="I712">
        <f t="shared" si="330"/>
        <v>8.1256230789298584E-5</v>
      </c>
      <c r="J712" s="4">
        <f t="shared" si="346"/>
        <v>664.49779424565736</v>
      </c>
      <c r="K712" s="40">
        <f t="shared" si="347"/>
        <v>8.1778072621745519</v>
      </c>
      <c r="L712" s="40">
        <f t="shared" si="331"/>
        <v>0</v>
      </c>
      <c r="M712" s="10">
        <f t="shared" si="348"/>
        <v>5.0162258757182459</v>
      </c>
      <c r="N712" s="10">
        <f t="shared" si="327"/>
        <v>8.26</v>
      </c>
      <c r="O712" s="10">
        <f t="shared" si="328"/>
        <v>0.31900000000000001</v>
      </c>
      <c r="P712" s="10">
        <f t="shared" si="349"/>
        <v>13.816573037815417</v>
      </c>
      <c r="Q712" s="42">
        <f t="shared" si="350"/>
        <v>0.33100605854221299</v>
      </c>
      <c r="R712" s="4">
        <f t="shared" si="351"/>
        <v>17897.207716015833</v>
      </c>
      <c r="S712">
        <f t="shared" si="332"/>
        <v>1.7897207716015834E-5</v>
      </c>
      <c r="T712" s="41">
        <f t="shared" si="333"/>
        <v>1.61907164325868E-4</v>
      </c>
      <c r="U712" s="42">
        <f t="shared" si="352"/>
        <v>3.2117434106776213E-2</v>
      </c>
      <c r="V712" s="42">
        <f t="shared" si="353"/>
        <v>0.44930554592704047</v>
      </c>
      <c r="W712" s="42">
        <f t="shared" si="354"/>
        <v>0.44616925238244964</v>
      </c>
      <c r="X712" s="42">
        <f t="shared" si="355"/>
        <v>3.1362935445908291E-3</v>
      </c>
      <c r="Y712" s="42">
        <f t="shared" si="329"/>
        <v>2.4611986610051668E-3</v>
      </c>
      <c r="Z712" s="10">
        <f t="shared" si="356"/>
        <v>15.201295577331903</v>
      </c>
      <c r="AA712">
        <f t="shared" si="334"/>
        <v>5015582.4777848115</v>
      </c>
      <c r="AB712" s="10">
        <f t="shared" si="335"/>
        <v>5.0155824777848119</v>
      </c>
      <c r="AC712" s="10">
        <f t="shared" si="336"/>
        <v>4.9145824777848119</v>
      </c>
      <c r="AD712" s="3">
        <f t="shared" si="337"/>
        <v>712.77483361636132</v>
      </c>
      <c r="AI712" s="94">
        <f t="shared" si="338"/>
        <v>0.44616925238244964</v>
      </c>
    </row>
    <row r="713" spans="2:35">
      <c r="B713" s="39">
        <f t="shared" si="339"/>
        <v>685</v>
      </c>
      <c r="C713" s="42">
        <f t="shared" si="340"/>
        <v>4.5502398081487234</v>
      </c>
      <c r="D713" s="10">
        <f t="shared" si="341"/>
        <v>0.9897601918506691</v>
      </c>
      <c r="E713" s="40">
        <f t="shared" si="342"/>
        <v>29.10047961629866</v>
      </c>
      <c r="F713" s="40">
        <f t="shared" si="343"/>
        <v>31.08</v>
      </c>
      <c r="G713" s="3">
        <f t="shared" si="344"/>
        <v>189.9980815348151</v>
      </c>
      <c r="H713" s="3">
        <f t="shared" si="345"/>
        <v>81.256230789298584</v>
      </c>
      <c r="I713">
        <f t="shared" si="330"/>
        <v>8.1256230789298584E-5</v>
      </c>
      <c r="J713" s="4">
        <f t="shared" si="346"/>
        <v>665.10494227129766</v>
      </c>
      <c r="K713" s="40">
        <f t="shared" si="347"/>
        <v>8.1852792802554131</v>
      </c>
      <c r="L713" s="40">
        <f t="shared" si="331"/>
        <v>0</v>
      </c>
      <c r="M713" s="10">
        <f t="shared" si="348"/>
        <v>5.0155824777848119</v>
      </c>
      <c r="N713" s="10">
        <f t="shared" si="327"/>
        <v>8.26</v>
      </c>
      <c r="O713" s="10">
        <f t="shared" si="328"/>
        <v>0.31900000000000001</v>
      </c>
      <c r="P713" s="10">
        <f t="shared" si="349"/>
        <v>13.816007694103687</v>
      </c>
      <c r="Q713" s="42">
        <f t="shared" si="350"/>
        <v>0.33148685487631946</v>
      </c>
      <c r="R713" s="4">
        <f t="shared" si="351"/>
        <v>17776.846398623453</v>
      </c>
      <c r="S713">
        <f t="shared" si="332"/>
        <v>1.7776846398623454E-5</v>
      </c>
      <c r="T713" s="41">
        <f t="shared" si="333"/>
        <v>1.6202752564326039E-4</v>
      </c>
      <c r="U713" s="42">
        <f t="shared" si="352"/>
        <v>3.1901439704649717E-2</v>
      </c>
      <c r="V713" s="42">
        <f t="shared" si="353"/>
        <v>0.44924303037357366</v>
      </c>
      <c r="W713" s="42">
        <f t="shared" si="354"/>
        <v>0.44611084929331324</v>
      </c>
      <c r="X713" s="42">
        <f t="shared" si="355"/>
        <v>3.1321810802604211E-3</v>
      </c>
      <c r="Y713" s="42">
        <f t="shared" si="329"/>
        <v>2.4627046021863134E-3</v>
      </c>
      <c r="Z713" s="10">
        <f t="shared" si="356"/>
        <v>15.199297726785664</v>
      </c>
      <c r="AA713">
        <f t="shared" si="334"/>
        <v>5014936.5722277602</v>
      </c>
      <c r="AB713" s="10">
        <f t="shared" si="335"/>
        <v>5.0149365722277599</v>
      </c>
      <c r="AC713" s="10">
        <f t="shared" si="336"/>
        <v>4.9139365722277599</v>
      </c>
      <c r="AD713" s="3">
        <f t="shared" si="337"/>
        <v>712.68115623317772</v>
      </c>
      <c r="AI713" s="94">
        <f t="shared" si="338"/>
        <v>0.44611084929331324</v>
      </c>
    </row>
    <row r="714" spans="2:35">
      <c r="B714" s="39">
        <f t="shared" si="339"/>
        <v>686</v>
      </c>
      <c r="C714" s="42">
        <f t="shared" si="340"/>
        <v>4.5568824940000354</v>
      </c>
      <c r="D714" s="10">
        <f t="shared" si="341"/>
        <v>0.98311750599935621</v>
      </c>
      <c r="E714" s="40">
        <f t="shared" si="342"/>
        <v>29.113764988001286</v>
      </c>
      <c r="F714" s="40">
        <f t="shared" si="343"/>
        <v>31.08</v>
      </c>
      <c r="G714" s="3">
        <f t="shared" si="344"/>
        <v>189.94494004800461</v>
      </c>
      <c r="H714" s="3">
        <f t="shared" si="345"/>
        <v>81.256230789298584</v>
      </c>
      <c r="I714">
        <f t="shared" si="330"/>
        <v>8.1256230789298584E-5</v>
      </c>
      <c r="J714" s="4">
        <f t="shared" si="346"/>
        <v>665.71236754421966</v>
      </c>
      <c r="K714" s="40">
        <f t="shared" si="347"/>
        <v>8.1927547103488561</v>
      </c>
      <c r="L714" s="40">
        <f t="shared" si="331"/>
        <v>0</v>
      </c>
      <c r="M714" s="10">
        <f t="shared" si="348"/>
        <v>5.0149365722277599</v>
      </c>
      <c r="N714" s="10">
        <f t="shared" si="327"/>
        <v>8.26</v>
      </c>
      <c r="O714" s="10">
        <f t="shared" si="328"/>
        <v>0.31900000000000001</v>
      </c>
      <c r="P714" s="10">
        <f t="shared" si="349"/>
        <v>13.815440097303371</v>
      </c>
      <c r="Q714" s="42">
        <f t="shared" si="350"/>
        <v>0.33196767096357599</v>
      </c>
      <c r="R714" s="4">
        <f t="shared" si="351"/>
        <v>17656.496949010387</v>
      </c>
      <c r="S714">
        <f t="shared" si="332"/>
        <v>1.7656496949010386E-5</v>
      </c>
      <c r="T714" s="41">
        <f t="shared" si="333"/>
        <v>1.6214787509287345E-4</v>
      </c>
      <c r="U714" s="42">
        <f t="shared" si="352"/>
        <v>3.1685466599846585E-2</v>
      </c>
      <c r="V714" s="42">
        <f t="shared" si="353"/>
        <v>0.44918028020951872</v>
      </c>
      <c r="W714" s="42">
        <f t="shared" si="354"/>
        <v>0.44605221857993693</v>
      </c>
      <c r="X714" s="42">
        <f t="shared" si="355"/>
        <v>3.1280616295817909E-3</v>
      </c>
      <c r="Y714" s="42">
        <f t="shared" si="329"/>
        <v>2.4642086245397462E-3</v>
      </c>
      <c r="Z714" s="10">
        <f t="shared" si="356"/>
        <v>15.197292120715867</v>
      </c>
      <c r="AA714">
        <f t="shared" si="334"/>
        <v>5014288.1593080964</v>
      </c>
      <c r="AB714" s="10">
        <f t="shared" si="335"/>
        <v>5.0142881593080961</v>
      </c>
      <c r="AC714" s="10">
        <f t="shared" si="336"/>
        <v>4.9132881593080961</v>
      </c>
      <c r="AD714" s="3">
        <f t="shared" si="337"/>
        <v>712.5871152005941</v>
      </c>
      <c r="AI714" s="94">
        <f t="shared" si="338"/>
        <v>0.44605221857993693</v>
      </c>
    </row>
    <row r="715" spans="2:35">
      <c r="B715" s="39">
        <f t="shared" si="339"/>
        <v>687</v>
      </c>
      <c r="C715" s="42">
        <f t="shared" si="340"/>
        <v>4.5635251798513474</v>
      </c>
      <c r="D715" s="10">
        <f t="shared" si="341"/>
        <v>0.97647482014804332</v>
      </c>
      <c r="E715" s="40">
        <f t="shared" si="342"/>
        <v>29.127050359703912</v>
      </c>
      <c r="F715" s="40">
        <f t="shared" si="343"/>
        <v>31.08</v>
      </c>
      <c r="G715" s="3">
        <f t="shared" si="344"/>
        <v>189.89179856119412</v>
      </c>
      <c r="H715" s="3">
        <f t="shared" si="345"/>
        <v>81.256230789298584</v>
      </c>
      <c r="I715">
        <f t="shared" si="330"/>
        <v>8.1256230789298584E-5</v>
      </c>
      <c r="J715" s="4">
        <f t="shared" si="346"/>
        <v>666.32007006442302</v>
      </c>
      <c r="K715" s="40">
        <f t="shared" si="347"/>
        <v>8.2002335524548737</v>
      </c>
      <c r="L715" s="40">
        <f t="shared" si="331"/>
        <v>0</v>
      </c>
      <c r="M715" s="10">
        <f t="shared" si="348"/>
        <v>5.0142881593080961</v>
      </c>
      <c r="N715" s="10">
        <f t="shared" si="327"/>
        <v>8.26</v>
      </c>
      <c r="O715" s="10">
        <f t="shared" si="328"/>
        <v>0.31900000000000001</v>
      </c>
      <c r="P715" s="10">
        <f t="shared" si="349"/>
        <v>13.814870247053284</v>
      </c>
      <c r="Q715" s="42">
        <f t="shared" si="350"/>
        <v>0.33244850688403849</v>
      </c>
      <c r="R715" s="4">
        <f t="shared" si="351"/>
        <v>17536.159411376651</v>
      </c>
      <c r="S715">
        <f t="shared" si="332"/>
        <v>1.7536159411376653E-5</v>
      </c>
      <c r="T715" s="41">
        <f t="shared" si="333"/>
        <v>1.6226821263050719E-4</v>
      </c>
      <c r="U715" s="42">
        <f t="shared" si="352"/>
        <v>3.1469514871685964E-2</v>
      </c>
      <c r="V715" s="42">
        <f t="shared" si="353"/>
        <v>0.44911729546516765</v>
      </c>
      <c r="W715" s="42">
        <f t="shared" si="354"/>
        <v>0.44599336026601266</v>
      </c>
      <c r="X715" s="42">
        <f t="shared" si="355"/>
        <v>3.1239351991549924E-3</v>
      </c>
      <c r="Y715" s="42">
        <f t="shared" si="329"/>
        <v>2.4657107247966969E-3</v>
      </c>
      <c r="Z715" s="10">
        <f t="shared" si="356"/>
        <v>15.195278759933364</v>
      </c>
      <c r="AA715">
        <f t="shared" si="334"/>
        <v>5013637.2392879697</v>
      </c>
      <c r="AB715" s="10">
        <f t="shared" si="335"/>
        <v>5.01363723928797</v>
      </c>
      <c r="AC715" s="10">
        <f t="shared" si="336"/>
        <v>4.91263723928797</v>
      </c>
      <c r="AD715" s="3">
        <f t="shared" si="337"/>
        <v>712.49271055663087</v>
      </c>
      <c r="AI715" s="94">
        <f t="shared" si="338"/>
        <v>0.44599336026601266</v>
      </c>
    </row>
    <row r="716" spans="2:35">
      <c r="B716" s="39">
        <f t="shared" si="339"/>
        <v>688</v>
      </c>
      <c r="C716" s="42">
        <f t="shared" si="340"/>
        <v>4.5701678657026594</v>
      </c>
      <c r="D716" s="10">
        <f t="shared" si="341"/>
        <v>0.96983213429673043</v>
      </c>
      <c r="E716" s="40">
        <f t="shared" si="342"/>
        <v>29.140335731406537</v>
      </c>
      <c r="F716" s="40">
        <f t="shared" si="343"/>
        <v>31.08</v>
      </c>
      <c r="G716" s="3">
        <f t="shared" si="344"/>
        <v>189.83865707438363</v>
      </c>
      <c r="H716" s="3">
        <f t="shared" si="345"/>
        <v>81.256230789298584</v>
      </c>
      <c r="I716">
        <f t="shared" si="330"/>
        <v>8.1256230789298584E-5</v>
      </c>
      <c r="J716" s="4">
        <f t="shared" si="346"/>
        <v>666.92804983190808</v>
      </c>
      <c r="K716" s="40">
        <f t="shared" si="347"/>
        <v>8.2077158065734732</v>
      </c>
      <c r="L716" s="40">
        <f t="shared" si="331"/>
        <v>0</v>
      </c>
      <c r="M716" s="10">
        <f t="shared" si="348"/>
        <v>5.01363723928797</v>
      </c>
      <c r="N716" s="10">
        <f t="shared" si="327"/>
        <v>8.26</v>
      </c>
      <c r="O716" s="10">
        <f t="shared" si="328"/>
        <v>0.31900000000000001</v>
      </c>
      <c r="P716" s="10">
        <f t="shared" si="349"/>
        <v>13.814298142990816</v>
      </c>
      <c r="Q716" s="42">
        <f t="shared" si="350"/>
        <v>0.33292936271779522</v>
      </c>
      <c r="R716" s="4">
        <f t="shared" si="351"/>
        <v>17415.833829922223</v>
      </c>
      <c r="S716">
        <f t="shared" si="332"/>
        <v>1.7415833829922225E-5</v>
      </c>
      <c r="T716" s="41">
        <f t="shared" si="333"/>
        <v>1.6238853821196162E-4</v>
      </c>
      <c r="U716" s="42">
        <f t="shared" si="352"/>
        <v>3.1253584599486926E-2</v>
      </c>
      <c r="V716" s="42">
        <f t="shared" si="353"/>
        <v>0.44905407617094117</v>
      </c>
      <c r="W716" s="42">
        <f t="shared" si="354"/>
        <v>0.44593427437533661</v>
      </c>
      <c r="X716" s="42">
        <f t="shared" si="355"/>
        <v>3.1198017956045598E-3</v>
      </c>
      <c r="Y716" s="42">
        <f t="shared" si="329"/>
        <v>2.4672108996902781E-3</v>
      </c>
      <c r="Z716" s="10">
        <f t="shared" si="356"/>
        <v>15.19325764525259</v>
      </c>
      <c r="AA716">
        <f t="shared" si="334"/>
        <v>5012983.8124306872</v>
      </c>
      <c r="AB716" s="10">
        <f t="shared" si="335"/>
        <v>5.0129838124306874</v>
      </c>
      <c r="AC716" s="10">
        <f t="shared" si="336"/>
        <v>4.9119838124306874</v>
      </c>
      <c r="AD716" s="3">
        <f t="shared" si="337"/>
        <v>712.397942339476</v>
      </c>
      <c r="AI716" s="94">
        <f t="shared" si="338"/>
        <v>0.44593427437533661</v>
      </c>
    </row>
    <row r="717" spans="2:35">
      <c r="B717" s="39">
        <f t="shared" si="339"/>
        <v>689</v>
      </c>
      <c r="C717" s="42">
        <f t="shared" si="340"/>
        <v>4.5768105515539714</v>
      </c>
      <c r="D717" s="10">
        <f t="shared" si="341"/>
        <v>0.96318944844541754</v>
      </c>
      <c r="E717" s="40">
        <f t="shared" si="342"/>
        <v>29.153621103109163</v>
      </c>
      <c r="F717" s="40">
        <f t="shared" si="343"/>
        <v>31.08</v>
      </c>
      <c r="G717" s="3">
        <f t="shared" si="344"/>
        <v>189.78551558757314</v>
      </c>
      <c r="H717" s="3">
        <f t="shared" si="345"/>
        <v>81.256230789298584</v>
      </c>
      <c r="I717">
        <f t="shared" si="330"/>
        <v>8.1256230789298584E-5</v>
      </c>
      <c r="J717" s="4">
        <f t="shared" si="346"/>
        <v>667.53630684667473</v>
      </c>
      <c r="K717" s="40">
        <f t="shared" si="347"/>
        <v>8.215201472704651</v>
      </c>
      <c r="L717" s="40">
        <f t="shared" si="331"/>
        <v>0</v>
      </c>
      <c r="M717" s="10">
        <f t="shared" si="348"/>
        <v>5.0129838124306874</v>
      </c>
      <c r="N717" s="10">
        <f t="shared" si="327"/>
        <v>8.26</v>
      </c>
      <c r="O717" s="10">
        <f t="shared" si="328"/>
        <v>0.31900000000000001</v>
      </c>
      <c r="P717" s="10">
        <f t="shared" si="349"/>
        <v>13.813723784751959</v>
      </c>
      <c r="Q717" s="42">
        <f t="shared" si="350"/>
        <v>0.33341023854496676</v>
      </c>
      <c r="R717" s="4">
        <f t="shared" si="351"/>
        <v>17295.520248847104</v>
      </c>
      <c r="S717">
        <f t="shared" si="332"/>
        <v>1.7295520248847105E-5</v>
      </c>
      <c r="T717" s="41">
        <f t="shared" si="333"/>
        <v>1.6250885179303672E-4</v>
      </c>
      <c r="U717" s="42">
        <f t="shared" si="352"/>
        <v>3.1037675862568569E-2</v>
      </c>
      <c r="V717" s="42">
        <f t="shared" si="353"/>
        <v>0.44899062235734877</v>
      </c>
      <c r="W717" s="42">
        <f t="shared" si="354"/>
        <v>0.44587496093181</v>
      </c>
      <c r="X717" s="42">
        <f t="shared" si="355"/>
        <v>3.1156614255387627E-3</v>
      </c>
      <c r="Y717" s="42">
        <f t="shared" si="329"/>
        <v>2.4687091459554703E-3</v>
      </c>
      <c r="Z717" s="10">
        <f t="shared" si="356"/>
        <v>15.191228777491437</v>
      </c>
      <c r="AA717">
        <f t="shared" si="334"/>
        <v>5012327.8790006721</v>
      </c>
      <c r="AB717" s="10">
        <f t="shared" si="335"/>
        <v>5.0123278790006722</v>
      </c>
      <c r="AC717" s="10">
        <f t="shared" si="336"/>
        <v>4.9113278790006722</v>
      </c>
      <c r="AD717" s="3">
        <f t="shared" si="337"/>
        <v>712.3028105874796</v>
      </c>
      <c r="AI717" s="94">
        <f t="shared" si="338"/>
        <v>0.44587496093181</v>
      </c>
    </row>
    <row r="718" spans="2:35">
      <c r="B718" s="39">
        <f t="shared" si="339"/>
        <v>690</v>
      </c>
      <c r="C718" s="42">
        <f t="shared" si="340"/>
        <v>4.5834532374052834</v>
      </c>
      <c r="D718" s="10">
        <f t="shared" si="341"/>
        <v>0.95654676259410465</v>
      </c>
      <c r="E718" s="40">
        <f t="shared" si="342"/>
        <v>29.166906474811789</v>
      </c>
      <c r="F718" s="40">
        <f t="shared" si="343"/>
        <v>31.08</v>
      </c>
      <c r="G718" s="3">
        <f t="shared" si="344"/>
        <v>189.73237410076266</v>
      </c>
      <c r="H718" s="3">
        <f t="shared" si="345"/>
        <v>81.256230789298584</v>
      </c>
      <c r="I718">
        <f t="shared" si="330"/>
        <v>8.1256230789298584E-5</v>
      </c>
      <c r="J718" s="4">
        <f t="shared" si="346"/>
        <v>668.14484110872274</v>
      </c>
      <c r="K718" s="40">
        <f t="shared" si="347"/>
        <v>8.2226905508484052</v>
      </c>
      <c r="L718" s="40">
        <f t="shared" si="331"/>
        <v>0</v>
      </c>
      <c r="M718" s="10">
        <f t="shared" si="348"/>
        <v>5.0123278790006722</v>
      </c>
      <c r="N718" s="10">
        <f t="shared" si="327"/>
        <v>8.26</v>
      </c>
      <c r="O718" s="10">
        <f t="shared" si="328"/>
        <v>0.31900000000000001</v>
      </c>
      <c r="P718" s="10">
        <f t="shared" si="349"/>
        <v>13.813147171971247</v>
      </c>
      <c r="Q718" s="42">
        <f t="shared" si="350"/>
        <v>0.33389113444570623</v>
      </c>
      <c r="R718" s="4">
        <f t="shared" si="351"/>
        <v>17175.218712351307</v>
      </c>
      <c r="S718">
        <f t="shared" si="332"/>
        <v>1.7175218712351307E-5</v>
      </c>
      <c r="T718" s="41">
        <f t="shared" si="333"/>
        <v>1.6262915332953252E-4</v>
      </c>
      <c r="U718" s="42">
        <f t="shared" si="352"/>
        <v>3.0821788740250034E-2</v>
      </c>
      <c r="V718" s="42">
        <f t="shared" si="353"/>
        <v>0.44892693405489587</v>
      </c>
      <c r="W718" s="42">
        <f t="shared" si="354"/>
        <v>0.44581541995943513</v>
      </c>
      <c r="X718" s="42">
        <f t="shared" si="355"/>
        <v>3.1115140954607323E-3</v>
      </c>
      <c r="Y718" s="42">
        <f t="shared" si="329"/>
        <v>2.4702054603290705E-3</v>
      </c>
      <c r="Z718" s="10">
        <f t="shared" si="356"/>
        <v>15.189192157470917</v>
      </c>
      <c r="AA718">
        <f t="shared" si="334"/>
        <v>5011669.4392633587</v>
      </c>
      <c r="AB718" s="10">
        <f t="shared" si="335"/>
        <v>5.0116694392633585</v>
      </c>
      <c r="AC718" s="10">
        <f t="shared" si="336"/>
        <v>4.9106694392633585</v>
      </c>
      <c r="AD718" s="3">
        <f t="shared" si="337"/>
        <v>712.20731533913829</v>
      </c>
      <c r="AI718" s="94">
        <f t="shared" si="338"/>
        <v>0.44581541995943513</v>
      </c>
    </row>
    <row r="719" spans="2:35">
      <c r="B719" s="39">
        <f t="shared" si="339"/>
        <v>691</v>
      </c>
      <c r="C719" s="42">
        <f t="shared" si="340"/>
        <v>4.5900959232565954</v>
      </c>
      <c r="D719" s="10">
        <f t="shared" si="341"/>
        <v>0.94990407674279176</v>
      </c>
      <c r="E719" s="40">
        <f t="shared" si="342"/>
        <v>29.180191846514415</v>
      </c>
      <c r="F719" s="40">
        <f t="shared" si="343"/>
        <v>31.08</v>
      </c>
      <c r="G719" s="3">
        <f t="shared" si="344"/>
        <v>189.67923261395217</v>
      </c>
      <c r="H719" s="3">
        <f t="shared" si="345"/>
        <v>81.256230789298584</v>
      </c>
      <c r="I719">
        <f t="shared" si="330"/>
        <v>8.1256230789298584E-5</v>
      </c>
      <c r="J719" s="4">
        <f t="shared" si="346"/>
        <v>668.75365261805246</v>
      </c>
      <c r="K719" s="40">
        <f t="shared" si="347"/>
        <v>8.2301830410047412</v>
      </c>
      <c r="L719" s="40">
        <f t="shared" si="331"/>
        <v>0</v>
      </c>
      <c r="M719" s="10">
        <f t="shared" si="348"/>
        <v>5.0116694392633585</v>
      </c>
      <c r="N719" s="10">
        <f t="shared" si="327"/>
        <v>8.26</v>
      </c>
      <c r="O719" s="10">
        <f t="shared" si="328"/>
        <v>0.31900000000000001</v>
      </c>
      <c r="P719" s="10">
        <f t="shared" si="349"/>
        <v>13.81256830428168</v>
      </c>
      <c r="Q719" s="42">
        <f t="shared" si="350"/>
        <v>0.33437205050019936</v>
      </c>
      <c r="R719" s="4">
        <f t="shared" si="351"/>
        <v>17054.929264634815</v>
      </c>
      <c r="S719">
        <f t="shared" si="332"/>
        <v>1.7054929264634815E-5</v>
      </c>
      <c r="T719" s="41">
        <f t="shared" si="333"/>
        <v>1.6274944277724901E-4</v>
      </c>
      <c r="U719" s="42">
        <f t="shared" si="352"/>
        <v>3.0605923311850407E-2</v>
      </c>
      <c r="V719" s="42">
        <f t="shared" si="353"/>
        <v>0.44886301129444001</v>
      </c>
      <c r="W719" s="42">
        <f t="shared" si="354"/>
        <v>0.44575565148230634</v>
      </c>
      <c r="X719" s="42">
        <f t="shared" si="355"/>
        <v>3.1073598121336699E-3</v>
      </c>
      <c r="Y719" s="42">
        <f t="shared" si="329"/>
        <v>2.4716998395498124E-3</v>
      </c>
      <c r="Z719" s="10">
        <f t="shared" si="356"/>
        <v>15.187147786015862</v>
      </c>
      <c r="AA719">
        <f t="shared" si="334"/>
        <v>5011008.4934854172</v>
      </c>
      <c r="AB719" s="10">
        <f t="shared" si="335"/>
        <v>5.0110084934854173</v>
      </c>
      <c r="AC719" s="10">
        <f t="shared" si="336"/>
        <v>4.9100084934854173</v>
      </c>
      <c r="AD719" s="3">
        <f t="shared" si="337"/>
        <v>712.111456633128</v>
      </c>
      <c r="AI719" s="94">
        <f t="shared" si="338"/>
        <v>0.44575565148230634</v>
      </c>
    </row>
    <row r="720" spans="2:35">
      <c r="B720" s="39">
        <f t="shared" si="339"/>
        <v>692</v>
      </c>
      <c r="C720" s="42">
        <f t="shared" si="340"/>
        <v>4.5967386091079074</v>
      </c>
      <c r="D720" s="10">
        <f t="shared" si="341"/>
        <v>0.94326139089147887</v>
      </c>
      <c r="E720" s="40">
        <f t="shared" si="342"/>
        <v>29.193477218217041</v>
      </c>
      <c r="F720" s="40">
        <f t="shared" si="343"/>
        <v>31.08</v>
      </c>
      <c r="G720" s="3">
        <f t="shared" si="344"/>
        <v>189.62609112714168</v>
      </c>
      <c r="H720" s="3">
        <f t="shared" si="345"/>
        <v>81.256230789298584</v>
      </c>
      <c r="I720">
        <f t="shared" si="330"/>
        <v>8.1256230789298584E-5</v>
      </c>
      <c r="J720" s="4">
        <f t="shared" si="346"/>
        <v>669.36274137466376</v>
      </c>
      <c r="K720" s="40">
        <f t="shared" si="347"/>
        <v>8.2376789431736555</v>
      </c>
      <c r="L720" s="40">
        <f t="shared" si="331"/>
        <v>0</v>
      </c>
      <c r="M720" s="10">
        <f t="shared" si="348"/>
        <v>5.0110084934854173</v>
      </c>
      <c r="N720" s="10">
        <f t="shared" si="327"/>
        <v>8.26</v>
      </c>
      <c r="O720" s="10">
        <f t="shared" si="328"/>
        <v>0.31900000000000001</v>
      </c>
      <c r="P720" s="10">
        <f t="shared" si="349"/>
        <v>13.811987181314905</v>
      </c>
      <c r="Q720" s="42">
        <f t="shared" si="350"/>
        <v>0.33485298678866465</v>
      </c>
      <c r="R720" s="4">
        <f t="shared" si="351"/>
        <v>16934.65194989763</v>
      </c>
      <c r="S720">
        <f t="shared" si="332"/>
        <v>1.693465194989763E-5</v>
      </c>
      <c r="T720" s="41">
        <f t="shared" si="333"/>
        <v>1.628697200919862E-4</v>
      </c>
      <c r="U720" s="42">
        <f t="shared" si="352"/>
        <v>3.0390079656688791E-2</v>
      </c>
      <c r="V720" s="42">
        <f t="shared" si="353"/>
        <v>0.44879885410683035</v>
      </c>
      <c r="W720" s="42">
        <f t="shared" si="354"/>
        <v>0.44569565552462986</v>
      </c>
      <c r="X720" s="42">
        <f t="shared" si="355"/>
        <v>3.1031985822004837E-3</v>
      </c>
      <c r="Y720" s="42">
        <f t="shared" si="329"/>
        <v>2.4731922803583068E-3</v>
      </c>
      <c r="Z720" s="10">
        <f t="shared" si="356"/>
        <v>15.185095663954524</v>
      </c>
      <c r="AA720">
        <f t="shared" si="334"/>
        <v>5010345.0419346187</v>
      </c>
      <c r="AB720" s="10">
        <f t="shared" si="335"/>
        <v>5.0103450419346185</v>
      </c>
      <c r="AC720" s="10">
        <f t="shared" si="336"/>
        <v>4.9093450419346185</v>
      </c>
      <c r="AD720" s="3">
        <f t="shared" si="337"/>
        <v>712.01523450828404</v>
      </c>
      <c r="AI720" s="94">
        <f t="shared" si="338"/>
        <v>0.44569565552462986</v>
      </c>
    </row>
    <row r="721" spans="2:35">
      <c r="B721" s="39">
        <f t="shared" si="339"/>
        <v>693</v>
      </c>
      <c r="C721" s="42">
        <f t="shared" si="340"/>
        <v>4.6033812949592194</v>
      </c>
      <c r="D721" s="10">
        <f t="shared" si="341"/>
        <v>0.93661870504016598</v>
      </c>
      <c r="E721" s="40">
        <f t="shared" si="342"/>
        <v>29.206762589919666</v>
      </c>
      <c r="F721" s="40">
        <f t="shared" si="343"/>
        <v>31.08</v>
      </c>
      <c r="G721" s="3">
        <f t="shared" si="344"/>
        <v>189.57294964033119</v>
      </c>
      <c r="H721" s="3">
        <f t="shared" si="345"/>
        <v>81.256230789298584</v>
      </c>
      <c r="I721">
        <f t="shared" si="330"/>
        <v>8.1256230789298584E-5</v>
      </c>
      <c r="J721" s="4">
        <f t="shared" si="346"/>
        <v>669.97210737855653</v>
      </c>
      <c r="K721" s="40">
        <f t="shared" si="347"/>
        <v>8.2451782573551462</v>
      </c>
      <c r="L721" s="40">
        <f t="shared" si="331"/>
        <v>0</v>
      </c>
      <c r="M721" s="10">
        <f t="shared" si="348"/>
        <v>5.0103450419346185</v>
      </c>
      <c r="N721" s="10">
        <f t="shared" si="327"/>
        <v>8.26</v>
      </c>
      <c r="O721" s="10">
        <f t="shared" si="328"/>
        <v>0.31900000000000001</v>
      </c>
      <c r="P721" s="10">
        <f t="shared" si="349"/>
        <v>13.811403802701113</v>
      </c>
      <c r="Q721" s="42">
        <f t="shared" si="350"/>
        <v>0.33533394339135358</v>
      </c>
      <c r="R721" s="4">
        <f t="shared" si="351"/>
        <v>16814.386812339744</v>
      </c>
      <c r="S721">
        <f t="shared" si="332"/>
        <v>1.6814386812339743E-5</v>
      </c>
      <c r="T721" s="41">
        <f t="shared" si="333"/>
        <v>1.629899852295441E-4</v>
      </c>
      <c r="U721" s="42">
        <f t="shared" si="352"/>
        <v>3.0174257854084285E-2</v>
      </c>
      <c r="V721" s="42">
        <f t="shared" si="353"/>
        <v>0.44873446252299909</v>
      </c>
      <c r="W721" s="42">
        <f t="shared" si="354"/>
        <v>0.44563543211071238</v>
      </c>
      <c r="X721" s="42">
        <f t="shared" si="355"/>
        <v>3.0990304122867074E-3</v>
      </c>
      <c r="Y721" s="42">
        <f t="shared" si="329"/>
        <v>2.47468277949703E-3</v>
      </c>
      <c r="Z721" s="10">
        <f t="shared" si="356"/>
        <v>15.183035792118478</v>
      </c>
      <c r="AA721">
        <f t="shared" si="334"/>
        <v>5009679.0848798128</v>
      </c>
      <c r="AB721" s="10">
        <f t="shared" si="335"/>
        <v>5.0096790848798127</v>
      </c>
      <c r="AC721" s="10">
        <f t="shared" si="336"/>
        <v>4.9086790848798127</v>
      </c>
      <c r="AD721" s="3">
        <f t="shared" si="337"/>
        <v>711.91864900359872</v>
      </c>
      <c r="AI721" s="94">
        <f t="shared" si="338"/>
        <v>0.44563543211071238</v>
      </c>
    </row>
    <row r="722" spans="2:35">
      <c r="B722" s="39">
        <f t="shared" si="339"/>
        <v>694</v>
      </c>
      <c r="C722" s="42">
        <f t="shared" si="340"/>
        <v>4.6100239808105314</v>
      </c>
      <c r="D722" s="10">
        <f t="shared" si="341"/>
        <v>0.92997601918885309</v>
      </c>
      <c r="E722" s="40">
        <f t="shared" si="342"/>
        <v>29.220047961622292</v>
      </c>
      <c r="F722" s="40">
        <f t="shared" si="343"/>
        <v>31.08</v>
      </c>
      <c r="G722" s="3">
        <f t="shared" si="344"/>
        <v>189.5198081535207</v>
      </c>
      <c r="H722" s="3">
        <f t="shared" si="345"/>
        <v>81.256230789298584</v>
      </c>
      <c r="I722">
        <f t="shared" si="330"/>
        <v>8.1256230789298584E-5</v>
      </c>
      <c r="J722" s="4">
        <f t="shared" si="346"/>
        <v>670.58175062973089</v>
      </c>
      <c r="K722" s="40">
        <f t="shared" si="347"/>
        <v>8.2526809835492188</v>
      </c>
      <c r="L722" s="40">
        <f t="shared" si="331"/>
        <v>0</v>
      </c>
      <c r="M722" s="10">
        <f t="shared" si="348"/>
        <v>5.0096790848798127</v>
      </c>
      <c r="N722" s="10">
        <f t="shared" si="327"/>
        <v>8.26</v>
      </c>
      <c r="O722" s="10">
        <f t="shared" si="328"/>
        <v>0.31900000000000001</v>
      </c>
      <c r="P722" s="10">
        <f t="shared" si="349"/>
        <v>13.810818168069003</v>
      </c>
      <c r="Q722" s="42">
        <f t="shared" si="350"/>
        <v>0.3358149203885506</v>
      </c>
      <c r="R722" s="4">
        <f t="shared" si="351"/>
        <v>16694.133896161176</v>
      </c>
      <c r="S722">
        <f t="shared" si="332"/>
        <v>1.6694133896161177E-5</v>
      </c>
      <c r="T722" s="41">
        <f t="shared" si="333"/>
        <v>1.6311023814572265E-4</v>
      </c>
      <c r="U722" s="42">
        <f t="shared" si="352"/>
        <v>2.995845798335604E-2</v>
      </c>
      <c r="V722" s="42">
        <f t="shared" si="353"/>
        <v>0.44866983657401727</v>
      </c>
      <c r="W722" s="42">
        <f t="shared" si="354"/>
        <v>0.44557498126495781</v>
      </c>
      <c r="X722" s="42">
        <f t="shared" si="355"/>
        <v>3.0948553090594522E-3</v>
      </c>
      <c r="Y722" s="42">
        <f t="shared" si="329"/>
        <v>2.4761713337103407E-3</v>
      </c>
      <c r="Z722" s="10">
        <f t="shared" si="356"/>
        <v>15.180968171342682</v>
      </c>
      <c r="AA722">
        <f t="shared" si="334"/>
        <v>5009010.6225909414</v>
      </c>
      <c r="AB722" s="10">
        <f t="shared" si="335"/>
        <v>5.0090106225909414</v>
      </c>
      <c r="AC722" s="10">
        <f t="shared" si="336"/>
        <v>4.9080106225909415</v>
      </c>
      <c r="AD722" s="3">
        <f t="shared" si="337"/>
        <v>711.82170015822214</v>
      </c>
      <c r="AI722" s="94">
        <f t="shared" si="338"/>
        <v>0.44557498126495781</v>
      </c>
    </row>
    <row r="723" spans="2:35">
      <c r="B723" s="39">
        <f t="shared" si="339"/>
        <v>695</v>
      </c>
      <c r="C723" s="42">
        <f t="shared" si="340"/>
        <v>4.6166666666618434</v>
      </c>
      <c r="D723" s="10">
        <f t="shared" si="341"/>
        <v>0.9233333333375402</v>
      </c>
      <c r="E723" s="40">
        <f t="shared" si="342"/>
        <v>29.233333333324918</v>
      </c>
      <c r="F723" s="40">
        <f t="shared" si="343"/>
        <v>31.08</v>
      </c>
      <c r="G723" s="3">
        <f t="shared" si="344"/>
        <v>189.46666666671021</v>
      </c>
      <c r="H723" s="3">
        <f t="shared" si="345"/>
        <v>81.256230789298584</v>
      </c>
      <c r="I723">
        <f t="shared" si="330"/>
        <v>8.1256230789298584E-5</v>
      </c>
      <c r="J723" s="4">
        <f t="shared" si="346"/>
        <v>671.19167112818684</v>
      </c>
      <c r="K723" s="40">
        <f t="shared" si="347"/>
        <v>8.2601871217558678</v>
      </c>
      <c r="L723" s="40">
        <f t="shared" si="331"/>
        <v>0</v>
      </c>
      <c r="M723" s="10">
        <f t="shared" si="348"/>
        <v>5.0090106225909414</v>
      </c>
      <c r="N723" s="10">
        <f t="shared" si="327"/>
        <v>8.26</v>
      </c>
      <c r="O723" s="10">
        <f t="shared" si="328"/>
        <v>0.31900000000000001</v>
      </c>
      <c r="P723" s="10">
        <f t="shared" si="349"/>
        <v>13.8102302770458</v>
      </c>
      <c r="Q723" s="42">
        <f t="shared" si="350"/>
        <v>0.33629591786057339</v>
      </c>
      <c r="R723" s="4">
        <f t="shared" si="351"/>
        <v>16573.893245561907</v>
      </c>
      <c r="S723">
        <f t="shared" si="332"/>
        <v>1.6573893245561907E-5</v>
      </c>
      <c r="T723" s="41">
        <f t="shared" si="333"/>
        <v>1.6323047879632192E-4</v>
      </c>
      <c r="U723" s="42">
        <f t="shared" si="352"/>
        <v>2.9742680123823115E-2</v>
      </c>
      <c r="V723" s="42">
        <f t="shared" si="353"/>
        <v>0.44860497629122548</v>
      </c>
      <c r="W723" s="42">
        <f t="shared" si="354"/>
        <v>0.44551430301186973</v>
      </c>
      <c r="X723" s="42">
        <f t="shared" si="355"/>
        <v>3.090673279355749E-3</v>
      </c>
      <c r="Y723" s="42">
        <f t="shared" si="329"/>
        <v>2.4776579397445594E-3</v>
      </c>
      <c r="Z723" s="10">
        <f t="shared" si="356"/>
        <v>15.178892802465937</v>
      </c>
      <c r="AA723">
        <f t="shared" si="334"/>
        <v>5008339.6553391889</v>
      </c>
      <c r="AB723" s="10">
        <f t="shared" si="335"/>
        <v>5.0083396553391886</v>
      </c>
      <c r="AC723" s="10">
        <f t="shared" si="336"/>
        <v>4.9073396553391886</v>
      </c>
      <c r="AD723" s="3">
        <f t="shared" si="337"/>
        <v>711.72438801148496</v>
      </c>
      <c r="AI723" s="94">
        <f t="shared" si="338"/>
        <v>0.44551430301186973</v>
      </c>
    </row>
    <row r="724" spans="2:35">
      <c r="B724" s="39">
        <f t="shared" si="339"/>
        <v>696</v>
      </c>
      <c r="C724" s="42">
        <f t="shared" si="340"/>
        <v>4.6233093525131554</v>
      </c>
      <c r="D724" s="10">
        <f t="shared" si="341"/>
        <v>0.91669064748622731</v>
      </c>
      <c r="E724" s="40">
        <f t="shared" si="342"/>
        <v>29.246618705027544</v>
      </c>
      <c r="F724" s="40">
        <f t="shared" si="343"/>
        <v>31.08</v>
      </c>
      <c r="G724" s="3">
        <f t="shared" si="344"/>
        <v>189.41352517989972</v>
      </c>
      <c r="H724" s="3">
        <f t="shared" si="345"/>
        <v>81.256230789298584</v>
      </c>
      <c r="I724">
        <f t="shared" si="330"/>
        <v>8.1256230789298584E-5</v>
      </c>
      <c r="J724" s="4">
        <f t="shared" si="346"/>
        <v>671.80186887392438</v>
      </c>
      <c r="K724" s="40">
        <f t="shared" si="347"/>
        <v>8.2676966719750986</v>
      </c>
      <c r="L724" s="40">
        <f t="shared" si="331"/>
        <v>0</v>
      </c>
      <c r="M724" s="10">
        <f t="shared" si="348"/>
        <v>5.0083396553391886</v>
      </c>
      <c r="N724" s="10">
        <f t="shared" si="327"/>
        <v>8.26</v>
      </c>
      <c r="O724" s="10">
        <f t="shared" si="328"/>
        <v>0.31900000000000001</v>
      </c>
      <c r="P724" s="10">
        <f t="shared" si="349"/>
        <v>13.809640129257387</v>
      </c>
      <c r="Q724" s="42">
        <f t="shared" si="350"/>
        <v>0.33677693588777302</v>
      </c>
      <c r="R724" s="4">
        <f t="shared" si="351"/>
        <v>16453.664904741931</v>
      </c>
      <c r="S724">
        <f t="shared" si="332"/>
        <v>1.6453664904741932E-5</v>
      </c>
      <c r="T724" s="41">
        <f t="shared" si="333"/>
        <v>1.6335070713714191E-4</v>
      </c>
      <c r="U724" s="42">
        <f t="shared" si="352"/>
        <v>2.952692435480463E-2</v>
      </c>
      <c r="V724" s="42">
        <f t="shared" si="353"/>
        <v>0.44853988170581238</v>
      </c>
      <c r="W724" s="42">
        <f t="shared" si="354"/>
        <v>0.44545339737606443</v>
      </c>
      <c r="X724" s="42">
        <f t="shared" si="355"/>
        <v>3.0864843297479516E-3</v>
      </c>
      <c r="Y724" s="42">
        <f t="shared" si="329"/>
        <v>2.4791425943478372E-3</v>
      </c>
      <c r="Z724" s="10">
        <f t="shared" si="356"/>
        <v>15.176809686330042</v>
      </c>
      <c r="AA724">
        <f t="shared" si="334"/>
        <v>5007666.1833967101</v>
      </c>
      <c r="AB724" s="10">
        <f t="shared" si="335"/>
        <v>5.0076661833967098</v>
      </c>
      <c r="AC724" s="10">
        <f t="shared" si="336"/>
        <v>4.9066661833967098</v>
      </c>
      <c r="AD724" s="3">
        <f t="shared" si="337"/>
        <v>711.62671260285856</v>
      </c>
      <c r="AI724" s="94">
        <f t="shared" si="338"/>
        <v>0.44545339737606443</v>
      </c>
    </row>
    <row r="725" spans="2:35">
      <c r="B725" s="39">
        <f t="shared" si="339"/>
        <v>697</v>
      </c>
      <c r="C725" s="42">
        <f t="shared" si="340"/>
        <v>4.6299520383644674</v>
      </c>
      <c r="D725" s="10">
        <f t="shared" si="341"/>
        <v>0.91004796163491442</v>
      </c>
      <c r="E725" s="40">
        <f t="shared" si="342"/>
        <v>29.259904076730169</v>
      </c>
      <c r="F725" s="40">
        <f t="shared" si="343"/>
        <v>31.08</v>
      </c>
      <c r="G725" s="3">
        <f t="shared" si="344"/>
        <v>189.36038369308923</v>
      </c>
      <c r="H725" s="3">
        <f t="shared" si="345"/>
        <v>81.256230789298584</v>
      </c>
      <c r="I725">
        <f t="shared" si="330"/>
        <v>8.1256230789298584E-5</v>
      </c>
      <c r="J725" s="4">
        <f t="shared" si="346"/>
        <v>672.41234386694339</v>
      </c>
      <c r="K725" s="40">
        <f t="shared" si="347"/>
        <v>8.2752096342069041</v>
      </c>
      <c r="L725" s="40">
        <f t="shared" si="331"/>
        <v>0</v>
      </c>
      <c r="M725" s="10">
        <f t="shared" si="348"/>
        <v>5.0076661833967098</v>
      </c>
      <c r="N725" s="10">
        <f t="shared" si="327"/>
        <v>8.26</v>
      </c>
      <c r="O725" s="10">
        <f t="shared" si="328"/>
        <v>0.31900000000000001</v>
      </c>
      <c r="P725" s="10">
        <f t="shared" si="349"/>
        <v>13.809047724328055</v>
      </c>
      <c r="Q725" s="42">
        <f t="shared" si="350"/>
        <v>0.33725797455053391</v>
      </c>
      <c r="R725" s="4">
        <f t="shared" si="351"/>
        <v>16333.448917901267</v>
      </c>
      <c r="S725">
        <f t="shared" si="332"/>
        <v>1.6333448917901266E-5</v>
      </c>
      <c r="T725" s="41">
        <f t="shared" si="333"/>
        <v>1.6347092312398256E-4</v>
      </c>
      <c r="U725" s="42">
        <f t="shared" si="352"/>
        <v>2.9311190755619717E-2</v>
      </c>
      <c r="V725" s="42">
        <f t="shared" si="353"/>
        <v>0.44847455284929361</v>
      </c>
      <c r="W725" s="42">
        <f t="shared" si="354"/>
        <v>0.44539226438224599</v>
      </c>
      <c r="X725" s="42">
        <f t="shared" si="355"/>
        <v>3.0822884670476114E-3</v>
      </c>
      <c r="Y725" s="42">
        <f t="shared" si="329"/>
        <v>2.4806252942702689E-3</v>
      </c>
      <c r="Z725" s="10">
        <f t="shared" si="356"/>
        <v>15.174718823780474</v>
      </c>
      <c r="AA725">
        <f t="shared" si="334"/>
        <v>5006990.2070368472</v>
      </c>
      <c r="AB725" s="10">
        <f t="shared" si="335"/>
        <v>5.0069902070368473</v>
      </c>
      <c r="AC725" s="10">
        <f t="shared" si="336"/>
        <v>4.9059902070368473</v>
      </c>
      <c r="AD725" s="3">
        <f t="shared" si="337"/>
        <v>711.52867397198656</v>
      </c>
      <c r="AI725" s="94">
        <f t="shared" si="338"/>
        <v>0.44539226438224599</v>
      </c>
    </row>
    <row r="726" spans="2:35">
      <c r="B726" s="39">
        <f t="shared" si="339"/>
        <v>698</v>
      </c>
      <c r="C726" s="42">
        <f t="shared" si="340"/>
        <v>4.6365947242157795</v>
      </c>
      <c r="D726" s="10">
        <f t="shared" si="341"/>
        <v>0.90340527578360152</v>
      </c>
      <c r="E726" s="40">
        <f t="shared" si="342"/>
        <v>29.273189448432795</v>
      </c>
      <c r="F726" s="40">
        <f t="shared" si="343"/>
        <v>31.08</v>
      </c>
      <c r="G726" s="3">
        <f t="shared" si="344"/>
        <v>189.30724220627874</v>
      </c>
      <c r="H726" s="3">
        <f t="shared" si="345"/>
        <v>81.256230789298584</v>
      </c>
      <c r="I726">
        <f t="shared" si="330"/>
        <v>8.1256230789298584E-5</v>
      </c>
      <c r="J726" s="4">
        <f t="shared" si="346"/>
        <v>673.0230961072441</v>
      </c>
      <c r="K726" s="40">
        <f t="shared" si="347"/>
        <v>8.2827260084512933</v>
      </c>
      <c r="L726" s="40">
        <f t="shared" si="331"/>
        <v>0</v>
      </c>
      <c r="M726" s="10">
        <f t="shared" si="348"/>
        <v>5.0069902070368473</v>
      </c>
      <c r="N726" s="10">
        <f t="shared" si="327"/>
        <v>8.26</v>
      </c>
      <c r="O726" s="10">
        <f t="shared" si="328"/>
        <v>0.31900000000000001</v>
      </c>
      <c r="P726" s="10">
        <f t="shared" si="349"/>
        <v>13.80845306188071</v>
      </c>
      <c r="Q726" s="42">
        <f t="shared" si="350"/>
        <v>0.33773903392927412</v>
      </c>
      <c r="R726" s="4">
        <f t="shared" si="351"/>
        <v>16213.245329239897</v>
      </c>
      <c r="S726">
        <f t="shared" si="332"/>
        <v>1.6213245329239896E-5</v>
      </c>
      <c r="T726" s="41">
        <f t="shared" si="333"/>
        <v>1.6359112671264394E-4</v>
      </c>
      <c r="U726" s="42">
        <f t="shared" si="352"/>
        <v>2.9095479405587456E-2</v>
      </c>
      <c r="V726" s="42">
        <f t="shared" si="353"/>
        <v>0.44840898975332499</v>
      </c>
      <c r="W726" s="42">
        <f t="shared" si="354"/>
        <v>0.44533090405522663</v>
      </c>
      <c r="X726" s="42">
        <f t="shared" si="355"/>
        <v>3.0780856980983651E-3</v>
      </c>
      <c r="Y726" s="42">
        <f t="shared" si="329"/>
        <v>2.4821060362639051E-3</v>
      </c>
      <c r="Z726" s="10">
        <f t="shared" si="356"/>
        <v>15.172620215666399</v>
      </c>
      <c r="AA726">
        <f t="shared" si="334"/>
        <v>5006311.7265341356</v>
      </c>
      <c r="AB726" s="10">
        <f t="shared" si="335"/>
        <v>5.0063117265341353</v>
      </c>
      <c r="AC726" s="10">
        <f t="shared" si="336"/>
        <v>4.9053117265341353</v>
      </c>
      <c r="AD726" s="3">
        <f t="shared" si="337"/>
        <v>711.4302721586854</v>
      </c>
      <c r="AI726" s="94">
        <f t="shared" si="338"/>
        <v>0.44533090405522663</v>
      </c>
    </row>
    <row r="727" spans="2:35">
      <c r="B727" s="39">
        <f t="shared" si="339"/>
        <v>699</v>
      </c>
      <c r="C727" s="42">
        <f t="shared" si="340"/>
        <v>4.6432374100670915</v>
      </c>
      <c r="D727" s="10">
        <f t="shared" si="341"/>
        <v>0.89676258993228863</v>
      </c>
      <c r="E727" s="40">
        <f t="shared" si="342"/>
        <v>29.286474820135421</v>
      </c>
      <c r="F727" s="40">
        <f t="shared" si="343"/>
        <v>31.08</v>
      </c>
      <c r="G727" s="3">
        <f t="shared" si="344"/>
        <v>189.25410071946825</v>
      </c>
      <c r="H727" s="3">
        <f t="shared" si="345"/>
        <v>81.256230789298584</v>
      </c>
      <c r="I727">
        <f t="shared" si="330"/>
        <v>8.1256230789298584E-5</v>
      </c>
      <c r="J727" s="4">
        <f t="shared" si="346"/>
        <v>673.63412559482629</v>
      </c>
      <c r="K727" s="40">
        <f t="shared" si="347"/>
        <v>8.2902457947082588</v>
      </c>
      <c r="L727" s="40">
        <f t="shared" si="331"/>
        <v>0</v>
      </c>
      <c r="M727" s="10">
        <f t="shared" si="348"/>
        <v>5.0063117265341353</v>
      </c>
      <c r="N727" s="10">
        <f t="shared" si="327"/>
        <v>8.26</v>
      </c>
      <c r="O727" s="10">
        <f t="shared" si="328"/>
        <v>0.31900000000000001</v>
      </c>
      <c r="P727" s="10">
        <f t="shared" si="349"/>
        <v>13.807856141536856</v>
      </c>
      <c r="Q727" s="42">
        <f t="shared" si="350"/>
        <v>0.33822011410444552</v>
      </c>
      <c r="R727" s="4">
        <f t="shared" si="351"/>
        <v>16093.054182957818</v>
      </c>
      <c r="S727">
        <f t="shared" si="332"/>
        <v>1.6093054182957817E-5</v>
      </c>
      <c r="T727" s="41">
        <f t="shared" si="333"/>
        <v>1.6371131785892601E-4</v>
      </c>
      <c r="U727" s="42">
        <f t="shared" si="352"/>
        <v>2.8879790384026952E-2</v>
      </c>
      <c r="V727" s="42">
        <f t="shared" si="353"/>
        <v>0.44834319244948911</v>
      </c>
      <c r="W727" s="42">
        <f t="shared" si="354"/>
        <v>0.44526931641992668</v>
      </c>
      <c r="X727" s="42">
        <f t="shared" si="355"/>
        <v>3.073876029562439E-3</v>
      </c>
      <c r="Y727" s="42">
        <f t="shared" si="329"/>
        <v>2.483584817082662E-3</v>
      </c>
      <c r="Z727" s="10">
        <f t="shared" si="356"/>
        <v>15.170513862840117</v>
      </c>
      <c r="AA727">
        <f t="shared" si="334"/>
        <v>5005630.7421641257</v>
      </c>
      <c r="AB727" s="10">
        <f t="shared" si="335"/>
        <v>5.0056307421641257</v>
      </c>
      <c r="AC727" s="10">
        <f t="shared" si="336"/>
        <v>4.9046307421641258</v>
      </c>
      <c r="AD727" s="3">
        <f t="shared" si="337"/>
        <v>711.33150720291883</v>
      </c>
      <c r="AI727" s="94">
        <f t="shared" si="338"/>
        <v>0.44526931641992668</v>
      </c>
    </row>
    <row r="728" spans="2:35">
      <c r="B728" s="39">
        <f t="shared" si="339"/>
        <v>700</v>
      </c>
      <c r="C728" s="42">
        <f t="shared" si="340"/>
        <v>4.6498800959184035</v>
      </c>
      <c r="D728" s="10">
        <f t="shared" si="341"/>
        <v>0.89011990408097574</v>
      </c>
      <c r="E728" s="40">
        <f t="shared" si="342"/>
        <v>29.299760191838047</v>
      </c>
      <c r="F728" s="40">
        <f t="shared" si="343"/>
        <v>31.08</v>
      </c>
      <c r="G728" s="3">
        <f t="shared" si="344"/>
        <v>189.20095923265777</v>
      </c>
      <c r="H728" s="3">
        <f t="shared" si="345"/>
        <v>81.256230789298584</v>
      </c>
      <c r="I728">
        <f t="shared" si="330"/>
        <v>8.1256230789298584E-5</v>
      </c>
      <c r="J728" s="4">
        <f t="shared" si="346"/>
        <v>674.24543232969006</v>
      </c>
      <c r="K728" s="40">
        <f t="shared" si="347"/>
        <v>8.2977689929778027</v>
      </c>
      <c r="L728" s="40">
        <f t="shared" si="331"/>
        <v>0</v>
      </c>
      <c r="M728" s="10">
        <f t="shared" si="348"/>
        <v>5.0056307421641257</v>
      </c>
      <c r="N728" s="10">
        <f t="shared" si="327"/>
        <v>8.26</v>
      </c>
      <c r="O728" s="10">
        <f t="shared" si="328"/>
        <v>0.31900000000000001</v>
      </c>
      <c r="P728" s="10">
        <f t="shared" si="349"/>
        <v>13.807256962916451</v>
      </c>
      <c r="Q728" s="42">
        <f t="shared" si="350"/>
        <v>0.33870121515653379</v>
      </c>
      <c r="R728" s="4">
        <f t="shared" si="351"/>
        <v>15972.875523255028</v>
      </c>
      <c r="S728">
        <f t="shared" si="332"/>
        <v>1.5972875523255029E-5</v>
      </c>
      <c r="T728" s="41">
        <f t="shared" si="333"/>
        <v>1.6383149651862881E-4</v>
      </c>
      <c r="U728" s="42">
        <f t="shared" si="352"/>
        <v>2.8664123770257309E-2</v>
      </c>
      <c r="V728" s="42">
        <f t="shared" si="353"/>
        <v>0.44827716096965992</v>
      </c>
      <c r="W728" s="42">
        <f t="shared" si="354"/>
        <v>0.44520750150135846</v>
      </c>
      <c r="X728" s="42">
        <f t="shared" si="355"/>
        <v>3.0696594683014555E-3</v>
      </c>
      <c r="Y728" s="42">
        <f t="shared" si="329"/>
        <v>2.4850616334824143E-3</v>
      </c>
      <c r="Z728" s="10">
        <f t="shared" si="356"/>
        <v>15.168399766157572</v>
      </c>
      <c r="AA728">
        <f t="shared" si="334"/>
        <v>5004947.2542035421</v>
      </c>
      <c r="AB728" s="10">
        <f t="shared" si="335"/>
        <v>5.0049472542035423</v>
      </c>
      <c r="AC728" s="10">
        <f t="shared" si="336"/>
        <v>4.9039472542035423</v>
      </c>
      <c r="AD728" s="3">
        <f t="shared" si="337"/>
        <v>711.23237914482115</v>
      </c>
      <c r="AI728" s="94">
        <f t="shared" si="338"/>
        <v>0.44520750150135846</v>
      </c>
    </row>
    <row r="729" spans="2:35">
      <c r="B729" s="39">
        <f t="shared" si="339"/>
        <v>701</v>
      </c>
      <c r="C729" s="42">
        <f t="shared" si="340"/>
        <v>4.6565227817697155</v>
      </c>
      <c r="D729" s="10">
        <f t="shared" si="341"/>
        <v>0.88347721822966285</v>
      </c>
      <c r="E729" s="40">
        <f t="shared" si="342"/>
        <v>29.313045563540673</v>
      </c>
      <c r="F729" s="40">
        <f t="shared" si="343"/>
        <v>31.08</v>
      </c>
      <c r="G729" s="3">
        <f t="shared" si="344"/>
        <v>189.14781774584728</v>
      </c>
      <c r="H729" s="3">
        <f t="shared" si="345"/>
        <v>81.256230789298584</v>
      </c>
      <c r="I729">
        <f t="shared" si="330"/>
        <v>8.1256230789298584E-5</v>
      </c>
      <c r="J729" s="4">
        <f t="shared" si="346"/>
        <v>674.85701631183531</v>
      </c>
      <c r="K729" s="40">
        <f t="shared" si="347"/>
        <v>8.3052956032599248</v>
      </c>
      <c r="L729" s="40">
        <f t="shared" si="331"/>
        <v>0</v>
      </c>
      <c r="M729" s="10">
        <f t="shared" si="348"/>
        <v>5.0049472542035423</v>
      </c>
      <c r="N729" s="10">
        <f t="shared" si="327"/>
        <v>8.26</v>
      </c>
      <c r="O729" s="10">
        <f t="shared" si="328"/>
        <v>0.31900000000000001</v>
      </c>
      <c r="P729" s="10">
        <f t="shared" si="349"/>
        <v>13.806655525638041</v>
      </c>
      <c r="Q729" s="42">
        <f t="shared" si="350"/>
        <v>0.33918233716605861</v>
      </c>
      <c r="R729" s="4">
        <f t="shared" si="351"/>
        <v>15852.709394331541</v>
      </c>
      <c r="S729">
        <f t="shared" si="332"/>
        <v>1.5852709394331543E-5</v>
      </c>
      <c r="T729" s="41">
        <f t="shared" si="333"/>
        <v>1.639516626475523E-4</v>
      </c>
      <c r="U729" s="42">
        <f t="shared" si="352"/>
        <v>2.8448479643597663E-2</v>
      </c>
      <c r="V729" s="42">
        <f t="shared" si="353"/>
        <v>0.44821089534570191</v>
      </c>
      <c r="W729" s="42">
        <f t="shared" si="354"/>
        <v>0.44514545932464133</v>
      </c>
      <c r="X729" s="42">
        <f t="shared" si="355"/>
        <v>3.0654360210605747E-3</v>
      </c>
      <c r="Y729" s="42">
        <f t="shared" si="329"/>
        <v>2.4865364822209369E-3</v>
      </c>
      <c r="Z729" s="10">
        <f t="shared" si="356"/>
        <v>15.166277926477981</v>
      </c>
      <c r="AA729">
        <f t="shared" si="334"/>
        <v>5004261.2629301716</v>
      </c>
      <c r="AB729" s="10">
        <f t="shared" si="335"/>
        <v>5.0042612629301715</v>
      </c>
      <c r="AC729" s="10">
        <f t="shared" si="336"/>
        <v>4.9032612629301715</v>
      </c>
      <c r="AD729" s="3">
        <f t="shared" si="337"/>
        <v>711.13288802468048</v>
      </c>
      <c r="AI729" s="94">
        <f t="shared" si="338"/>
        <v>0.44514545932464133</v>
      </c>
    </row>
    <row r="730" spans="2:35">
      <c r="B730" s="39">
        <f t="shared" si="339"/>
        <v>702</v>
      </c>
      <c r="C730" s="42">
        <f t="shared" si="340"/>
        <v>4.6631654676210275</v>
      </c>
      <c r="D730" s="10">
        <f t="shared" si="341"/>
        <v>0.87683453237834996</v>
      </c>
      <c r="E730" s="40">
        <f t="shared" si="342"/>
        <v>29.326330935243298</v>
      </c>
      <c r="F730" s="40">
        <f t="shared" si="343"/>
        <v>31.08</v>
      </c>
      <c r="G730" s="3">
        <f t="shared" si="344"/>
        <v>189.09467625903679</v>
      </c>
      <c r="H730" s="3">
        <f t="shared" si="345"/>
        <v>81.256230789298584</v>
      </c>
      <c r="I730">
        <f t="shared" si="330"/>
        <v>8.1256230789298584E-5</v>
      </c>
      <c r="J730" s="4">
        <f t="shared" si="346"/>
        <v>675.46887754126215</v>
      </c>
      <c r="K730" s="40">
        <f t="shared" si="347"/>
        <v>8.3128256255546269</v>
      </c>
      <c r="L730" s="40">
        <f t="shared" si="331"/>
        <v>0</v>
      </c>
      <c r="M730" s="10">
        <f t="shared" si="348"/>
        <v>5.0042612629301715</v>
      </c>
      <c r="N730" s="10">
        <f t="shared" si="327"/>
        <v>8.26</v>
      </c>
      <c r="O730" s="10">
        <f t="shared" si="328"/>
        <v>0.31900000000000001</v>
      </c>
      <c r="P730" s="10">
        <f t="shared" si="349"/>
        <v>13.80605182931866</v>
      </c>
      <c r="Q730" s="42">
        <f t="shared" si="350"/>
        <v>0.3396634802135739</v>
      </c>
      <c r="R730" s="4">
        <f t="shared" si="351"/>
        <v>15732.555840387344</v>
      </c>
      <c r="S730">
        <f t="shared" si="332"/>
        <v>1.5732555840387343E-5</v>
      </c>
      <c r="T730" s="41">
        <f t="shared" si="333"/>
        <v>1.6407181620149648E-4</v>
      </c>
      <c r="U730" s="42">
        <f t="shared" si="352"/>
        <v>2.8232858083367104E-2</v>
      </c>
      <c r="V730" s="42">
        <f t="shared" si="353"/>
        <v>0.44814439560972436</v>
      </c>
      <c r="W730" s="42">
        <f t="shared" si="354"/>
        <v>0.44508318991499063</v>
      </c>
      <c r="X730" s="42">
        <f t="shared" si="355"/>
        <v>3.0612056947337263E-3</v>
      </c>
      <c r="Y730" s="42">
        <f t="shared" si="329"/>
        <v>2.4880093600579724E-3</v>
      </c>
      <c r="Z730" s="10">
        <f t="shared" si="356"/>
        <v>15.164148344664204</v>
      </c>
      <c r="AA730">
        <f t="shared" si="334"/>
        <v>5003572.7686229749</v>
      </c>
      <c r="AB730" s="10">
        <f t="shared" si="335"/>
        <v>5.0035727686229752</v>
      </c>
      <c r="AC730" s="10">
        <f t="shared" si="336"/>
        <v>4.9025727686229752</v>
      </c>
      <c r="AD730" s="3">
        <f t="shared" si="337"/>
        <v>711.03303388295501</v>
      </c>
      <c r="AI730" s="94">
        <f t="shared" si="338"/>
        <v>0.44508318991499063</v>
      </c>
    </row>
    <row r="731" spans="2:35">
      <c r="B731" s="39">
        <f t="shared" si="339"/>
        <v>703</v>
      </c>
      <c r="C731" s="42">
        <f t="shared" si="340"/>
        <v>4.6698081534723395</v>
      </c>
      <c r="D731" s="10">
        <f t="shared" si="341"/>
        <v>0.87019184652703707</v>
      </c>
      <c r="E731" s="40">
        <f t="shared" si="342"/>
        <v>29.339616306945924</v>
      </c>
      <c r="F731" s="40">
        <f t="shared" si="343"/>
        <v>31.08</v>
      </c>
      <c r="G731" s="3">
        <f t="shared" si="344"/>
        <v>189.0415347722263</v>
      </c>
      <c r="H731" s="3">
        <f t="shared" si="345"/>
        <v>81.256230789298584</v>
      </c>
      <c r="I731">
        <f t="shared" si="330"/>
        <v>8.1256230789298584E-5</v>
      </c>
      <c r="J731" s="4">
        <f t="shared" si="346"/>
        <v>676.08101601797068</v>
      </c>
      <c r="K731" s="40">
        <f t="shared" si="347"/>
        <v>8.320359059861909</v>
      </c>
      <c r="L731" s="40">
        <f t="shared" si="331"/>
        <v>0</v>
      </c>
      <c r="M731" s="10">
        <f t="shared" si="348"/>
        <v>5.0035727686229752</v>
      </c>
      <c r="N731" s="10">
        <f t="shared" si="327"/>
        <v>8.26</v>
      </c>
      <c r="O731" s="10">
        <f t="shared" si="328"/>
        <v>0.31900000000000001</v>
      </c>
      <c r="P731" s="10">
        <f t="shared" si="349"/>
        <v>13.805445873573932</v>
      </c>
      <c r="Q731" s="42">
        <f t="shared" si="350"/>
        <v>0.34014464437966774</v>
      </c>
      <c r="R731" s="4">
        <f t="shared" si="351"/>
        <v>15612.414905622429</v>
      </c>
      <c r="S731">
        <f t="shared" si="332"/>
        <v>1.5612414905622428E-5</v>
      </c>
      <c r="T731" s="41">
        <f t="shared" si="333"/>
        <v>1.6419195713626142E-4</v>
      </c>
      <c r="U731" s="42">
        <f t="shared" si="352"/>
        <v>2.8017259168884728E-2</v>
      </c>
      <c r="V731" s="42">
        <f t="shared" si="353"/>
        <v>0.44807766179397662</v>
      </c>
      <c r="W731" s="42">
        <f t="shared" si="354"/>
        <v>0.44502069329772864</v>
      </c>
      <c r="X731" s="42">
        <f t="shared" si="355"/>
        <v>3.0569684962479804E-3</v>
      </c>
      <c r="Y731" s="42">
        <f t="shared" si="329"/>
        <v>2.4894802637552447E-3</v>
      </c>
      <c r="Z731" s="10">
        <f t="shared" si="356"/>
        <v>15.16201102158279</v>
      </c>
      <c r="AA731">
        <f t="shared" si="334"/>
        <v>5002881.7715621097</v>
      </c>
      <c r="AB731" s="10">
        <f t="shared" si="335"/>
        <v>5.0028817715621097</v>
      </c>
      <c r="AC731" s="10">
        <f t="shared" si="336"/>
        <v>4.9018817715621097</v>
      </c>
      <c r="AD731" s="3">
        <f t="shared" si="337"/>
        <v>710.93281676027698</v>
      </c>
      <c r="AI731" s="94">
        <f t="shared" si="338"/>
        <v>0.44502069329772864</v>
      </c>
    </row>
    <row r="732" spans="2:35">
      <c r="B732" s="39">
        <f t="shared" si="339"/>
        <v>704</v>
      </c>
      <c r="C732" s="42">
        <f t="shared" si="340"/>
        <v>4.6764508393236515</v>
      </c>
      <c r="D732" s="10">
        <f t="shared" si="341"/>
        <v>0.86354916067572418</v>
      </c>
      <c r="E732" s="40">
        <f t="shared" si="342"/>
        <v>29.35290167864855</v>
      </c>
      <c r="F732" s="40">
        <f t="shared" si="343"/>
        <v>31.08</v>
      </c>
      <c r="G732" s="3">
        <f t="shared" si="344"/>
        <v>188.98839328541581</v>
      </c>
      <c r="H732" s="3">
        <f t="shared" si="345"/>
        <v>81.256230789298584</v>
      </c>
      <c r="I732">
        <f t="shared" si="330"/>
        <v>8.1256230789298584E-5</v>
      </c>
      <c r="J732" s="4">
        <f t="shared" si="346"/>
        <v>676.69343174196058</v>
      </c>
      <c r="K732" s="40">
        <f t="shared" si="347"/>
        <v>8.3278959061817677</v>
      </c>
      <c r="L732" s="40">
        <f t="shared" si="331"/>
        <v>0</v>
      </c>
      <c r="M732" s="10">
        <f t="shared" si="348"/>
        <v>5.0028817715621097</v>
      </c>
      <c r="N732" s="10">
        <f t="shared" ref="N732:N795" si="357">IF(fueltype=1,VLOOKUP($M732,kndxbn_,4),IF(fueltype=2,VLOOKUP($M732,knsobn_,4),IF(fueltype=3,VLOOKUP($M732,knsbcobn_,4),IF(fueltype=4,VLOOKUP($M732,knsubn_,4),IF(fueltype=5,am_1,IF(fueltype=6,am_0,IF(fueltype=7,am_3,am_4)))))))</f>
        <v>8.26</v>
      </c>
      <c r="O732" s="10">
        <f t="shared" ref="O732:O795" si="358">IF(fueltype=1,VLOOKUP($M732,kndxbn_,5),IF(fueltype=2,VLOOKUP($M732,knsobn_,5),IF(fueltype=3,VLOOKUP($M732,knsbcobn_,5),IF(fueltype=4,VLOOKUP($M732,knsubn_,5),IF(fueltype=5,nm_1,IF(fueltype=6,an_0,IF(fueltype=7,nm_3,nm_4)))))))</f>
        <v>0.31900000000000001</v>
      </c>
      <c r="P732" s="10">
        <f t="shared" si="349"/>
        <v>13.804837658018073</v>
      </c>
      <c r="Q732" s="42">
        <f t="shared" si="350"/>
        <v>0.34062582974496275</v>
      </c>
      <c r="R732" s="4">
        <f t="shared" si="351"/>
        <v>15492.286634236814</v>
      </c>
      <c r="S732">
        <f t="shared" si="332"/>
        <v>1.5492286634236813E-5</v>
      </c>
      <c r="T732" s="41">
        <f t="shared" si="333"/>
        <v>1.6431208540764703E-4</v>
      </c>
      <c r="U732" s="42">
        <f t="shared" si="352"/>
        <v>2.780168297946967E-2</v>
      </c>
      <c r="V732" s="42">
        <f t="shared" si="353"/>
        <v>0.44801069393058179</v>
      </c>
      <c r="W732" s="42">
        <f t="shared" si="354"/>
        <v>0.44495796949828575</v>
      </c>
      <c r="X732" s="42">
        <f t="shared" si="355"/>
        <v>3.052724432296039E-3</v>
      </c>
      <c r="Y732" s="42">
        <f t="shared" si="329"/>
        <v>2.4909491900763441E-3</v>
      </c>
      <c r="Z732" s="10">
        <f t="shared" si="356"/>
        <v>15.159865958103262</v>
      </c>
      <c r="AA732">
        <f t="shared" si="334"/>
        <v>5002188.2720286911</v>
      </c>
      <c r="AB732" s="10">
        <f t="shared" si="335"/>
        <v>5.0021882720286914</v>
      </c>
      <c r="AC732" s="10">
        <f t="shared" si="336"/>
        <v>4.9011882720286915</v>
      </c>
      <c r="AD732" s="3">
        <f t="shared" si="337"/>
        <v>710.8322366974171</v>
      </c>
      <c r="AI732" s="94">
        <f t="shared" si="338"/>
        <v>0.44495796949828575</v>
      </c>
    </row>
    <row r="733" spans="2:35">
      <c r="B733" s="39">
        <f t="shared" si="339"/>
        <v>705</v>
      </c>
      <c r="C733" s="42">
        <f t="shared" si="340"/>
        <v>4.6830935251749635</v>
      </c>
      <c r="D733" s="10">
        <f t="shared" si="341"/>
        <v>0.85690647482441129</v>
      </c>
      <c r="E733" s="40">
        <f t="shared" si="342"/>
        <v>29.366187050351176</v>
      </c>
      <c r="F733" s="40">
        <f t="shared" si="343"/>
        <v>31.08</v>
      </c>
      <c r="G733" s="3">
        <f t="shared" si="344"/>
        <v>188.93525179860532</v>
      </c>
      <c r="H733" s="3">
        <f t="shared" si="345"/>
        <v>81.256230789298584</v>
      </c>
      <c r="I733">
        <f t="shared" si="330"/>
        <v>8.1256230789298584E-5</v>
      </c>
      <c r="J733" s="4">
        <f t="shared" si="346"/>
        <v>677.30612471323218</v>
      </c>
      <c r="K733" s="40">
        <f t="shared" si="347"/>
        <v>8.3354361645142063</v>
      </c>
      <c r="L733" s="40">
        <f t="shared" si="331"/>
        <v>0</v>
      </c>
      <c r="M733" s="10">
        <f t="shared" si="348"/>
        <v>5.0021882720286914</v>
      </c>
      <c r="N733" s="10">
        <f t="shared" si="357"/>
        <v>8.26</v>
      </c>
      <c r="O733" s="10">
        <f t="shared" si="358"/>
        <v>0.31900000000000001</v>
      </c>
      <c r="P733" s="10">
        <f t="shared" si="349"/>
        <v>13.804227182263707</v>
      </c>
      <c r="Q733" s="42">
        <f t="shared" si="350"/>
        <v>0.34110703639011614</v>
      </c>
      <c r="R733" s="4">
        <f t="shared" si="351"/>
        <v>15372.171070430479</v>
      </c>
      <c r="S733">
        <f t="shared" si="332"/>
        <v>1.537217107043048E-5</v>
      </c>
      <c r="T733" s="41">
        <f t="shared" si="333"/>
        <v>1.6443220097145335E-4</v>
      </c>
      <c r="U733" s="42">
        <f t="shared" si="352"/>
        <v>2.7586129594441011E-2</v>
      </c>
      <c r="V733" s="42">
        <f t="shared" si="353"/>
        <v>0.44794349205204731</v>
      </c>
      <c r="W733" s="42">
        <f t="shared" si="354"/>
        <v>0.44489501854217994</v>
      </c>
      <c r="X733" s="42">
        <f t="shared" si="355"/>
        <v>3.0484735098673665E-3</v>
      </c>
      <c r="Y733" s="42">
        <f t="shared" si="329"/>
        <v>2.4924161357868665E-3</v>
      </c>
      <c r="Z733" s="10">
        <f t="shared" si="356"/>
        <v>15.157713155098913</v>
      </c>
      <c r="AA733">
        <f t="shared" si="334"/>
        <v>5001492.270305058</v>
      </c>
      <c r="AB733" s="10">
        <f t="shared" si="335"/>
        <v>5.0014922703050582</v>
      </c>
      <c r="AC733" s="10">
        <f t="shared" si="336"/>
        <v>4.9004922703050582</v>
      </c>
      <c r="AD733" s="3">
        <f t="shared" si="337"/>
        <v>710.7312937353239</v>
      </c>
      <c r="AI733" s="94">
        <f t="shared" si="338"/>
        <v>0.44489501854217994</v>
      </c>
    </row>
    <row r="734" spans="2:35">
      <c r="B734" s="39">
        <f t="shared" si="339"/>
        <v>706</v>
      </c>
      <c r="C734" s="42">
        <f t="shared" si="340"/>
        <v>4.6897362110262755</v>
      </c>
      <c r="D734" s="10">
        <f t="shared" si="341"/>
        <v>0.8502637889730984</v>
      </c>
      <c r="E734" s="40">
        <f t="shared" si="342"/>
        <v>29.379472422053801</v>
      </c>
      <c r="F734" s="40">
        <f t="shared" si="343"/>
        <v>31.08</v>
      </c>
      <c r="G734" s="3">
        <f t="shared" si="344"/>
        <v>188.88211031179483</v>
      </c>
      <c r="H734" s="3">
        <f t="shared" si="345"/>
        <v>81.256230789298584</v>
      </c>
      <c r="I734">
        <f t="shared" si="330"/>
        <v>8.1256230789298584E-5</v>
      </c>
      <c r="J734" s="4">
        <f t="shared" si="346"/>
        <v>677.91909493178525</v>
      </c>
      <c r="K734" s="40">
        <f t="shared" si="347"/>
        <v>8.3429798348592232</v>
      </c>
      <c r="L734" s="40">
        <f t="shared" si="331"/>
        <v>0</v>
      </c>
      <c r="M734" s="10">
        <f t="shared" si="348"/>
        <v>5.0014922703050582</v>
      </c>
      <c r="N734" s="10">
        <f t="shared" si="357"/>
        <v>8.26</v>
      </c>
      <c r="O734" s="10">
        <f t="shared" si="358"/>
        <v>0.31900000000000001</v>
      </c>
      <c r="P734" s="10">
        <f t="shared" si="349"/>
        <v>13.80361444592207</v>
      </c>
      <c r="Q734" s="42">
        <f t="shared" si="350"/>
        <v>0.34158826439581969</v>
      </c>
      <c r="R734" s="4">
        <f t="shared" si="351"/>
        <v>15252.06825840342</v>
      </c>
      <c r="S734">
        <f t="shared" si="332"/>
        <v>1.525206825840342E-5</v>
      </c>
      <c r="T734" s="41">
        <f t="shared" si="333"/>
        <v>1.6455230378348041E-4</v>
      </c>
      <c r="U734" s="42">
        <f t="shared" si="352"/>
        <v>2.7370599093117856E-2</v>
      </c>
      <c r="V734" s="42">
        <f t="shared" si="353"/>
        <v>0.44787605619097826</v>
      </c>
      <c r="W734" s="42">
        <f t="shared" si="354"/>
        <v>0.44483184045503965</v>
      </c>
      <c r="X734" s="42">
        <f t="shared" si="355"/>
        <v>3.0442157359386046E-3</v>
      </c>
      <c r="Y734" s="42">
        <f t="shared" ref="Y734:Y797" si="359">IF((X734*(Q734-Q733)+Y733)&lt;0,0,X734*(Q734-Q733)+Y733)</f>
        <v>2.4938810976544035E-3</v>
      </c>
      <c r="Z734" s="10">
        <f t="shared" si="356"/>
        <v>15.15555261344671</v>
      </c>
      <c r="AA734">
        <f t="shared" si="334"/>
        <v>5000793.7666747309</v>
      </c>
      <c r="AB734" s="10">
        <f t="shared" si="335"/>
        <v>5.0007937666747306</v>
      </c>
      <c r="AC734" s="10">
        <f t="shared" si="336"/>
        <v>4.8997937666747307</v>
      </c>
      <c r="AD734" s="3">
        <f t="shared" si="337"/>
        <v>710.62998791511689</v>
      </c>
      <c r="AI734" s="94">
        <f t="shared" si="338"/>
        <v>0.44483184045503965</v>
      </c>
    </row>
    <row r="735" spans="2:35">
      <c r="B735" s="39">
        <f t="shared" si="339"/>
        <v>707</v>
      </c>
      <c r="C735" s="42">
        <f t="shared" si="340"/>
        <v>4.6963788968775875</v>
      </c>
      <c r="D735" s="10">
        <f t="shared" si="341"/>
        <v>0.84362110312178551</v>
      </c>
      <c r="E735" s="40">
        <f t="shared" si="342"/>
        <v>29.392757793756427</v>
      </c>
      <c r="F735" s="40">
        <f t="shared" si="343"/>
        <v>31.08</v>
      </c>
      <c r="G735" s="3">
        <f t="shared" si="344"/>
        <v>188.82896882498434</v>
      </c>
      <c r="H735" s="3">
        <f t="shared" si="345"/>
        <v>81.256230789298584</v>
      </c>
      <c r="I735">
        <f t="shared" si="330"/>
        <v>8.1256230789298584E-5</v>
      </c>
      <c r="J735" s="4">
        <f t="shared" si="346"/>
        <v>678.53234239761991</v>
      </c>
      <c r="K735" s="40">
        <f t="shared" si="347"/>
        <v>8.3505269172168202</v>
      </c>
      <c r="L735" s="40">
        <f t="shared" si="331"/>
        <v>0</v>
      </c>
      <c r="M735" s="10">
        <f t="shared" si="348"/>
        <v>5.0007937666747306</v>
      </c>
      <c r="N735" s="10">
        <f t="shared" si="357"/>
        <v>8.26</v>
      </c>
      <c r="O735" s="10">
        <f t="shared" si="358"/>
        <v>0.31900000000000001</v>
      </c>
      <c r="P735" s="10">
        <f t="shared" si="349"/>
        <v>13.802999448602993</v>
      </c>
      <c r="Q735" s="42">
        <f t="shared" si="350"/>
        <v>0.34206951384280015</v>
      </c>
      <c r="R735" s="4">
        <f t="shared" si="351"/>
        <v>15131.978242355661</v>
      </c>
      <c r="S735">
        <f t="shared" si="332"/>
        <v>1.513197824235566E-5</v>
      </c>
      <c r="T735" s="41">
        <f t="shared" si="333"/>
        <v>1.6467239379952818E-4</v>
      </c>
      <c r="U735" s="42">
        <f t="shared" si="352"/>
        <v>2.7155091554819349E-2</v>
      </c>
      <c r="V735" s="42">
        <f t="shared" si="353"/>
        <v>0.44780838637982384</v>
      </c>
      <c r="W735" s="42">
        <f t="shared" si="354"/>
        <v>0.4447684352626009</v>
      </c>
      <c r="X735" s="42">
        <f t="shared" si="355"/>
        <v>3.0399511172229388E-3</v>
      </c>
      <c r="Y735" s="42">
        <f t="shared" si="359"/>
        <v>2.4953440724484149E-3</v>
      </c>
      <c r="Z735" s="10">
        <f t="shared" si="356"/>
        <v>15.153384334026512</v>
      </c>
      <c r="AA735">
        <f t="shared" si="334"/>
        <v>5000092.7614221694</v>
      </c>
      <c r="AB735" s="10">
        <f t="shared" si="335"/>
        <v>5.0000927614221693</v>
      </c>
      <c r="AC735" s="10">
        <f t="shared" si="336"/>
        <v>4.8990927614221693</v>
      </c>
      <c r="AD735" s="3">
        <f t="shared" si="337"/>
        <v>710.52831927805209</v>
      </c>
      <c r="AI735" s="94">
        <f t="shared" si="338"/>
        <v>0.4447684352626009</v>
      </c>
    </row>
    <row r="736" spans="2:35">
      <c r="B736" s="39">
        <f t="shared" si="339"/>
        <v>708</v>
      </c>
      <c r="C736" s="42">
        <f t="shared" si="340"/>
        <v>4.7030215827288995</v>
      </c>
      <c r="D736" s="10">
        <f t="shared" si="341"/>
        <v>0.83697841727047262</v>
      </c>
      <c r="E736" s="40">
        <f t="shared" si="342"/>
        <v>29.406043165459053</v>
      </c>
      <c r="F736" s="40">
        <f t="shared" si="343"/>
        <v>31.08</v>
      </c>
      <c r="G736" s="3">
        <f t="shared" si="344"/>
        <v>188.77582733817385</v>
      </c>
      <c r="H736" s="3">
        <f t="shared" si="345"/>
        <v>81.256230789298584</v>
      </c>
      <c r="I736">
        <f t="shared" si="330"/>
        <v>8.1256230789298584E-5</v>
      </c>
      <c r="J736" s="4">
        <f t="shared" si="346"/>
        <v>679.14586711073628</v>
      </c>
      <c r="K736" s="40">
        <f t="shared" si="347"/>
        <v>8.3580774115869954</v>
      </c>
      <c r="L736" s="40">
        <f t="shared" si="331"/>
        <v>0</v>
      </c>
      <c r="M736" s="10">
        <f t="shared" si="348"/>
        <v>5.0000927614221693</v>
      </c>
      <c r="N736" s="10">
        <f t="shared" si="357"/>
        <v>8.26</v>
      </c>
      <c r="O736" s="10">
        <f t="shared" si="358"/>
        <v>0.31900000000000001</v>
      </c>
      <c r="P736" s="10">
        <f t="shared" si="349"/>
        <v>13.802382189914672</v>
      </c>
      <c r="Q736" s="42">
        <f t="shared" si="350"/>
        <v>0.34255078481181922</v>
      </c>
      <c r="R736" s="4">
        <f t="shared" si="351"/>
        <v>15011.901066487157</v>
      </c>
      <c r="S736">
        <f t="shared" si="332"/>
        <v>1.5011901066487157E-5</v>
      </c>
      <c r="T736" s="41">
        <f t="shared" si="333"/>
        <v>1.6479247097539668E-4</v>
      </c>
      <c r="U736" s="42">
        <f t="shared" si="352"/>
        <v>2.6939607058864522E-2</v>
      </c>
      <c r="V736" s="42">
        <f t="shared" si="353"/>
        <v>0.44774048265165856</v>
      </c>
      <c r="W736" s="42">
        <f t="shared" si="354"/>
        <v>0.4447048029906851</v>
      </c>
      <c r="X736" s="42">
        <f t="shared" si="355"/>
        <v>3.035679660973456E-3</v>
      </c>
      <c r="Y736" s="42">
        <f t="shared" si="359"/>
        <v>2.4968050569404831E-3</v>
      </c>
      <c r="Z736" s="10">
        <f t="shared" si="356"/>
        <v>15.151208317722556</v>
      </c>
      <c r="AA736">
        <f t="shared" si="334"/>
        <v>4999389.2548332475</v>
      </c>
      <c r="AB736" s="10">
        <f t="shared" si="335"/>
        <v>4.9993892548332477</v>
      </c>
      <c r="AC736" s="10">
        <f t="shared" si="336"/>
        <v>4.8983892548332477</v>
      </c>
      <c r="AD736" s="3">
        <f t="shared" si="337"/>
        <v>710.42628786559067</v>
      </c>
      <c r="AI736" s="94">
        <f t="shared" si="338"/>
        <v>0.4447048029906851</v>
      </c>
    </row>
    <row r="737" spans="2:35">
      <c r="B737" s="39">
        <f t="shared" si="339"/>
        <v>709</v>
      </c>
      <c r="C737" s="42">
        <f t="shared" si="340"/>
        <v>4.7096642685802115</v>
      </c>
      <c r="D737" s="10">
        <f t="shared" si="341"/>
        <v>0.83033573141915973</v>
      </c>
      <c r="E737" s="40">
        <f t="shared" si="342"/>
        <v>29.419328537161679</v>
      </c>
      <c r="F737" s="40">
        <f t="shared" si="343"/>
        <v>31.08</v>
      </c>
      <c r="G737" s="3">
        <f t="shared" si="344"/>
        <v>188.72268585136337</v>
      </c>
      <c r="H737" s="3">
        <f t="shared" si="345"/>
        <v>81.256230789298584</v>
      </c>
      <c r="I737">
        <f t="shared" si="330"/>
        <v>8.1256230789298584E-5</v>
      </c>
      <c r="J737" s="4">
        <f t="shared" si="346"/>
        <v>679.75966907113389</v>
      </c>
      <c r="K737" s="40">
        <f t="shared" si="347"/>
        <v>8.365631317969747</v>
      </c>
      <c r="L737" s="40">
        <f t="shared" si="331"/>
        <v>0</v>
      </c>
      <c r="M737" s="10">
        <f t="shared" si="348"/>
        <v>4.9993892548332477</v>
      </c>
      <c r="N737" s="10">
        <f t="shared" si="357"/>
        <v>8.26</v>
      </c>
      <c r="O737" s="10">
        <f t="shared" si="358"/>
        <v>0.31900000000000001</v>
      </c>
      <c r="P737" s="10">
        <f t="shared" si="349"/>
        <v>13.801762669464098</v>
      </c>
      <c r="Q737" s="42">
        <f t="shared" si="350"/>
        <v>0.34303207738367375</v>
      </c>
      <c r="R737" s="4">
        <f t="shared" si="351"/>
        <v>14891.836774997962</v>
      </c>
      <c r="S737">
        <f t="shared" si="332"/>
        <v>1.4891836774997962E-5</v>
      </c>
      <c r="T737" s="41">
        <f t="shared" si="333"/>
        <v>1.6491253526688588E-4</v>
      </c>
      <c r="U737" s="42">
        <f t="shared" si="352"/>
        <v>2.6724145684572591E-2</v>
      </c>
      <c r="V737" s="42">
        <f t="shared" si="353"/>
        <v>0.44767234503892095</v>
      </c>
      <c r="W737" s="42">
        <f t="shared" si="354"/>
        <v>0.44464094366524154</v>
      </c>
      <c r="X737" s="42">
        <f t="shared" si="355"/>
        <v>3.0314013736794099E-3</v>
      </c>
      <c r="Y737" s="42">
        <f t="shared" si="359"/>
        <v>2.4982640479039447E-3</v>
      </c>
      <c r="Z737" s="10">
        <f t="shared" si="356"/>
        <v>15.149024565421204</v>
      </c>
      <c r="AA737">
        <f t="shared" si="334"/>
        <v>4998683.2471945267</v>
      </c>
      <c r="AB737" s="10">
        <f t="shared" si="335"/>
        <v>4.9986832471945268</v>
      </c>
      <c r="AC737" s="10">
        <f t="shared" si="336"/>
        <v>4.8976832471945269</v>
      </c>
      <c r="AD737" s="3">
        <f t="shared" si="337"/>
        <v>710.32389371929321</v>
      </c>
      <c r="AI737" s="94">
        <f t="shared" si="338"/>
        <v>0.44464094366524154</v>
      </c>
    </row>
    <row r="738" spans="2:35">
      <c r="B738" s="39">
        <f t="shared" si="339"/>
        <v>710</v>
      </c>
      <c r="C738" s="42">
        <f t="shared" si="340"/>
        <v>4.7163069544315235</v>
      </c>
      <c r="D738" s="10">
        <f t="shared" si="341"/>
        <v>0.82369304556784684</v>
      </c>
      <c r="E738" s="40">
        <f t="shared" si="342"/>
        <v>29.432613908864305</v>
      </c>
      <c r="F738" s="40">
        <f t="shared" si="343"/>
        <v>31.08</v>
      </c>
      <c r="G738" s="3">
        <f t="shared" si="344"/>
        <v>188.66954436455288</v>
      </c>
      <c r="H738" s="3">
        <f t="shared" si="345"/>
        <v>81.256230789298584</v>
      </c>
      <c r="I738">
        <f t="shared" si="330"/>
        <v>8.1256230789298584E-5</v>
      </c>
      <c r="J738" s="4">
        <f t="shared" si="346"/>
        <v>680.37374827881331</v>
      </c>
      <c r="K738" s="40">
        <f t="shared" si="347"/>
        <v>8.3731886363650805</v>
      </c>
      <c r="L738" s="40">
        <f t="shared" si="331"/>
        <v>0</v>
      </c>
      <c r="M738" s="10">
        <f t="shared" si="348"/>
        <v>4.9986832471945268</v>
      </c>
      <c r="N738" s="10">
        <f t="shared" si="357"/>
        <v>8.26</v>
      </c>
      <c r="O738" s="10">
        <f t="shared" si="358"/>
        <v>0.31900000000000001</v>
      </c>
      <c r="P738" s="10">
        <f t="shared" si="349"/>
        <v>13.8011408868564</v>
      </c>
      <c r="Q738" s="42">
        <f t="shared" si="350"/>
        <v>0.34351339163919581</v>
      </c>
      <c r="R738" s="4">
        <f t="shared" si="351"/>
        <v>14771.785412088022</v>
      </c>
      <c r="S738">
        <f t="shared" si="332"/>
        <v>1.4771785412088023E-5</v>
      </c>
      <c r="T738" s="41">
        <f t="shared" si="333"/>
        <v>1.6503258662979581E-4</v>
      </c>
      <c r="U738" s="42">
        <f t="shared" si="352"/>
        <v>2.6508707511262556E-2</v>
      </c>
      <c r="V738" s="42">
        <f t="shared" si="353"/>
        <v>0.44760397357514248</v>
      </c>
      <c r="W738" s="42">
        <f t="shared" si="354"/>
        <v>0.44457685731228269</v>
      </c>
      <c r="X738" s="42">
        <f t="shared" si="355"/>
        <v>3.0271162628597859E-3</v>
      </c>
      <c r="Y738" s="42">
        <f t="shared" si="359"/>
        <v>2.4997210421143817E-3</v>
      </c>
      <c r="Z738" s="10">
        <f t="shared" si="356"/>
        <v>15.146833078013877</v>
      </c>
      <c r="AA738">
        <f t="shared" si="334"/>
        <v>4997974.7387942038</v>
      </c>
      <c r="AB738" s="10">
        <f t="shared" si="335"/>
        <v>4.9979747387942037</v>
      </c>
      <c r="AC738" s="10">
        <f t="shared" si="336"/>
        <v>4.8969747387942038</v>
      </c>
      <c r="AD738" s="3">
        <f t="shared" si="337"/>
        <v>710.22113688095783</v>
      </c>
      <c r="AI738" s="94">
        <f t="shared" si="338"/>
        <v>0.44457685731228269</v>
      </c>
    </row>
    <row r="739" spans="2:35">
      <c r="B739" s="39">
        <f t="shared" si="339"/>
        <v>711</v>
      </c>
      <c r="C739" s="42">
        <f t="shared" si="340"/>
        <v>4.7229496402828355</v>
      </c>
      <c r="D739" s="10">
        <f t="shared" si="341"/>
        <v>0.81705035971653395</v>
      </c>
      <c r="E739" s="40">
        <f t="shared" si="342"/>
        <v>29.44589928056693</v>
      </c>
      <c r="F739" s="40">
        <f t="shared" si="343"/>
        <v>31.08</v>
      </c>
      <c r="G739" s="3">
        <f t="shared" si="344"/>
        <v>188.61640287774239</v>
      </c>
      <c r="H739" s="3">
        <f t="shared" si="345"/>
        <v>81.256230789298584</v>
      </c>
      <c r="I739">
        <f t="shared" si="330"/>
        <v>8.1256230789298584E-5</v>
      </c>
      <c r="J739" s="4">
        <f t="shared" si="346"/>
        <v>680.98810473377421</v>
      </c>
      <c r="K739" s="40">
        <f t="shared" si="347"/>
        <v>8.3807493667729922</v>
      </c>
      <c r="L739" s="40">
        <f t="shared" si="331"/>
        <v>0</v>
      </c>
      <c r="M739" s="10">
        <f t="shared" si="348"/>
        <v>4.9979747387942037</v>
      </c>
      <c r="N739" s="10">
        <f t="shared" si="357"/>
        <v>8.26</v>
      </c>
      <c r="O739" s="10">
        <f t="shared" si="358"/>
        <v>0.31900000000000001</v>
      </c>
      <c r="P739" s="10">
        <f t="shared" si="349"/>
        <v>13.8005168416957</v>
      </c>
      <c r="Q739" s="42">
        <f t="shared" si="350"/>
        <v>0.34399472765925287</v>
      </c>
      <c r="R739" s="4">
        <f t="shared" si="351"/>
        <v>14651.74702195737</v>
      </c>
      <c r="S739">
        <f t="shared" si="332"/>
        <v>1.465174702195737E-5</v>
      </c>
      <c r="T739" s="41">
        <f t="shared" si="333"/>
        <v>1.6515262501992647E-4</v>
      </c>
      <c r="U739" s="42">
        <f t="shared" si="352"/>
        <v>2.6293292618253597E-2</v>
      </c>
      <c r="V739" s="42">
        <f t="shared" si="353"/>
        <v>0.44753536829306889</v>
      </c>
      <c r="W739" s="42">
        <f t="shared" si="354"/>
        <v>0.44451254395796863</v>
      </c>
      <c r="X739" s="42">
        <f t="shared" si="355"/>
        <v>3.0228243351002604E-3</v>
      </c>
      <c r="Y739" s="42">
        <f t="shared" si="359"/>
        <v>2.5011760363491706E-3</v>
      </c>
      <c r="Z739" s="10">
        <f t="shared" si="356"/>
        <v>15.144633856394298</v>
      </c>
      <c r="AA739">
        <f t="shared" si="334"/>
        <v>4997263.7299212189</v>
      </c>
      <c r="AB739" s="10">
        <f t="shared" si="335"/>
        <v>4.9972637299212188</v>
      </c>
      <c r="AC739" s="10">
        <f t="shared" si="336"/>
        <v>4.8962637299212188</v>
      </c>
      <c r="AD739" s="3">
        <f t="shared" si="337"/>
        <v>710.11801739249006</v>
      </c>
      <c r="AI739" s="94">
        <f t="shared" si="338"/>
        <v>0.44451254395796863</v>
      </c>
    </row>
    <row r="740" spans="2:35">
      <c r="B740" s="39">
        <f t="shared" si="339"/>
        <v>712</v>
      </c>
      <c r="C740" s="42">
        <f t="shared" si="340"/>
        <v>4.7295923261341475</v>
      </c>
      <c r="D740" s="10">
        <f t="shared" si="341"/>
        <v>0.81040767386522106</v>
      </c>
      <c r="E740" s="40">
        <f t="shared" si="342"/>
        <v>29.459184652269556</v>
      </c>
      <c r="F740" s="40">
        <f t="shared" si="343"/>
        <v>31.08</v>
      </c>
      <c r="G740" s="3">
        <f t="shared" si="344"/>
        <v>188.5632613909319</v>
      </c>
      <c r="H740" s="3">
        <f t="shared" si="345"/>
        <v>81.256230789298584</v>
      </c>
      <c r="I740">
        <f t="shared" si="330"/>
        <v>8.1256230789298584E-5</v>
      </c>
      <c r="J740" s="4">
        <f t="shared" si="346"/>
        <v>681.60273843601669</v>
      </c>
      <c r="K740" s="40">
        <f t="shared" si="347"/>
        <v>8.3883135091934822</v>
      </c>
      <c r="L740" s="40">
        <f t="shared" si="331"/>
        <v>0</v>
      </c>
      <c r="M740" s="10">
        <f t="shared" si="348"/>
        <v>4.9972637299212188</v>
      </c>
      <c r="N740" s="10">
        <f t="shared" si="357"/>
        <v>8.26</v>
      </c>
      <c r="O740" s="10">
        <f t="shared" si="358"/>
        <v>0.31900000000000001</v>
      </c>
      <c r="P740" s="10">
        <f t="shared" si="349"/>
        <v>13.799890533584302</v>
      </c>
      <c r="Q740" s="42">
        <f t="shared" si="350"/>
        <v>0.34447608552474795</v>
      </c>
      <c r="R740" s="4">
        <f t="shared" si="351"/>
        <v>14531.721648805986</v>
      </c>
      <c r="S740">
        <f t="shared" si="332"/>
        <v>1.4531721648805986E-5</v>
      </c>
      <c r="T740" s="41">
        <f t="shared" si="333"/>
        <v>1.6527265039307785E-4</v>
      </c>
      <c r="U740" s="42">
        <f t="shared" si="352"/>
        <v>2.6077901084864782E-2</v>
      </c>
      <c r="V740" s="42">
        <f t="shared" si="353"/>
        <v>0.44746652922619806</v>
      </c>
      <c r="W740" s="42">
        <f t="shared" si="354"/>
        <v>0.44444800362852743</v>
      </c>
      <c r="X740" s="42">
        <f t="shared" si="355"/>
        <v>3.0185255976706293E-3</v>
      </c>
      <c r="Y740" s="42">
        <f t="shared" si="359"/>
        <v>2.5026290273878074E-3</v>
      </c>
      <c r="Z740" s="10">
        <f t="shared" si="356"/>
        <v>15.142426901460434</v>
      </c>
      <c r="AA740">
        <f t="shared" si="334"/>
        <v>4996550.2208658848</v>
      </c>
      <c r="AB740" s="10">
        <f t="shared" si="335"/>
        <v>4.9965502208658847</v>
      </c>
      <c r="AC740" s="10">
        <f t="shared" si="336"/>
        <v>4.8955502208658848</v>
      </c>
      <c r="AD740" s="3">
        <f t="shared" si="337"/>
        <v>710.01453529599485</v>
      </c>
      <c r="AI740" s="94">
        <f t="shared" si="338"/>
        <v>0.44444800362852743</v>
      </c>
    </row>
    <row r="741" spans="2:35">
      <c r="B741" s="39">
        <f t="shared" si="339"/>
        <v>713</v>
      </c>
      <c r="C741" s="42">
        <f t="shared" si="340"/>
        <v>4.7362350119854595</v>
      </c>
      <c r="D741" s="10">
        <f t="shared" si="341"/>
        <v>0.80376498801390817</v>
      </c>
      <c r="E741" s="40">
        <f t="shared" si="342"/>
        <v>29.472470023972182</v>
      </c>
      <c r="F741" s="40">
        <f t="shared" si="343"/>
        <v>31.08</v>
      </c>
      <c r="G741" s="3">
        <f t="shared" si="344"/>
        <v>188.51011990412141</v>
      </c>
      <c r="H741" s="3">
        <f t="shared" si="345"/>
        <v>81.256230789298584</v>
      </c>
      <c r="I741">
        <f t="shared" si="330"/>
        <v>8.1256230789298584E-5</v>
      </c>
      <c r="J741" s="4">
        <f t="shared" si="346"/>
        <v>682.21764938554077</v>
      </c>
      <c r="K741" s="40">
        <f t="shared" si="347"/>
        <v>8.3958810636265522</v>
      </c>
      <c r="L741" s="40">
        <f t="shared" si="331"/>
        <v>0</v>
      </c>
      <c r="M741" s="10">
        <f t="shared" si="348"/>
        <v>4.9965502208658847</v>
      </c>
      <c r="N741" s="10">
        <f t="shared" si="357"/>
        <v>8.26</v>
      </c>
      <c r="O741" s="10">
        <f t="shared" si="358"/>
        <v>0.31900000000000001</v>
      </c>
      <c r="P741" s="10">
        <f t="shared" si="349"/>
        <v>13.799261962123257</v>
      </c>
      <c r="Q741" s="42">
        <f t="shared" si="350"/>
        <v>0.3449574653166198</v>
      </c>
      <c r="R741" s="4">
        <f t="shared" si="351"/>
        <v>14411.709336833866</v>
      </c>
      <c r="S741">
        <f t="shared" si="332"/>
        <v>1.4411709336833867E-5</v>
      </c>
      <c r="T741" s="41">
        <f t="shared" si="333"/>
        <v>1.6539266270504995E-4</v>
      </c>
      <c r="U741" s="42">
        <f t="shared" si="352"/>
        <v>2.5862532990415212E-2</v>
      </c>
      <c r="V741" s="42">
        <f t="shared" si="353"/>
        <v>0.4473974564077759</v>
      </c>
      <c r="W741" s="42">
        <f t="shared" si="354"/>
        <v>0.44438323635031146</v>
      </c>
      <c r="X741" s="42">
        <f t="shared" si="355"/>
        <v>3.014220057464434E-3</v>
      </c>
      <c r="Y741" s="42">
        <f t="shared" si="359"/>
        <v>2.5040800120117255E-3</v>
      </c>
      <c r="Z741" s="10">
        <f t="shared" si="356"/>
        <v>15.140212214113342</v>
      </c>
      <c r="AA741">
        <f t="shared" si="334"/>
        <v>4995834.2119195145</v>
      </c>
      <c r="AB741" s="10">
        <f t="shared" si="335"/>
        <v>4.9958342119195143</v>
      </c>
      <c r="AC741" s="10">
        <f t="shared" si="336"/>
        <v>4.8948342119195143</v>
      </c>
      <c r="AD741" s="3">
        <f t="shared" si="337"/>
        <v>709.9106906337222</v>
      </c>
      <c r="AI741" s="94">
        <f t="shared" si="338"/>
        <v>0.44438323635031146</v>
      </c>
    </row>
    <row r="742" spans="2:35">
      <c r="B742" s="39">
        <f t="shared" si="339"/>
        <v>714</v>
      </c>
      <c r="C742" s="42">
        <f t="shared" si="340"/>
        <v>4.7428776978367715</v>
      </c>
      <c r="D742" s="10">
        <f t="shared" si="341"/>
        <v>0.79712230216259528</v>
      </c>
      <c r="E742" s="40">
        <f t="shared" si="342"/>
        <v>29.485755395674808</v>
      </c>
      <c r="F742" s="40">
        <f t="shared" si="343"/>
        <v>31.08</v>
      </c>
      <c r="G742" s="3">
        <f t="shared" si="344"/>
        <v>188.45697841731092</v>
      </c>
      <c r="H742" s="3">
        <f t="shared" si="345"/>
        <v>81.256230789298584</v>
      </c>
      <c r="I742">
        <f t="shared" si="330"/>
        <v>8.1256230789298584E-5</v>
      </c>
      <c r="J742" s="4">
        <f t="shared" si="346"/>
        <v>682.83283758234643</v>
      </c>
      <c r="K742" s="40">
        <f t="shared" si="347"/>
        <v>8.4034520300722004</v>
      </c>
      <c r="L742" s="40">
        <f t="shared" si="331"/>
        <v>0</v>
      </c>
      <c r="M742" s="10">
        <f t="shared" si="348"/>
        <v>4.9958342119195143</v>
      </c>
      <c r="N742" s="10">
        <f t="shared" si="357"/>
        <v>8.26</v>
      </c>
      <c r="O742" s="10">
        <f t="shared" si="358"/>
        <v>0.31900000000000001</v>
      </c>
      <c r="P742" s="10">
        <f t="shared" si="349"/>
        <v>13.798631126912042</v>
      </c>
      <c r="Q742" s="42">
        <f t="shared" si="350"/>
        <v>0.34543886711584293</v>
      </c>
      <c r="R742" s="4">
        <f t="shared" si="351"/>
        <v>14291.710130241016</v>
      </c>
      <c r="S742">
        <f t="shared" si="332"/>
        <v>1.4291710130241016E-5</v>
      </c>
      <c r="T742" s="41">
        <f t="shared" si="333"/>
        <v>1.6551266191164283E-4</v>
      </c>
      <c r="U742" s="42">
        <f t="shared" si="352"/>
        <v>2.5647188414224014E-2</v>
      </c>
      <c r="V742" s="42">
        <f t="shared" si="353"/>
        <v>0.44732814987130592</v>
      </c>
      <c r="W742" s="42">
        <f t="shared" si="354"/>
        <v>0.44431824214976434</v>
      </c>
      <c r="X742" s="42">
        <f t="shared" si="355"/>
        <v>3.0099077215415826E-3</v>
      </c>
      <c r="Y742" s="42">
        <f t="shared" si="359"/>
        <v>2.5055289870043714E-3</v>
      </c>
      <c r="Z742" s="10">
        <f t="shared" si="356"/>
        <v>15.137989795257607</v>
      </c>
      <c r="AA742">
        <f t="shared" si="334"/>
        <v>4995115.70337456</v>
      </c>
      <c r="AB742" s="10">
        <f t="shared" si="335"/>
        <v>4.9951157033745597</v>
      </c>
      <c r="AC742" s="10">
        <f t="shared" si="336"/>
        <v>4.8941157033745597</v>
      </c>
      <c r="AD742" s="3">
        <f t="shared" si="337"/>
        <v>709.80648344808696</v>
      </c>
      <c r="AI742" s="94">
        <f t="shared" si="338"/>
        <v>0.44431824214976434</v>
      </c>
    </row>
    <row r="743" spans="2:35">
      <c r="B743" s="39">
        <f t="shared" si="339"/>
        <v>715</v>
      </c>
      <c r="C743" s="42">
        <f t="shared" si="340"/>
        <v>4.7495203836880835</v>
      </c>
      <c r="D743" s="10">
        <f t="shared" si="341"/>
        <v>0.79047961631128238</v>
      </c>
      <c r="E743" s="40">
        <f t="shared" si="342"/>
        <v>29.499040767377434</v>
      </c>
      <c r="F743" s="40">
        <f t="shared" si="343"/>
        <v>31.08</v>
      </c>
      <c r="G743" s="3">
        <f t="shared" si="344"/>
        <v>188.40383693050043</v>
      </c>
      <c r="H743" s="3">
        <f t="shared" si="345"/>
        <v>81.256230789298584</v>
      </c>
      <c r="I743">
        <f t="shared" ref="I743:I806" si="360">H743/1000^2</f>
        <v>8.1256230789298584E-5</v>
      </c>
      <c r="J743" s="4">
        <f t="shared" si="346"/>
        <v>683.44830302643356</v>
      </c>
      <c r="K743" s="40">
        <f t="shared" si="347"/>
        <v>8.4110264085304269</v>
      </c>
      <c r="L743" s="40">
        <f t="shared" ref="L743:L806" si="361">IF((gstar-K743)&lt;0,0,gstar-K743)</f>
        <v>0</v>
      </c>
      <c r="M743" s="10">
        <f t="shared" si="348"/>
        <v>4.9951157033745597</v>
      </c>
      <c r="N743" s="10">
        <f t="shared" si="357"/>
        <v>8.26</v>
      </c>
      <c r="O743" s="10">
        <f t="shared" si="358"/>
        <v>0.31900000000000001</v>
      </c>
      <c r="P743" s="10">
        <f t="shared" si="349"/>
        <v>13.79799802754866</v>
      </c>
      <c r="Q743" s="42">
        <f t="shared" si="350"/>
        <v>0.34592029100342786</v>
      </c>
      <c r="R743" s="4">
        <f t="shared" si="351"/>
        <v>14171.724073227444</v>
      </c>
      <c r="S743">
        <f t="shared" ref="S743:S806" si="362">R743/1000^3</f>
        <v>1.4171724073227444E-5</v>
      </c>
      <c r="T743" s="41">
        <f t="shared" ref="T743:T806" si="363">(vc/1000^3-S743)</f>
        <v>1.6563264796865638E-4</v>
      </c>
      <c r="U743" s="42">
        <f t="shared" si="352"/>
        <v>2.5431867435610309E-2</v>
      </c>
      <c r="V743" s="42">
        <f t="shared" si="353"/>
        <v>0.44725860965035602</v>
      </c>
      <c r="W743" s="42">
        <f t="shared" si="354"/>
        <v>0.44425302105343251</v>
      </c>
      <c r="X743" s="42">
        <f t="shared" si="355"/>
        <v>3.0055885969235141E-3</v>
      </c>
      <c r="Y743" s="42">
        <f t="shared" si="359"/>
        <v>2.5069759491511833E-3</v>
      </c>
      <c r="Z743" s="10">
        <f t="shared" si="356"/>
        <v>15.135759645801187</v>
      </c>
      <c r="AA743">
        <f t="shared" ref="AA743:AA806" si="364">Z743*rat*to+patm*1000000</f>
        <v>4994394.695524564</v>
      </c>
      <c r="AB743" s="10">
        <f t="shared" ref="AB743:AB806" si="365">AA743/1000000</f>
        <v>4.9943946955245639</v>
      </c>
      <c r="AC743" s="10">
        <f t="shared" ref="AC743:AC806" si="366">AB743-patm</f>
        <v>4.893394695524564</v>
      </c>
      <c r="AD743" s="3">
        <f t="shared" ref="AD743:AD806" si="367">AC743*1000000/6895</f>
        <v>709.70191378166271</v>
      </c>
      <c r="AI743" s="94">
        <f t="shared" ref="AI743:AI806" si="368">($M743-patm)*1000000*$I743/SQRT(rat*to)*SQRT(k)*(2/(k+1))^((k+1)/2/(k-1))</f>
        <v>0.44425302105343251</v>
      </c>
    </row>
    <row r="744" spans="2:35">
      <c r="B744" s="39">
        <f t="shared" ref="B744:B807" si="369">1+B743</f>
        <v>716</v>
      </c>
      <c r="C744" s="42">
        <f t="shared" ref="C744:C807" si="370">xincp+C743</f>
        <v>4.7561630695393955</v>
      </c>
      <c r="D744" s="10">
        <f t="shared" ref="D744:D807" si="371">(F744-E744)/2</f>
        <v>0.78383693045996949</v>
      </c>
      <c r="E744" s="40">
        <f t="shared" ref="E744:E807" si="372">E743+ci*2*xincp</f>
        <v>29.512326139080059</v>
      </c>
      <c r="F744" s="40">
        <f t="shared" ref="F744:F807" si="373">F743-osi*2*xincp</f>
        <v>31.08</v>
      </c>
      <c r="G744" s="3">
        <f t="shared" ref="G744:G807" si="374">G743-ei*n*2*xincp</f>
        <v>188.35069544368994</v>
      </c>
      <c r="H744" s="3">
        <f t="shared" ref="H744:H807" si="375">PI()/4*(dto+erate*(two-D744)/two)^2</f>
        <v>81.256230789298584</v>
      </c>
      <c r="I744">
        <f t="shared" si="360"/>
        <v>8.1256230789298584E-5</v>
      </c>
      <c r="J744" s="4">
        <f t="shared" ref="J744:J807" si="376">PI()/4*dc^2-PI()/4*(F744^2-E744^2)</f>
        <v>684.06404571780229</v>
      </c>
      <c r="K744" s="40">
        <f t="shared" ref="K744:K807" si="377">J744/H744</f>
        <v>8.4186041990012317</v>
      </c>
      <c r="L744" s="40">
        <f t="shared" si="361"/>
        <v>0</v>
      </c>
      <c r="M744" s="10">
        <f t="shared" ref="M744:M807" si="378">AB743</f>
        <v>4.9943946955245639</v>
      </c>
      <c r="N744" s="10">
        <f t="shared" si="357"/>
        <v>8.26</v>
      </c>
      <c r="O744" s="10">
        <f t="shared" si="358"/>
        <v>0.31900000000000001</v>
      </c>
      <c r="P744" s="10">
        <f t="shared" ref="P744:P807" si="379">(1+kv*L744)*N744*M744^O744</f>
        <v>13.797362663629613</v>
      </c>
      <c r="Q744" s="42">
        <f t="shared" ref="Q744:Q807" si="380">xincp/P744+Q743</f>
        <v>0.34640173706042121</v>
      </c>
      <c r="R744" s="4">
        <f t="shared" ref="R744:R807" si="381">PI()/4*(F744^2-E744^2)*G744</f>
        <v>14051.751209993132</v>
      </c>
      <c r="S744">
        <f t="shared" si="362"/>
        <v>1.4051751209993131E-5</v>
      </c>
      <c r="T744" s="41">
        <f t="shared" si="363"/>
        <v>1.6575262083189069E-4</v>
      </c>
      <c r="U744" s="42">
        <f t="shared" ref="U744:U807" si="382">rhopgrain*R744/1000^2</f>
        <v>2.5216570133893172E-2</v>
      </c>
      <c r="V744" s="42">
        <f t="shared" ref="V744:V807" si="383">(U743-U744)/(Q744-Q743)</f>
        <v>0.44718883577877233</v>
      </c>
      <c r="W744" s="42">
        <f t="shared" ref="W744:W807" si="384">IF(V744&lt;AI744,IF(AB743&gt;pbd,AI744,0),AI744)</f>
        <v>0.44418757308796181</v>
      </c>
      <c r="X744" s="42">
        <f t="shared" ref="X744:X807" si="385">V744-W744</f>
        <v>3.0012626908105244E-3</v>
      </c>
      <c r="Y744" s="42">
        <f t="shared" si="359"/>
        <v>2.5084208952396753E-3</v>
      </c>
      <c r="Z744" s="10">
        <f t="shared" ref="Z744:Z807" si="386">Y744/T744</f>
        <v>15.133521766655871</v>
      </c>
      <c r="AA744">
        <f t="shared" si="364"/>
        <v>4993671.1886643097</v>
      </c>
      <c r="AB744" s="10">
        <f t="shared" si="365"/>
        <v>4.9936711886643099</v>
      </c>
      <c r="AC744" s="10">
        <f t="shared" si="366"/>
        <v>4.8926711886643099</v>
      </c>
      <c r="AD744" s="3">
        <f t="shared" si="367"/>
        <v>709.59698167720228</v>
      </c>
      <c r="AI744" s="94">
        <f t="shared" si="368"/>
        <v>0.44418757308796181</v>
      </c>
    </row>
    <row r="745" spans="2:35">
      <c r="B745" s="39">
        <f t="shared" si="369"/>
        <v>717</v>
      </c>
      <c r="C745" s="42">
        <f t="shared" si="370"/>
        <v>4.7628057553907075</v>
      </c>
      <c r="D745" s="10">
        <f t="shared" si="371"/>
        <v>0.7771942446086566</v>
      </c>
      <c r="E745" s="40">
        <f t="shared" si="372"/>
        <v>29.525611510782685</v>
      </c>
      <c r="F745" s="40">
        <f t="shared" si="373"/>
        <v>31.08</v>
      </c>
      <c r="G745" s="3">
        <f t="shared" si="374"/>
        <v>188.29755395687945</v>
      </c>
      <c r="H745" s="3">
        <f t="shared" si="375"/>
        <v>81.256230789298584</v>
      </c>
      <c r="I745">
        <f t="shared" si="360"/>
        <v>8.1256230789298584E-5</v>
      </c>
      <c r="J745" s="4">
        <f t="shared" si="376"/>
        <v>684.68006565645248</v>
      </c>
      <c r="K745" s="40">
        <f t="shared" si="377"/>
        <v>8.4261854014846165</v>
      </c>
      <c r="L745" s="40">
        <f t="shared" si="361"/>
        <v>0</v>
      </c>
      <c r="M745" s="10">
        <f t="shared" si="378"/>
        <v>4.9936711886643099</v>
      </c>
      <c r="N745" s="10">
        <f t="shared" si="357"/>
        <v>8.26</v>
      </c>
      <c r="O745" s="10">
        <f t="shared" si="358"/>
        <v>0.31900000000000001</v>
      </c>
      <c r="P745" s="10">
        <f t="shared" si="379"/>
        <v>13.796725034750027</v>
      </c>
      <c r="Q745" s="42">
        <f t="shared" si="380"/>
        <v>0.34688320536790584</v>
      </c>
      <c r="R745" s="4">
        <f t="shared" si="381"/>
        <v>13931.791584738101</v>
      </c>
      <c r="S745">
        <f t="shared" si="362"/>
        <v>1.39317915847381E-5</v>
      </c>
      <c r="T745" s="41">
        <f t="shared" si="363"/>
        <v>1.6587258045714574E-4</v>
      </c>
      <c r="U745" s="42">
        <f t="shared" si="382"/>
        <v>2.5001296588391758E-2</v>
      </c>
      <c r="V745" s="42">
        <f t="shared" si="383"/>
        <v>0.44711882829023769</v>
      </c>
      <c r="W745" s="42">
        <f t="shared" si="384"/>
        <v>0.44412189828011056</v>
      </c>
      <c r="X745" s="42">
        <f t="shared" si="385"/>
        <v>2.9969300101271301E-3</v>
      </c>
      <c r="Y745" s="42">
        <f t="shared" si="359"/>
        <v>2.509863822059301E-3</v>
      </c>
      <c r="Z745" s="10">
        <f t="shared" si="386"/>
        <v>15.131276158736439</v>
      </c>
      <c r="AA745">
        <f t="shared" si="364"/>
        <v>4992945.1830895422</v>
      </c>
      <c r="AB745" s="10">
        <f t="shared" si="365"/>
        <v>4.9929451830895424</v>
      </c>
      <c r="AC745" s="10">
        <f t="shared" si="366"/>
        <v>4.8919451830895424</v>
      </c>
      <c r="AD745" s="3">
        <f t="shared" si="367"/>
        <v>709.49168717759858</v>
      </c>
      <c r="AI745" s="94">
        <f t="shared" si="368"/>
        <v>0.44412189828011056</v>
      </c>
    </row>
    <row r="746" spans="2:35">
      <c r="B746" s="39">
        <f t="shared" si="369"/>
        <v>718</v>
      </c>
      <c r="C746" s="42">
        <f t="shared" si="370"/>
        <v>4.7694484412420195</v>
      </c>
      <c r="D746" s="10">
        <f t="shared" si="371"/>
        <v>0.77055155875734371</v>
      </c>
      <c r="E746" s="40">
        <f t="shared" si="372"/>
        <v>29.538896882485311</v>
      </c>
      <c r="F746" s="40">
        <f t="shared" si="373"/>
        <v>31.08</v>
      </c>
      <c r="G746" s="3">
        <f t="shared" si="374"/>
        <v>188.24441247006897</v>
      </c>
      <c r="H746" s="3">
        <f t="shared" si="375"/>
        <v>81.256230789298584</v>
      </c>
      <c r="I746">
        <f t="shared" si="360"/>
        <v>8.1256230789298584E-5</v>
      </c>
      <c r="J746" s="4">
        <f t="shared" si="376"/>
        <v>685.2963628423845</v>
      </c>
      <c r="K746" s="40">
        <f t="shared" si="377"/>
        <v>8.4337700159805813</v>
      </c>
      <c r="L746" s="40">
        <f t="shared" si="361"/>
        <v>0</v>
      </c>
      <c r="M746" s="10">
        <f t="shared" si="378"/>
        <v>4.9929451830895424</v>
      </c>
      <c r="N746" s="10">
        <f t="shared" si="357"/>
        <v>8.26</v>
      </c>
      <c r="O746" s="10">
        <f t="shared" si="358"/>
        <v>0.31900000000000001</v>
      </c>
      <c r="P746" s="10">
        <f t="shared" si="379"/>
        <v>13.796085140503402</v>
      </c>
      <c r="Q746" s="42">
        <f t="shared" si="380"/>
        <v>0.34736469600700098</v>
      </c>
      <c r="R746" s="4">
        <f t="shared" si="381"/>
        <v>13811.845241662308</v>
      </c>
      <c r="S746">
        <f t="shared" si="362"/>
        <v>1.3811845241662308E-5</v>
      </c>
      <c r="T746" s="41">
        <f t="shared" si="363"/>
        <v>1.6599252680022153E-4</v>
      </c>
      <c r="U746" s="42">
        <f t="shared" si="382"/>
        <v>2.4786046878425092E-2</v>
      </c>
      <c r="V746" s="42">
        <f t="shared" si="383"/>
        <v>0.44704858721902224</v>
      </c>
      <c r="W746" s="42">
        <f t="shared" si="384"/>
        <v>0.44405599665672446</v>
      </c>
      <c r="X746" s="42">
        <f t="shared" si="385"/>
        <v>2.9925905622977811E-3</v>
      </c>
      <c r="Y746" s="42">
        <f t="shared" si="359"/>
        <v>2.5113047264016921E-3</v>
      </c>
      <c r="Z746" s="10">
        <f t="shared" si="386"/>
        <v>15.129022822962055</v>
      </c>
      <c r="AA746">
        <f t="shared" si="364"/>
        <v>4992216.6790974317</v>
      </c>
      <c r="AB746" s="10">
        <f t="shared" si="365"/>
        <v>4.9922166790974316</v>
      </c>
      <c r="AC746" s="10">
        <f t="shared" si="366"/>
        <v>4.8912166790974316</v>
      </c>
      <c r="AD746" s="3">
        <f t="shared" si="367"/>
        <v>709.38603032595097</v>
      </c>
      <c r="AI746" s="94">
        <f t="shared" si="368"/>
        <v>0.44405599665672446</v>
      </c>
    </row>
    <row r="747" spans="2:35">
      <c r="B747" s="39">
        <f t="shared" si="369"/>
        <v>719</v>
      </c>
      <c r="C747" s="42">
        <f t="shared" si="370"/>
        <v>4.7760911270933315</v>
      </c>
      <c r="D747" s="10">
        <f t="shared" si="371"/>
        <v>0.76390887290603082</v>
      </c>
      <c r="E747" s="40">
        <f t="shared" si="372"/>
        <v>29.552182254187937</v>
      </c>
      <c r="F747" s="40">
        <f t="shared" si="373"/>
        <v>31.08</v>
      </c>
      <c r="G747" s="3">
        <f t="shared" si="374"/>
        <v>188.19127098325848</v>
      </c>
      <c r="H747" s="3">
        <f t="shared" si="375"/>
        <v>81.256230789298584</v>
      </c>
      <c r="I747">
        <f t="shared" si="360"/>
        <v>8.1256230789298584E-5</v>
      </c>
      <c r="J747" s="4">
        <f t="shared" si="376"/>
        <v>685.91293727559787</v>
      </c>
      <c r="K747" s="40">
        <f t="shared" si="377"/>
        <v>8.4413580424891226</v>
      </c>
      <c r="L747" s="40">
        <f t="shared" si="361"/>
        <v>0</v>
      </c>
      <c r="M747" s="10">
        <f t="shared" si="378"/>
        <v>4.9922166790974316</v>
      </c>
      <c r="N747" s="10">
        <f t="shared" si="357"/>
        <v>8.26</v>
      </c>
      <c r="O747" s="10">
        <f t="shared" si="358"/>
        <v>0.31900000000000001</v>
      </c>
      <c r="P747" s="10">
        <f t="shared" si="379"/>
        <v>13.795442980482022</v>
      </c>
      <c r="Q747" s="42">
        <f t="shared" si="380"/>
        <v>0.34784620905886238</v>
      </c>
      <c r="R747" s="4">
        <f t="shared" si="381"/>
        <v>13691.912224965788</v>
      </c>
      <c r="S747">
        <f t="shared" si="362"/>
        <v>1.3691912224965789E-5</v>
      </c>
      <c r="T747" s="41">
        <f t="shared" si="363"/>
        <v>1.6611245981691805E-4</v>
      </c>
      <c r="U747" s="42">
        <f t="shared" si="382"/>
        <v>2.4570821083312353E-2</v>
      </c>
      <c r="V747" s="42">
        <f t="shared" si="383"/>
        <v>0.44697811259889431</v>
      </c>
      <c r="W747" s="42">
        <f t="shared" si="384"/>
        <v>0.44398986824477832</v>
      </c>
      <c r="X747" s="42">
        <f t="shared" si="385"/>
        <v>2.9882443541159875E-3</v>
      </c>
      <c r="Y747" s="42">
        <f t="shared" si="359"/>
        <v>2.5127436050603499E-3</v>
      </c>
      <c r="Z747" s="10">
        <f t="shared" si="386"/>
        <v>15.126761760254391</v>
      </c>
      <c r="AA747">
        <f t="shared" si="364"/>
        <v>4991485.6769859511</v>
      </c>
      <c r="AB747" s="10">
        <f t="shared" si="365"/>
        <v>4.9914856769859508</v>
      </c>
      <c r="AC747" s="10">
        <f t="shared" si="366"/>
        <v>4.8904856769859508</v>
      </c>
      <c r="AD747" s="3">
        <f t="shared" si="367"/>
        <v>709.28001116547512</v>
      </c>
      <c r="AI747" s="94">
        <f t="shared" si="368"/>
        <v>0.44398986824477832</v>
      </c>
    </row>
    <row r="748" spans="2:35">
      <c r="B748" s="39">
        <f t="shared" si="369"/>
        <v>720</v>
      </c>
      <c r="C748" s="42">
        <f t="shared" si="370"/>
        <v>4.7827338129446435</v>
      </c>
      <c r="D748" s="10">
        <f t="shared" si="371"/>
        <v>0.75726618705471793</v>
      </c>
      <c r="E748" s="40">
        <f t="shared" si="372"/>
        <v>29.565467625890562</v>
      </c>
      <c r="F748" s="40">
        <f t="shared" si="373"/>
        <v>31.08</v>
      </c>
      <c r="G748" s="3">
        <f t="shared" si="374"/>
        <v>188.13812949644799</v>
      </c>
      <c r="H748" s="3">
        <f t="shared" si="375"/>
        <v>81.256230789298584</v>
      </c>
      <c r="I748">
        <f t="shared" si="360"/>
        <v>8.1256230789298584E-5</v>
      </c>
      <c r="J748" s="4">
        <f t="shared" si="376"/>
        <v>686.52978895609272</v>
      </c>
      <c r="K748" s="40">
        <f t="shared" si="377"/>
        <v>8.4489494810102421</v>
      </c>
      <c r="L748" s="40">
        <f t="shared" si="361"/>
        <v>0</v>
      </c>
      <c r="M748" s="10">
        <f t="shared" si="378"/>
        <v>4.9914856769859508</v>
      </c>
      <c r="N748" s="10">
        <f t="shared" si="357"/>
        <v>8.26</v>
      </c>
      <c r="O748" s="10">
        <f t="shared" si="358"/>
        <v>0.31900000000000001</v>
      </c>
      <c r="P748" s="10">
        <f t="shared" si="379"/>
        <v>13.794798554276408</v>
      </c>
      <c r="Q748" s="42">
        <f t="shared" si="380"/>
        <v>0.34832774460468247</v>
      </c>
      <c r="R748" s="4">
        <f t="shared" si="381"/>
        <v>13571.992578848542</v>
      </c>
      <c r="S748">
        <f t="shared" si="362"/>
        <v>1.3571992578848541E-5</v>
      </c>
      <c r="T748" s="41">
        <f t="shared" si="363"/>
        <v>1.6623237946303528E-4</v>
      </c>
      <c r="U748" s="42">
        <f t="shared" si="382"/>
        <v>2.4355619282372648E-2</v>
      </c>
      <c r="V748" s="42">
        <f t="shared" si="383"/>
        <v>0.44690740446419464</v>
      </c>
      <c r="W748" s="42">
        <f t="shared" si="384"/>
        <v>0.44392351307132027</v>
      </c>
      <c r="X748" s="42">
        <f t="shared" si="385"/>
        <v>2.9838913928743604E-3</v>
      </c>
      <c r="Y748" s="42">
        <f t="shared" si="359"/>
        <v>2.5141804548308856E-3</v>
      </c>
      <c r="Z748" s="10">
        <f t="shared" si="386"/>
        <v>15.124492971539027</v>
      </c>
      <c r="AA748">
        <f t="shared" si="364"/>
        <v>4990752.1770543437</v>
      </c>
      <c r="AB748" s="10">
        <f t="shared" si="365"/>
        <v>4.9907521770543442</v>
      </c>
      <c r="AC748" s="10">
        <f t="shared" si="366"/>
        <v>4.8897521770543442</v>
      </c>
      <c r="AD748" s="3">
        <f t="shared" si="367"/>
        <v>709.1736297395712</v>
      </c>
      <c r="AI748" s="94">
        <f t="shared" si="368"/>
        <v>0.44392351307132027</v>
      </c>
    </row>
    <row r="749" spans="2:35">
      <c r="B749" s="39">
        <f t="shared" si="369"/>
        <v>721</v>
      </c>
      <c r="C749" s="42">
        <f t="shared" si="370"/>
        <v>4.7893764987959555</v>
      </c>
      <c r="D749" s="10">
        <f t="shared" si="371"/>
        <v>0.75062350120340504</v>
      </c>
      <c r="E749" s="40">
        <f t="shared" si="372"/>
        <v>29.578752997593188</v>
      </c>
      <c r="F749" s="40">
        <f t="shared" si="373"/>
        <v>31.08</v>
      </c>
      <c r="G749" s="3">
        <f t="shared" si="374"/>
        <v>188.0849880096375</v>
      </c>
      <c r="H749" s="3">
        <f t="shared" si="375"/>
        <v>81.256230789298584</v>
      </c>
      <c r="I749">
        <f t="shared" si="360"/>
        <v>8.1256230789298584E-5</v>
      </c>
      <c r="J749" s="4">
        <f t="shared" si="376"/>
        <v>687.14691788386938</v>
      </c>
      <c r="K749" s="40">
        <f t="shared" si="377"/>
        <v>8.4565443315439435</v>
      </c>
      <c r="L749" s="40">
        <f t="shared" si="361"/>
        <v>0</v>
      </c>
      <c r="M749" s="10">
        <f t="shared" si="378"/>
        <v>4.9907521770543442</v>
      </c>
      <c r="N749" s="10">
        <f t="shared" si="357"/>
        <v>8.26</v>
      </c>
      <c r="O749" s="10">
        <f t="shared" si="358"/>
        <v>0.31900000000000001</v>
      </c>
      <c r="P749" s="10">
        <f t="shared" si="379"/>
        <v>13.794151861475717</v>
      </c>
      <c r="Q749" s="42">
        <f t="shared" si="380"/>
        <v>0.3488093027256905</v>
      </c>
      <c r="R749" s="4">
        <f t="shared" si="381"/>
        <v>13452.086347510533</v>
      </c>
      <c r="S749">
        <f t="shared" si="362"/>
        <v>1.3452086347510533E-5</v>
      </c>
      <c r="T749" s="41">
        <f t="shared" si="363"/>
        <v>1.6635228569437331E-4</v>
      </c>
      <c r="U749" s="42">
        <f t="shared" si="382"/>
        <v>2.4140441554925025E-2</v>
      </c>
      <c r="V749" s="42">
        <f t="shared" si="383"/>
        <v>0.44683646284938328</v>
      </c>
      <c r="W749" s="42">
        <f t="shared" si="384"/>
        <v>0.44385693116351316</v>
      </c>
      <c r="X749" s="42">
        <f t="shared" si="385"/>
        <v>2.9795316858701182E-3</v>
      </c>
      <c r="Y749" s="42">
        <f t="shared" si="359"/>
        <v>2.5156152725110169E-3</v>
      </c>
      <c r="Z749" s="10">
        <f t="shared" si="386"/>
        <v>15.122216457745402</v>
      </c>
      <c r="AA749">
        <f t="shared" si="364"/>
        <v>4990016.1796030952</v>
      </c>
      <c r="AB749" s="10">
        <f t="shared" si="365"/>
        <v>4.9900161796030948</v>
      </c>
      <c r="AC749" s="10">
        <f t="shared" si="366"/>
        <v>4.8890161796030949</v>
      </c>
      <c r="AD749" s="3">
        <f t="shared" si="367"/>
        <v>709.06688609181947</v>
      </c>
      <c r="AI749" s="94">
        <f t="shared" si="368"/>
        <v>0.44385693116351316</v>
      </c>
    </row>
    <row r="750" spans="2:35">
      <c r="B750" s="39">
        <f t="shared" si="369"/>
        <v>722</v>
      </c>
      <c r="C750" s="42">
        <f t="shared" si="370"/>
        <v>4.7960191846472675</v>
      </c>
      <c r="D750" s="10">
        <f t="shared" si="371"/>
        <v>0.74398081535209215</v>
      </c>
      <c r="E750" s="40">
        <f t="shared" si="372"/>
        <v>29.592038369295814</v>
      </c>
      <c r="F750" s="40">
        <f t="shared" si="373"/>
        <v>31.08</v>
      </c>
      <c r="G750" s="3">
        <f t="shared" si="374"/>
        <v>188.03184652282701</v>
      </c>
      <c r="H750" s="3">
        <f t="shared" si="375"/>
        <v>81.256230789298584</v>
      </c>
      <c r="I750">
        <f t="shared" si="360"/>
        <v>8.1256230789298584E-5</v>
      </c>
      <c r="J750" s="4">
        <f t="shared" si="376"/>
        <v>687.7643240589274</v>
      </c>
      <c r="K750" s="40">
        <f t="shared" si="377"/>
        <v>8.4641425940902213</v>
      </c>
      <c r="L750" s="40">
        <f t="shared" si="361"/>
        <v>0</v>
      </c>
      <c r="M750" s="10">
        <f t="shared" si="378"/>
        <v>4.9900161796030948</v>
      </c>
      <c r="N750" s="10">
        <f t="shared" si="357"/>
        <v>8.26</v>
      </c>
      <c r="O750" s="10">
        <f t="shared" si="358"/>
        <v>0.31900000000000001</v>
      </c>
      <c r="P750" s="10">
        <f t="shared" si="379"/>
        <v>13.793502901667734</v>
      </c>
      <c r="Q750" s="42">
        <f t="shared" si="380"/>
        <v>0.34929088350315268</v>
      </c>
      <c r="R750" s="4">
        <f t="shared" si="381"/>
        <v>13332.19357515179</v>
      </c>
      <c r="S750">
        <f t="shared" si="362"/>
        <v>1.333219357515179E-5</v>
      </c>
      <c r="T750" s="41">
        <f t="shared" si="363"/>
        <v>1.6647217846673204E-4</v>
      </c>
      <c r="U750" s="42">
        <f t="shared" si="382"/>
        <v>2.3925287980288642E-2</v>
      </c>
      <c r="V750" s="42">
        <f t="shared" si="383"/>
        <v>0.44676528778866437</v>
      </c>
      <c r="W750" s="42">
        <f t="shared" si="384"/>
        <v>0.44379012254863315</v>
      </c>
      <c r="X750" s="42">
        <f t="shared" si="385"/>
        <v>2.975165240031219E-3</v>
      </c>
      <c r="Y750" s="42">
        <f t="shared" si="359"/>
        <v>2.5170480549003898E-3</v>
      </c>
      <c r="Z750" s="10">
        <f t="shared" si="386"/>
        <v>15.119932219805721</v>
      </c>
      <c r="AA750">
        <f t="shared" si="364"/>
        <v>4989277.6849335888</v>
      </c>
      <c r="AB750" s="10">
        <f t="shared" si="365"/>
        <v>4.9892776849335885</v>
      </c>
      <c r="AC750" s="10">
        <f t="shared" si="366"/>
        <v>4.8882776849335885</v>
      </c>
      <c r="AD750" s="3">
        <f t="shared" si="367"/>
        <v>708.95978026593025</v>
      </c>
      <c r="AI750" s="94">
        <f t="shared" si="368"/>
        <v>0.44379012254863315</v>
      </c>
    </row>
    <row r="751" spans="2:35">
      <c r="B751" s="39">
        <f t="shared" si="369"/>
        <v>723</v>
      </c>
      <c r="C751" s="42">
        <f t="shared" si="370"/>
        <v>4.8026618704985795</v>
      </c>
      <c r="D751" s="10">
        <f t="shared" si="371"/>
        <v>0.73733812950077926</v>
      </c>
      <c r="E751" s="40">
        <f t="shared" si="372"/>
        <v>29.60532374099844</v>
      </c>
      <c r="F751" s="40">
        <f t="shared" si="373"/>
        <v>31.08</v>
      </c>
      <c r="G751" s="3">
        <f t="shared" si="374"/>
        <v>187.97870503601652</v>
      </c>
      <c r="H751" s="3">
        <f t="shared" si="375"/>
        <v>81.256230789298584</v>
      </c>
      <c r="I751">
        <f t="shared" si="360"/>
        <v>8.1256230789298584E-5</v>
      </c>
      <c r="J751" s="4">
        <f t="shared" si="376"/>
        <v>688.38200748126712</v>
      </c>
      <c r="K751" s="40">
        <f t="shared" si="377"/>
        <v>8.4717442686490791</v>
      </c>
      <c r="L751" s="40">
        <f t="shared" si="361"/>
        <v>0</v>
      </c>
      <c r="M751" s="10">
        <f t="shared" si="378"/>
        <v>4.9892776849335885</v>
      </c>
      <c r="N751" s="10">
        <f t="shared" si="357"/>
        <v>8.26</v>
      </c>
      <c r="O751" s="10">
        <f t="shared" si="358"/>
        <v>0.31900000000000001</v>
      </c>
      <c r="P751" s="10">
        <f t="shared" si="379"/>
        <v>13.79285167443855</v>
      </c>
      <c r="Q751" s="42">
        <f t="shared" si="380"/>
        <v>0.34977248701837227</v>
      </c>
      <c r="R751" s="4">
        <f t="shared" si="381"/>
        <v>13212.314305972297</v>
      </c>
      <c r="S751">
        <f t="shared" si="362"/>
        <v>1.3212314305972297E-5</v>
      </c>
      <c r="T751" s="41">
        <f t="shared" si="363"/>
        <v>1.6659205773591153E-4</v>
      </c>
      <c r="U751" s="42">
        <f t="shared" si="382"/>
        <v>2.3710158637782586E-2</v>
      </c>
      <c r="V751" s="42">
        <f t="shared" si="383"/>
        <v>0.44669387931682414</v>
      </c>
      <c r="W751" s="42">
        <f t="shared" si="384"/>
        <v>0.4437230872540377</v>
      </c>
      <c r="X751" s="42">
        <f t="shared" si="385"/>
        <v>2.9707920627864426E-3</v>
      </c>
      <c r="Y751" s="42">
        <f t="shared" si="359"/>
        <v>2.5184787988008143E-3</v>
      </c>
      <c r="Z751" s="10">
        <f t="shared" si="386"/>
        <v>15.117640258656321</v>
      </c>
      <c r="AA751">
        <f t="shared" si="364"/>
        <v>4988536.6933485428</v>
      </c>
      <c r="AB751" s="10">
        <f t="shared" si="365"/>
        <v>4.9885366933485429</v>
      </c>
      <c r="AC751" s="10">
        <f t="shared" si="366"/>
        <v>4.8875366933485429</v>
      </c>
      <c r="AD751" s="3">
        <f t="shared" si="367"/>
        <v>708.85231230580746</v>
      </c>
      <c r="AI751" s="94">
        <f t="shared" si="368"/>
        <v>0.4437230872540377</v>
      </c>
    </row>
    <row r="752" spans="2:35">
      <c r="B752" s="39">
        <f t="shared" si="369"/>
        <v>724</v>
      </c>
      <c r="C752" s="42">
        <f t="shared" si="370"/>
        <v>4.8093045563498915</v>
      </c>
      <c r="D752" s="10">
        <f t="shared" si="371"/>
        <v>0.73069544364946637</v>
      </c>
      <c r="E752" s="40">
        <f t="shared" si="372"/>
        <v>29.618609112701066</v>
      </c>
      <c r="F752" s="40">
        <f t="shared" si="373"/>
        <v>31.08</v>
      </c>
      <c r="G752" s="3">
        <f t="shared" si="374"/>
        <v>187.92556354920603</v>
      </c>
      <c r="H752" s="3">
        <f t="shared" si="375"/>
        <v>81.256230789298584</v>
      </c>
      <c r="I752">
        <f t="shared" si="360"/>
        <v>8.1256230789298584E-5</v>
      </c>
      <c r="J752" s="4">
        <f t="shared" si="376"/>
        <v>688.99996815088821</v>
      </c>
      <c r="K752" s="40">
        <f t="shared" si="377"/>
        <v>8.4793493552205135</v>
      </c>
      <c r="L752" s="40">
        <f t="shared" si="361"/>
        <v>0</v>
      </c>
      <c r="M752" s="10">
        <f t="shared" si="378"/>
        <v>4.9885366933485429</v>
      </c>
      <c r="N752" s="10">
        <f t="shared" si="357"/>
        <v>8.26</v>
      </c>
      <c r="O752" s="10">
        <f t="shared" si="358"/>
        <v>0.31900000000000001</v>
      </c>
      <c r="P752" s="10">
        <f t="shared" si="379"/>
        <v>13.792198179372949</v>
      </c>
      <c r="Q752" s="42">
        <f t="shared" si="380"/>
        <v>0.3502541133526898</v>
      </c>
      <c r="R752" s="4">
        <f t="shared" si="381"/>
        <v>13092.448584172069</v>
      </c>
      <c r="S752">
        <f t="shared" si="362"/>
        <v>1.3092448584172069E-5</v>
      </c>
      <c r="T752" s="41">
        <f t="shared" si="363"/>
        <v>1.6671192345771177E-4</v>
      </c>
      <c r="U752" s="42">
        <f t="shared" si="382"/>
        <v>2.3495053606725984E-2</v>
      </c>
      <c r="V752" s="42">
        <f t="shared" si="383"/>
        <v>0.4466222374684054</v>
      </c>
      <c r="W752" s="42">
        <f t="shared" si="384"/>
        <v>0.44365582530720532</v>
      </c>
      <c r="X752" s="42">
        <f t="shared" si="385"/>
        <v>2.9664121612000827E-3</v>
      </c>
      <c r="Y752" s="42">
        <f t="shared" si="359"/>
        <v>2.519907501016088E-3</v>
      </c>
      <c r="Z752" s="10">
        <f t="shared" si="386"/>
        <v>15.115340575236594</v>
      </c>
      <c r="AA752">
        <f t="shared" si="364"/>
        <v>4987793.2051516622</v>
      </c>
      <c r="AB752" s="10">
        <f t="shared" si="365"/>
        <v>4.9877932051516618</v>
      </c>
      <c r="AC752" s="10">
        <f t="shared" si="366"/>
        <v>4.8867932051516618</v>
      </c>
      <c r="AD752" s="3">
        <f t="shared" si="367"/>
        <v>708.7444822554985</v>
      </c>
      <c r="AI752" s="94">
        <f t="shared" si="368"/>
        <v>0.44365582530720532</v>
      </c>
    </row>
    <row r="753" spans="2:35">
      <c r="B753" s="39">
        <f t="shared" si="369"/>
        <v>725</v>
      </c>
      <c r="C753" s="42">
        <f t="shared" si="370"/>
        <v>4.8159472422012035</v>
      </c>
      <c r="D753" s="10">
        <f t="shared" si="371"/>
        <v>0.72405275779815348</v>
      </c>
      <c r="E753" s="40">
        <f t="shared" si="372"/>
        <v>29.631894484403691</v>
      </c>
      <c r="F753" s="40">
        <f t="shared" si="373"/>
        <v>31.08</v>
      </c>
      <c r="G753" s="3">
        <f t="shared" si="374"/>
        <v>187.87242206239554</v>
      </c>
      <c r="H753" s="3">
        <f t="shared" si="375"/>
        <v>81.256230789298584</v>
      </c>
      <c r="I753">
        <f t="shared" si="360"/>
        <v>8.1256230789298584E-5</v>
      </c>
      <c r="J753" s="4">
        <f t="shared" si="376"/>
        <v>689.61820606779099</v>
      </c>
      <c r="K753" s="40">
        <f t="shared" si="377"/>
        <v>8.4869578538045296</v>
      </c>
      <c r="L753" s="40">
        <f t="shared" si="361"/>
        <v>0</v>
      </c>
      <c r="M753" s="10">
        <f t="shared" si="378"/>
        <v>4.9877932051516618</v>
      </c>
      <c r="N753" s="10">
        <f t="shared" si="357"/>
        <v>8.26</v>
      </c>
      <c r="O753" s="10">
        <f t="shared" si="358"/>
        <v>0.31900000000000001</v>
      </c>
      <c r="P753" s="10">
        <f t="shared" si="379"/>
        <v>13.791542416054112</v>
      </c>
      <c r="Q753" s="42">
        <f t="shared" si="380"/>
        <v>0.35073576258748312</v>
      </c>
      <c r="R753" s="4">
        <f t="shared" si="381"/>
        <v>12972.596453951086</v>
      </c>
      <c r="S753">
        <f t="shared" si="362"/>
        <v>1.2972596453951087E-5</v>
      </c>
      <c r="T753" s="41">
        <f t="shared" si="363"/>
        <v>1.6683177558793273E-4</v>
      </c>
      <c r="U753" s="42">
        <f t="shared" si="382"/>
        <v>2.3279972966437919E-2</v>
      </c>
      <c r="V753" s="42">
        <f t="shared" si="383"/>
        <v>0.44655036227838324</v>
      </c>
      <c r="W753" s="42">
        <f t="shared" si="384"/>
        <v>0.44358833673570419</v>
      </c>
      <c r="X753" s="42">
        <f t="shared" si="385"/>
        <v>2.9620255426790476E-3</v>
      </c>
      <c r="Y753" s="42">
        <f t="shared" si="359"/>
        <v>2.5213341583521579E-3</v>
      </c>
      <c r="Z753" s="10">
        <f t="shared" si="386"/>
        <v>15.113033170489921</v>
      </c>
      <c r="AA753">
        <f t="shared" si="364"/>
        <v>4987047.2206479423</v>
      </c>
      <c r="AB753" s="10">
        <f t="shared" si="365"/>
        <v>4.9870472206479421</v>
      </c>
      <c r="AC753" s="10">
        <f t="shared" si="366"/>
        <v>4.8860472206479422</v>
      </c>
      <c r="AD753" s="3">
        <f t="shared" si="367"/>
        <v>708.63629015923743</v>
      </c>
      <c r="AI753" s="94">
        <f t="shared" si="368"/>
        <v>0.44358833673570419</v>
      </c>
    </row>
    <row r="754" spans="2:35">
      <c r="B754" s="39">
        <f t="shared" si="369"/>
        <v>726</v>
      </c>
      <c r="C754" s="42">
        <f t="shared" si="370"/>
        <v>4.8225899280525155</v>
      </c>
      <c r="D754" s="10">
        <f t="shared" si="371"/>
        <v>0.71741007194684059</v>
      </c>
      <c r="E754" s="40">
        <f t="shared" si="372"/>
        <v>29.645179856106317</v>
      </c>
      <c r="F754" s="40">
        <f t="shared" si="373"/>
        <v>31.08</v>
      </c>
      <c r="G754" s="3">
        <f t="shared" si="374"/>
        <v>187.81928057558505</v>
      </c>
      <c r="H754" s="3">
        <f t="shared" si="375"/>
        <v>81.256230789298584</v>
      </c>
      <c r="I754">
        <f t="shared" si="360"/>
        <v>8.1256230789298584E-5</v>
      </c>
      <c r="J754" s="4">
        <f t="shared" si="376"/>
        <v>690.23672123197537</v>
      </c>
      <c r="K754" s="40">
        <f t="shared" si="377"/>
        <v>8.494569764401124</v>
      </c>
      <c r="L754" s="40">
        <f t="shared" si="361"/>
        <v>0</v>
      </c>
      <c r="M754" s="10">
        <f t="shared" si="378"/>
        <v>4.9870472206479421</v>
      </c>
      <c r="N754" s="10">
        <f t="shared" si="357"/>
        <v>8.26</v>
      </c>
      <c r="O754" s="10">
        <f t="shared" si="358"/>
        <v>0.31900000000000001</v>
      </c>
      <c r="P754" s="10">
        <f t="shared" si="379"/>
        <v>13.790884384063871</v>
      </c>
      <c r="Q754" s="42">
        <f t="shared" si="380"/>
        <v>0.35121743480416767</v>
      </c>
      <c r="R754" s="4">
        <f t="shared" si="381"/>
        <v>12852.75795950935</v>
      </c>
      <c r="S754">
        <f t="shared" si="362"/>
        <v>1.285275795950935E-5</v>
      </c>
      <c r="T754" s="41">
        <f t="shared" si="363"/>
        <v>1.6695161408237448E-4</v>
      </c>
      <c r="U754" s="42">
        <f t="shared" si="382"/>
        <v>2.3064916796237504E-2</v>
      </c>
      <c r="V754" s="42">
        <f t="shared" si="383"/>
        <v>0.44647825378156913</v>
      </c>
      <c r="W754" s="42">
        <f t="shared" si="384"/>
        <v>0.44352062156721966</v>
      </c>
      <c r="X754" s="42">
        <f t="shared" si="385"/>
        <v>2.9576322143494704E-3</v>
      </c>
      <c r="Y754" s="42">
        <f t="shared" si="359"/>
        <v>2.5227587676169812E-3</v>
      </c>
      <c r="Z754" s="10">
        <f t="shared" si="386"/>
        <v>15.110718045362795</v>
      </c>
      <c r="AA754">
        <f t="shared" si="364"/>
        <v>4986298.7401433839</v>
      </c>
      <c r="AB754" s="10">
        <f t="shared" si="365"/>
        <v>4.9862987401433836</v>
      </c>
      <c r="AC754" s="10">
        <f t="shared" si="366"/>
        <v>4.8852987401433836</v>
      </c>
      <c r="AD754" s="3">
        <f t="shared" si="367"/>
        <v>708.52773606140443</v>
      </c>
      <c r="AI754" s="94">
        <f t="shared" si="368"/>
        <v>0.44352062156721966</v>
      </c>
    </row>
    <row r="755" spans="2:35">
      <c r="B755" s="39">
        <f t="shared" si="369"/>
        <v>727</v>
      </c>
      <c r="C755" s="42">
        <f t="shared" si="370"/>
        <v>4.8292326139038275</v>
      </c>
      <c r="D755" s="10">
        <f t="shared" si="371"/>
        <v>0.7107673860955277</v>
      </c>
      <c r="E755" s="40">
        <f t="shared" si="372"/>
        <v>29.658465227808943</v>
      </c>
      <c r="F755" s="40">
        <f t="shared" si="373"/>
        <v>31.08</v>
      </c>
      <c r="G755" s="3">
        <f t="shared" si="374"/>
        <v>187.76613908877457</v>
      </c>
      <c r="H755" s="3">
        <f t="shared" si="375"/>
        <v>81.256230789298584</v>
      </c>
      <c r="I755">
        <f t="shared" si="360"/>
        <v>8.1256230789298584E-5</v>
      </c>
      <c r="J755" s="4">
        <f t="shared" si="376"/>
        <v>690.85551364344133</v>
      </c>
      <c r="K755" s="40">
        <f t="shared" si="377"/>
        <v>8.5021850870102966</v>
      </c>
      <c r="L755" s="40">
        <f t="shared" si="361"/>
        <v>0</v>
      </c>
      <c r="M755" s="10">
        <f t="shared" si="378"/>
        <v>4.9862987401433836</v>
      </c>
      <c r="N755" s="10">
        <f t="shared" si="357"/>
        <v>8.26</v>
      </c>
      <c r="O755" s="10">
        <f t="shared" si="358"/>
        <v>0.31900000000000001</v>
      </c>
      <c r="P755" s="10">
        <f t="shared" si="379"/>
        <v>13.790224082982451</v>
      </c>
      <c r="Q755" s="42">
        <f t="shared" si="380"/>
        <v>0.35169913008419645</v>
      </c>
      <c r="R755" s="4">
        <f t="shared" si="381"/>
        <v>12732.933145046854</v>
      </c>
      <c r="S755">
        <f t="shared" si="362"/>
        <v>1.2732933145046854E-5</v>
      </c>
      <c r="T755" s="41">
        <f t="shared" si="363"/>
        <v>1.6707143889683698E-4</v>
      </c>
      <c r="U755" s="42">
        <f t="shared" si="382"/>
        <v>2.284988517544383E-2</v>
      </c>
      <c r="V755" s="42">
        <f t="shared" si="383"/>
        <v>0.44640591201314206</v>
      </c>
      <c r="W755" s="42">
        <f t="shared" si="384"/>
        <v>0.44345267982952841</v>
      </c>
      <c r="X755" s="42">
        <f t="shared" si="385"/>
        <v>2.9532321836136521E-3</v>
      </c>
      <c r="Y755" s="42">
        <f t="shared" si="359"/>
        <v>2.5241813256206571E-3</v>
      </c>
      <c r="Z755" s="10">
        <f t="shared" si="386"/>
        <v>15.108395200805596</v>
      </c>
      <c r="AA755">
        <f t="shared" si="364"/>
        <v>4985547.763945247</v>
      </c>
      <c r="AB755" s="10">
        <f t="shared" si="365"/>
        <v>4.985547763945247</v>
      </c>
      <c r="AC755" s="10">
        <f t="shared" si="366"/>
        <v>4.884547763945247</v>
      </c>
      <c r="AD755" s="3">
        <f t="shared" si="367"/>
        <v>708.41882000656233</v>
      </c>
      <c r="AI755" s="94">
        <f t="shared" si="368"/>
        <v>0.44345267982952841</v>
      </c>
    </row>
    <row r="756" spans="2:35">
      <c r="B756" s="39">
        <f t="shared" si="369"/>
        <v>728</v>
      </c>
      <c r="C756" s="42">
        <f t="shared" si="370"/>
        <v>4.8358752997551395</v>
      </c>
      <c r="D756" s="10">
        <f t="shared" si="371"/>
        <v>0.70412470024421481</v>
      </c>
      <c r="E756" s="40">
        <f t="shared" si="372"/>
        <v>29.671750599511569</v>
      </c>
      <c r="F756" s="40">
        <f t="shared" si="373"/>
        <v>31.08</v>
      </c>
      <c r="G756" s="3">
        <f t="shared" si="374"/>
        <v>187.71299760196408</v>
      </c>
      <c r="H756" s="3">
        <f t="shared" si="375"/>
        <v>81.256230789298584</v>
      </c>
      <c r="I756">
        <f t="shared" si="360"/>
        <v>8.1256230789298584E-5</v>
      </c>
      <c r="J756" s="4">
        <f t="shared" si="376"/>
        <v>691.47458330218865</v>
      </c>
      <c r="K756" s="40">
        <f t="shared" si="377"/>
        <v>8.5098038216320457</v>
      </c>
      <c r="L756" s="40">
        <f t="shared" si="361"/>
        <v>0</v>
      </c>
      <c r="M756" s="10">
        <f t="shared" si="378"/>
        <v>4.985547763945247</v>
      </c>
      <c r="N756" s="10">
        <f t="shared" si="357"/>
        <v>8.26</v>
      </c>
      <c r="O756" s="10">
        <f t="shared" si="358"/>
        <v>0.31900000000000001</v>
      </c>
      <c r="P756" s="10">
        <f t="shared" si="379"/>
        <v>13.789561512388715</v>
      </c>
      <c r="Q756" s="42">
        <f t="shared" si="380"/>
        <v>0.3521808485090604</v>
      </c>
      <c r="R756" s="4">
        <f t="shared" si="381"/>
        <v>12613.122054763617</v>
      </c>
      <c r="S756">
        <f t="shared" si="362"/>
        <v>1.2613122054763617E-5</v>
      </c>
      <c r="T756" s="41">
        <f t="shared" si="363"/>
        <v>1.6719124998712022E-4</v>
      </c>
      <c r="U756" s="42">
        <f t="shared" si="382"/>
        <v>2.2634878183376048E-2</v>
      </c>
      <c r="V756" s="42">
        <f t="shared" si="383"/>
        <v>0.44633333700804506</v>
      </c>
      <c r="W756" s="42">
        <f t="shared" si="384"/>
        <v>0.44338451155052117</v>
      </c>
      <c r="X756" s="42">
        <f t="shared" si="385"/>
        <v>2.9488254575238959E-3</v>
      </c>
      <c r="Y756" s="42">
        <f t="shared" si="359"/>
        <v>2.5256018291752542E-3</v>
      </c>
      <c r="Z756" s="10">
        <f t="shared" si="386"/>
        <v>15.106064637771517</v>
      </c>
      <c r="AA756">
        <f t="shared" si="364"/>
        <v>4984794.2923616972</v>
      </c>
      <c r="AB756" s="10">
        <f t="shared" si="365"/>
        <v>4.9847942923616975</v>
      </c>
      <c r="AC756" s="10">
        <f t="shared" si="366"/>
        <v>4.8837942923616975</v>
      </c>
      <c r="AD756" s="3">
        <f t="shared" si="367"/>
        <v>708.30954203940496</v>
      </c>
      <c r="AI756" s="94">
        <f t="shared" si="368"/>
        <v>0.44338451155052117</v>
      </c>
    </row>
    <row r="757" spans="2:35">
      <c r="B757" s="39">
        <f t="shared" si="369"/>
        <v>729</v>
      </c>
      <c r="C757" s="42">
        <f t="shared" si="370"/>
        <v>4.8425179856064515</v>
      </c>
      <c r="D757" s="10">
        <f t="shared" si="371"/>
        <v>0.69748201439290192</v>
      </c>
      <c r="E757" s="40">
        <f t="shared" si="372"/>
        <v>29.685035971214194</v>
      </c>
      <c r="F757" s="40">
        <f t="shared" si="373"/>
        <v>31.08</v>
      </c>
      <c r="G757" s="3">
        <f t="shared" si="374"/>
        <v>187.65985611515359</v>
      </c>
      <c r="H757" s="3">
        <f t="shared" si="375"/>
        <v>81.256230789298584</v>
      </c>
      <c r="I757">
        <f t="shared" si="360"/>
        <v>8.1256230789298584E-5</v>
      </c>
      <c r="J757" s="4">
        <f t="shared" si="376"/>
        <v>692.09393020821767</v>
      </c>
      <c r="K757" s="40">
        <f t="shared" si="377"/>
        <v>8.5174259682663767</v>
      </c>
      <c r="L757" s="40">
        <f t="shared" si="361"/>
        <v>0</v>
      </c>
      <c r="M757" s="10">
        <f t="shared" si="378"/>
        <v>4.9847942923616975</v>
      </c>
      <c r="N757" s="10">
        <f t="shared" si="357"/>
        <v>8.26</v>
      </c>
      <c r="O757" s="10">
        <f t="shared" si="358"/>
        <v>0.31900000000000001</v>
      </c>
      <c r="P757" s="10">
        <f t="shared" si="379"/>
        <v>13.788896671859822</v>
      </c>
      <c r="Q757" s="42">
        <f t="shared" si="380"/>
        <v>0.35266259016028823</v>
      </c>
      <c r="R757" s="4">
        <f t="shared" si="381"/>
        <v>12493.324732859619</v>
      </c>
      <c r="S757">
        <f t="shared" si="362"/>
        <v>1.249332473285962E-5</v>
      </c>
      <c r="T757" s="41">
        <f t="shared" si="363"/>
        <v>1.6731104730902422E-4</v>
      </c>
      <c r="U757" s="42">
        <f t="shared" si="382"/>
        <v>2.2419895899353229E-2</v>
      </c>
      <c r="V757" s="42">
        <f t="shared" si="383"/>
        <v>0.44626052880187195</v>
      </c>
      <c r="W757" s="42">
        <f t="shared" si="384"/>
        <v>0.44331611675817101</v>
      </c>
      <c r="X757" s="42">
        <f t="shared" si="385"/>
        <v>2.9444120437009391E-3</v>
      </c>
      <c r="Y757" s="42">
        <f t="shared" si="359"/>
        <v>2.5270202750950817E-3</v>
      </c>
      <c r="Z757" s="10">
        <f t="shared" si="386"/>
        <v>15.103726357218148</v>
      </c>
      <c r="AA757">
        <f t="shared" si="364"/>
        <v>4984038.3257023245</v>
      </c>
      <c r="AB757" s="10">
        <f t="shared" si="365"/>
        <v>4.9840383257023246</v>
      </c>
      <c r="AC757" s="10">
        <f t="shared" si="366"/>
        <v>4.8830383257023247</v>
      </c>
      <c r="AD757" s="3">
        <f t="shared" si="367"/>
        <v>708.19990220483317</v>
      </c>
      <c r="AI757" s="94">
        <f t="shared" si="368"/>
        <v>0.44331611675817101</v>
      </c>
    </row>
    <row r="758" spans="2:35">
      <c r="B758" s="39">
        <f t="shared" si="369"/>
        <v>730</v>
      </c>
      <c r="C758" s="42">
        <f t="shared" si="370"/>
        <v>4.8491606714577635</v>
      </c>
      <c r="D758" s="10">
        <f t="shared" si="371"/>
        <v>0.69083932854158903</v>
      </c>
      <c r="E758" s="40">
        <f t="shared" si="372"/>
        <v>29.69832134291682</v>
      </c>
      <c r="F758" s="40">
        <f t="shared" si="373"/>
        <v>31.08</v>
      </c>
      <c r="G758" s="3">
        <f t="shared" si="374"/>
        <v>187.6067146283431</v>
      </c>
      <c r="H758" s="3">
        <f t="shared" si="375"/>
        <v>81.256230789298584</v>
      </c>
      <c r="I758">
        <f t="shared" si="360"/>
        <v>8.1256230789298584E-5</v>
      </c>
      <c r="J758" s="4">
        <f t="shared" si="376"/>
        <v>692.71355436152828</v>
      </c>
      <c r="K758" s="40">
        <f t="shared" si="377"/>
        <v>8.5250515269132858</v>
      </c>
      <c r="L758" s="40">
        <f t="shared" si="361"/>
        <v>0</v>
      </c>
      <c r="M758" s="10">
        <f t="shared" si="378"/>
        <v>4.9840383257023246</v>
      </c>
      <c r="N758" s="10">
        <f t="shared" si="357"/>
        <v>8.26</v>
      </c>
      <c r="O758" s="10">
        <f t="shared" si="358"/>
        <v>0.31900000000000001</v>
      </c>
      <c r="P758" s="10">
        <f t="shared" si="379"/>
        <v>13.788229560971704</v>
      </c>
      <c r="Q758" s="42">
        <f t="shared" si="380"/>
        <v>0.35314435511944692</v>
      </c>
      <c r="R758" s="4">
        <f t="shared" si="381"/>
        <v>12373.541223534859</v>
      </c>
      <c r="S758">
        <f t="shared" si="362"/>
        <v>1.2373541223534859E-5</v>
      </c>
      <c r="T758" s="41">
        <f t="shared" si="363"/>
        <v>1.6743083081834897E-4</v>
      </c>
      <c r="U758" s="42">
        <f t="shared" si="382"/>
        <v>2.2204938402694479E-2</v>
      </c>
      <c r="V758" s="42">
        <f t="shared" si="383"/>
        <v>0.44618748742982767</v>
      </c>
      <c r="W758" s="42">
        <f t="shared" si="384"/>
        <v>0.44324749548058034</v>
      </c>
      <c r="X758" s="42">
        <f t="shared" si="385"/>
        <v>2.9399919492473225E-3</v>
      </c>
      <c r="Y758" s="42">
        <f t="shared" si="359"/>
        <v>2.5284366601964377E-3</v>
      </c>
      <c r="Z758" s="10">
        <f t="shared" si="386"/>
        <v>15.101380360105953</v>
      </c>
      <c r="AA758">
        <f t="shared" si="364"/>
        <v>4983279.8642776469</v>
      </c>
      <c r="AB758" s="10">
        <f t="shared" si="365"/>
        <v>4.9832798642776472</v>
      </c>
      <c r="AC758" s="10">
        <f t="shared" si="366"/>
        <v>4.8822798642776473</v>
      </c>
      <c r="AD758" s="3">
        <f t="shared" si="367"/>
        <v>708.08990054788205</v>
      </c>
      <c r="AI758" s="94">
        <f t="shared" si="368"/>
        <v>0.44324749548058034</v>
      </c>
    </row>
    <row r="759" spans="2:35">
      <c r="B759" s="39">
        <f t="shared" si="369"/>
        <v>731</v>
      </c>
      <c r="C759" s="42">
        <f t="shared" si="370"/>
        <v>4.8558033573090755</v>
      </c>
      <c r="D759" s="10">
        <f t="shared" si="371"/>
        <v>0.68419664269027614</v>
      </c>
      <c r="E759" s="40">
        <f t="shared" si="372"/>
        <v>29.711606714619446</v>
      </c>
      <c r="F759" s="40">
        <f t="shared" si="373"/>
        <v>31.08</v>
      </c>
      <c r="G759" s="3">
        <f t="shared" si="374"/>
        <v>187.55357314153261</v>
      </c>
      <c r="H759" s="3">
        <f t="shared" si="375"/>
        <v>81.256230789298584</v>
      </c>
      <c r="I759">
        <f t="shared" si="360"/>
        <v>8.1256230789298584E-5</v>
      </c>
      <c r="J759" s="4">
        <f t="shared" si="376"/>
        <v>693.33345576212048</v>
      </c>
      <c r="K759" s="40">
        <f t="shared" si="377"/>
        <v>8.532680497572775</v>
      </c>
      <c r="L759" s="40">
        <f t="shared" si="361"/>
        <v>0</v>
      </c>
      <c r="M759" s="10">
        <f t="shared" si="378"/>
        <v>4.9832798642776472</v>
      </c>
      <c r="N759" s="10">
        <f t="shared" si="357"/>
        <v>8.26</v>
      </c>
      <c r="O759" s="10">
        <f t="shared" si="358"/>
        <v>0.31900000000000001</v>
      </c>
      <c r="P759" s="10">
        <f t="shared" si="379"/>
        <v>13.787560179298623</v>
      </c>
      <c r="Q759" s="42">
        <f t="shared" si="380"/>
        <v>0.35362614346814153</v>
      </c>
      <c r="R759" s="4">
        <f t="shared" si="381"/>
        <v>12253.771570989335</v>
      </c>
      <c r="S759">
        <f t="shared" si="362"/>
        <v>1.2253771570989335E-5</v>
      </c>
      <c r="T759" s="41">
        <f t="shared" si="363"/>
        <v>1.675506004708945E-4</v>
      </c>
      <c r="U759" s="42">
        <f t="shared" si="382"/>
        <v>2.199000577271891E-2</v>
      </c>
      <c r="V759" s="42">
        <f t="shared" si="383"/>
        <v>0.4461142129275677</v>
      </c>
      <c r="W759" s="42">
        <f t="shared" si="384"/>
        <v>0.44317864774593585</v>
      </c>
      <c r="X759" s="42">
        <f t="shared" si="385"/>
        <v>2.9355651816318495E-3</v>
      </c>
      <c r="Y759" s="42">
        <f t="shared" si="359"/>
        <v>2.5298509812977815E-3</v>
      </c>
      <c r="Z759" s="10">
        <f t="shared" si="386"/>
        <v>15.099026647399251</v>
      </c>
      <c r="AA759">
        <f t="shared" si="364"/>
        <v>4982518.9083994292</v>
      </c>
      <c r="AB759" s="10">
        <f t="shared" si="365"/>
        <v>4.9825189083994292</v>
      </c>
      <c r="AC759" s="10">
        <f t="shared" si="366"/>
        <v>4.8815189083994293</v>
      </c>
      <c r="AD759" s="3">
        <f t="shared" si="367"/>
        <v>707.97953711376783</v>
      </c>
      <c r="AI759" s="94">
        <f t="shared" si="368"/>
        <v>0.44317864774593585</v>
      </c>
    </row>
    <row r="760" spans="2:35">
      <c r="B760" s="39">
        <f t="shared" si="369"/>
        <v>732</v>
      </c>
      <c r="C760" s="42">
        <f t="shared" si="370"/>
        <v>4.8624460431603875</v>
      </c>
      <c r="D760" s="10">
        <f t="shared" si="371"/>
        <v>0.67755395683896324</v>
      </c>
      <c r="E760" s="40">
        <f t="shared" si="372"/>
        <v>29.724892086322072</v>
      </c>
      <c r="F760" s="40">
        <f t="shared" si="373"/>
        <v>31.08</v>
      </c>
      <c r="G760" s="3">
        <f t="shared" si="374"/>
        <v>187.50043165472212</v>
      </c>
      <c r="H760" s="3">
        <f t="shared" si="375"/>
        <v>81.256230789298584</v>
      </c>
      <c r="I760">
        <f t="shared" si="360"/>
        <v>8.1256230789298584E-5</v>
      </c>
      <c r="J760" s="4">
        <f t="shared" si="376"/>
        <v>693.95363440999415</v>
      </c>
      <c r="K760" s="40">
        <f t="shared" si="377"/>
        <v>8.5403128802448407</v>
      </c>
      <c r="L760" s="40">
        <f t="shared" si="361"/>
        <v>0</v>
      </c>
      <c r="M760" s="10">
        <f t="shared" si="378"/>
        <v>4.9825189083994292</v>
      </c>
      <c r="N760" s="10">
        <f t="shared" si="357"/>
        <v>8.26</v>
      </c>
      <c r="O760" s="10">
        <f t="shared" si="358"/>
        <v>0.31900000000000001</v>
      </c>
      <c r="P760" s="10">
        <f t="shared" si="379"/>
        <v>13.786888526413438</v>
      </c>
      <c r="Q760" s="42">
        <f t="shared" si="380"/>
        <v>0.35410795528801559</v>
      </c>
      <c r="R760" s="4">
        <f t="shared" si="381"/>
        <v>12134.015819423061</v>
      </c>
      <c r="S760">
        <f t="shared" si="362"/>
        <v>1.213401581942306E-5</v>
      </c>
      <c r="T760" s="41">
        <f t="shared" si="363"/>
        <v>1.6767035622246076E-4</v>
      </c>
      <c r="U760" s="42">
        <f t="shared" si="382"/>
        <v>2.1775098088745653E-2</v>
      </c>
      <c r="V760" s="42">
        <f t="shared" si="383"/>
        <v>0.44604070533062651</v>
      </c>
      <c r="W760" s="42">
        <f t="shared" si="384"/>
        <v>0.44310957358253722</v>
      </c>
      <c r="X760" s="42">
        <f t="shared" si="385"/>
        <v>2.9311317480892884E-3</v>
      </c>
      <c r="Y760" s="42">
        <f t="shared" si="359"/>
        <v>2.5312632352196191E-3</v>
      </c>
      <c r="Z760" s="10">
        <f t="shared" si="386"/>
        <v>15.096665220065516</v>
      </c>
      <c r="AA760">
        <f t="shared" si="364"/>
        <v>4981755.4583804552</v>
      </c>
      <c r="AB760" s="10">
        <f t="shared" si="365"/>
        <v>4.9817554583804551</v>
      </c>
      <c r="AC760" s="10">
        <f t="shared" si="366"/>
        <v>4.8807554583804551</v>
      </c>
      <c r="AD760" s="3">
        <f t="shared" si="367"/>
        <v>707.86881194785428</v>
      </c>
      <c r="AI760" s="94">
        <f t="shared" si="368"/>
        <v>0.44310957358253722</v>
      </c>
    </row>
    <row r="761" spans="2:35">
      <c r="B761" s="39">
        <f t="shared" si="369"/>
        <v>733</v>
      </c>
      <c r="C761" s="42">
        <f t="shared" si="370"/>
        <v>4.8690887290116995</v>
      </c>
      <c r="D761" s="10">
        <f t="shared" si="371"/>
        <v>0.67091127098765035</v>
      </c>
      <c r="E761" s="40">
        <f t="shared" si="372"/>
        <v>29.738177458024698</v>
      </c>
      <c r="F761" s="40">
        <f t="shared" si="373"/>
        <v>31.08</v>
      </c>
      <c r="G761" s="3">
        <f t="shared" si="374"/>
        <v>187.44729016791163</v>
      </c>
      <c r="H761" s="3">
        <f t="shared" si="375"/>
        <v>81.256230789298584</v>
      </c>
      <c r="I761">
        <f t="shared" si="360"/>
        <v>8.1256230789298584E-5</v>
      </c>
      <c r="J761" s="4">
        <f t="shared" si="376"/>
        <v>694.57409030514941</v>
      </c>
      <c r="K761" s="40">
        <f t="shared" si="377"/>
        <v>8.5479486749294864</v>
      </c>
      <c r="L761" s="40">
        <f t="shared" si="361"/>
        <v>0</v>
      </c>
      <c r="M761" s="10">
        <f t="shared" si="378"/>
        <v>4.9817554583804551</v>
      </c>
      <c r="N761" s="10">
        <f t="shared" si="357"/>
        <v>8.26</v>
      </c>
      <c r="O761" s="10">
        <f t="shared" si="358"/>
        <v>0.31900000000000001</v>
      </c>
      <c r="P761" s="10">
        <f t="shared" si="379"/>
        <v>13.786214601887416</v>
      </c>
      <c r="Q761" s="42">
        <f t="shared" si="380"/>
        <v>0.35458979066075108</v>
      </c>
      <c r="R761" s="4">
        <f t="shared" si="381"/>
        <v>12014.27401303602</v>
      </c>
      <c r="S761">
        <f t="shared" si="362"/>
        <v>1.201427401303602E-5</v>
      </c>
      <c r="T761" s="41">
        <f t="shared" si="363"/>
        <v>1.6779009802884781E-4</v>
      </c>
      <c r="U761" s="42">
        <f t="shared" si="382"/>
        <v>2.1560215430093788E-2</v>
      </c>
      <c r="V761" s="42">
        <f t="shared" si="383"/>
        <v>0.44596696467493613</v>
      </c>
      <c r="W761" s="42">
        <f t="shared" si="384"/>
        <v>0.44304027301877685</v>
      </c>
      <c r="X761" s="42">
        <f t="shared" si="385"/>
        <v>2.9266916561592748E-3</v>
      </c>
      <c r="Y761" s="42">
        <f t="shared" si="359"/>
        <v>2.5326734187846463E-3</v>
      </c>
      <c r="Z761" s="10">
        <f t="shared" si="386"/>
        <v>15.094296079076186</v>
      </c>
      <c r="AA761">
        <f t="shared" si="364"/>
        <v>4980989.5145347929</v>
      </c>
      <c r="AB761" s="10">
        <f t="shared" si="365"/>
        <v>4.9809895145347927</v>
      </c>
      <c r="AC761" s="10">
        <f t="shared" si="366"/>
        <v>4.8799895145347927</v>
      </c>
      <c r="AD761" s="3">
        <f t="shared" si="367"/>
        <v>707.75772509569151</v>
      </c>
      <c r="AI761" s="94">
        <f t="shared" si="368"/>
        <v>0.44304027301877685</v>
      </c>
    </row>
    <row r="762" spans="2:35">
      <c r="B762" s="39">
        <f t="shared" si="369"/>
        <v>734</v>
      </c>
      <c r="C762" s="42">
        <f t="shared" si="370"/>
        <v>4.8757314148630115</v>
      </c>
      <c r="D762" s="10">
        <f t="shared" si="371"/>
        <v>0.66426858513633746</v>
      </c>
      <c r="E762" s="40">
        <f t="shared" si="372"/>
        <v>29.751462829727323</v>
      </c>
      <c r="F762" s="40">
        <f t="shared" si="373"/>
        <v>31.08</v>
      </c>
      <c r="G762" s="3">
        <f t="shared" si="374"/>
        <v>187.39414868110114</v>
      </c>
      <c r="H762" s="3">
        <f t="shared" si="375"/>
        <v>81.256230789298584</v>
      </c>
      <c r="I762">
        <f t="shared" si="360"/>
        <v>8.1256230789298584E-5</v>
      </c>
      <c r="J762" s="4">
        <f t="shared" si="376"/>
        <v>695.19482344758626</v>
      </c>
      <c r="K762" s="40">
        <f t="shared" si="377"/>
        <v>8.5555878816267121</v>
      </c>
      <c r="L762" s="40">
        <f t="shared" si="361"/>
        <v>0</v>
      </c>
      <c r="M762" s="10">
        <f t="shared" si="378"/>
        <v>4.9809895145347927</v>
      </c>
      <c r="N762" s="10">
        <f t="shared" si="357"/>
        <v>8.26</v>
      </c>
      <c r="O762" s="10">
        <f t="shared" si="358"/>
        <v>0.31900000000000001</v>
      </c>
      <c r="P762" s="10">
        <f t="shared" si="379"/>
        <v>13.785538405290465</v>
      </c>
      <c r="Q762" s="42">
        <f t="shared" si="380"/>
        <v>0.3550716496680687</v>
      </c>
      <c r="R762" s="4">
        <f t="shared" si="381"/>
        <v>11894.546196028225</v>
      </c>
      <c r="S762">
        <f t="shared" si="362"/>
        <v>1.1894546196028225E-5</v>
      </c>
      <c r="T762" s="41">
        <f t="shared" si="363"/>
        <v>1.6790982584585562E-4</v>
      </c>
      <c r="U762" s="42">
        <f t="shared" si="382"/>
        <v>2.1345357876082448E-2</v>
      </c>
      <c r="V762" s="42">
        <f t="shared" si="383"/>
        <v>0.44589299099625351</v>
      </c>
      <c r="W762" s="42">
        <f t="shared" si="384"/>
        <v>0.44297074608316345</v>
      </c>
      <c r="X762" s="42">
        <f t="shared" si="385"/>
        <v>2.9222449130900663E-3</v>
      </c>
      <c r="Y762" s="42">
        <f t="shared" si="359"/>
        <v>2.534081528817607E-3</v>
      </c>
      <c r="Z762" s="10">
        <f t="shared" si="386"/>
        <v>15.091919225405794</v>
      </c>
      <c r="AA762">
        <f t="shared" si="364"/>
        <v>4980221.0771775069</v>
      </c>
      <c r="AB762" s="10">
        <f t="shared" si="365"/>
        <v>4.9802210771775073</v>
      </c>
      <c r="AC762" s="10">
        <f t="shared" si="366"/>
        <v>4.8792210771775073</v>
      </c>
      <c r="AD762" s="3">
        <f t="shared" si="367"/>
        <v>707.64627660297413</v>
      </c>
      <c r="AI762" s="94">
        <f t="shared" si="368"/>
        <v>0.44297074608316345</v>
      </c>
    </row>
    <row r="763" spans="2:35">
      <c r="B763" s="39">
        <f t="shared" si="369"/>
        <v>735</v>
      </c>
      <c r="C763" s="42">
        <f t="shared" si="370"/>
        <v>4.8823741007143235</v>
      </c>
      <c r="D763" s="10">
        <f t="shared" si="371"/>
        <v>0.65762589928502457</v>
      </c>
      <c r="E763" s="40">
        <f t="shared" si="372"/>
        <v>29.764748201429949</v>
      </c>
      <c r="F763" s="40">
        <f t="shared" si="373"/>
        <v>31.08</v>
      </c>
      <c r="G763" s="3">
        <f t="shared" si="374"/>
        <v>187.34100719429065</v>
      </c>
      <c r="H763" s="3">
        <f t="shared" si="375"/>
        <v>81.256230789298584</v>
      </c>
      <c r="I763">
        <f t="shared" si="360"/>
        <v>8.1256230789298584E-5</v>
      </c>
      <c r="J763" s="4">
        <f t="shared" si="376"/>
        <v>695.81583383730469</v>
      </c>
      <c r="K763" s="40">
        <f t="shared" si="377"/>
        <v>8.5632305003365161</v>
      </c>
      <c r="L763" s="40">
        <f t="shared" si="361"/>
        <v>0</v>
      </c>
      <c r="M763" s="10">
        <f t="shared" si="378"/>
        <v>4.9802210771775073</v>
      </c>
      <c r="N763" s="10">
        <f t="shared" si="357"/>
        <v>8.26</v>
      </c>
      <c r="O763" s="10">
        <f t="shared" si="358"/>
        <v>0.31900000000000001</v>
      </c>
      <c r="P763" s="10">
        <f t="shared" si="379"/>
        <v>13.784859936190866</v>
      </c>
      <c r="Q763" s="42">
        <f t="shared" si="380"/>
        <v>0.35555353239172788</v>
      </c>
      <c r="R763" s="4">
        <f t="shared" si="381"/>
        <v>11774.832412599642</v>
      </c>
      <c r="S763">
        <f t="shared" si="362"/>
        <v>1.1774832412599642E-5</v>
      </c>
      <c r="T763" s="41">
        <f t="shared" si="363"/>
        <v>1.680295396292842E-4</v>
      </c>
      <c r="U763" s="42">
        <f t="shared" si="382"/>
        <v>2.1130525506030687E-2</v>
      </c>
      <c r="V763" s="42">
        <f t="shared" si="383"/>
        <v>0.44581878433082589</v>
      </c>
      <c r="W763" s="42">
        <f t="shared" si="384"/>
        <v>0.44290099280429651</v>
      </c>
      <c r="X763" s="42">
        <f t="shared" si="385"/>
        <v>2.9177915265293786E-3</v>
      </c>
      <c r="Y763" s="42">
        <f t="shared" si="359"/>
        <v>2.5354875621454807E-3</v>
      </c>
      <c r="Z763" s="10">
        <f t="shared" si="386"/>
        <v>15.089534660033049</v>
      </c>
      <c r="AA763">
        <f t="shared" si="364"/>
        <v>4979450.146625015</v>
      </c>
      <c r="AB763" s="10">
        <f t="shared" si="365"/>
        <v>4.9794501466250152</v>
      </c>
      <c r="AC763" s="10">
        <f t="shared" si="366"/>
        <v>4.8784501466250152</v>
      </c>
      <c r="AD763" s="3">
        <f t="shared" si="367"/>
        <v>707.53446651559318</v>
      </c>
      <c r="AI763" s="94">
        <f t="shared" si="368"/>
        <v>0.44290099280429651</v>
      </c>
    </row>
    <row r="764" spans="2:35">
      <c r="B764" s="39">
        <f t="shared" si="369"/>
        <v>736</v>
      </c>
      <c r="C764" s="42">
        <f t="shared" si="370"/>
        <v>4.8890167865656355</v>
      </c>
      <c r="D764" s="10">
        <f t="shared" si="371"/>
        <v>0.65098321343371168</v>
      </c>
      <c r="E764" s="40">
        <f t="shared" si="372"/>
        <v>29.778033573132575</v>
      </c>
      <c r="F764" s="40">
        <f t="shared" si="373"/>
        <v>31.08</v>
      </c>
      <c r="G764" s="3">
        <f t="shared" si="374"/>
        <v>187.28786570748017</v>
      </c>
      <c r="H764" s="3">
        <f t="shared" si="375"/>
        <v>81.256230789298584</v>
      </c>
      <c r="I764">
        <f t="shared" si="360"/>
        <v>8.1256230789298584E-5</v>
      </c>
      <c r="J764" s="4">
        <f t="shared" si="376"/>
        <v>696.4371214743046</v>
      </c>
      <c r="K764" s="40">
        <f t="shared" si="377"/>
        <v>8.5708765310588966</v>
      </c>
      <c r="L764" s="40">
        <f t="shared" si="361"/>
        <v>0</v>
      </c>
      <c r="M764" s="10">
        <f t="shared" si="378"/>
        <v>4.9794501466250152</v>
      </c>
      <c r="N764" s="10">
        <f t="shared" si="357"/>
        <v>8.26</v>
      </c>
      <c r="O764" s="10">
        <f t="shared" si="358"/>
        <v>0.31900000000000001</v>
      </c>
      <c r="P764" s="10">
        <f t="shared" si="379"/>
        <v>13.784179194155596</v>
      </c>
      <c r="Q764" s="42">
        <f t="shared" si="380"/>
        <v>0.35603543891352707</v>
      </c>
      <c r="R764" s="4">
        <f t="shared" si="381"/>
        <v>11655.132706950304</v>
      </c>
      <c r="S764">
        <f t="shared" si="362"/>
        <v>1.1655132706950303E-5</v>
      </c>
      <c r="T764" s="41">
        <f t="shared" si="363"/>
        <v>1.6814923933493352E-4</v>
      </c>
      <c r="U764" s="42">
        <f t="shared" si="382"/>
        <v>2.0915718399257668E-2</v>
      </c>
      <c r="V764" s="42">
        <f t="shared" si="383"/>
        <v>0.44574434471448743</v>
      </c>
      <c r="W764" s="42">
        <f t="shared" si="384"/>
        <v>0.44283101321089807</v>
      </c>
      <c r="X764" s="42">
        <f t="shared" si="385"/>
        <v>2.9133315035893559E-3</v>
      </c>
      <c r="Y764" s="42">
        <f t="shared" si="359"/>
        <v>2.5368915155972232E-3</v>
      </c>
      <c r="Z764" s="10">
        <f t="shared" si="386"/>
        <v>15.087142383939266</v>
      </c>
      <c r="AA764">
        <f t="shared" si="364"/>
        <v>4978676.7231945768</v>
      </c>
      <c r="AB764" s="10">
        <f t="shared" si="365"/>
        <v>4.9786767231945772</v>
      </c>
      <c r="AC764" s="10">
        <f t="shared" si="366"/>
        <v>4.8776767231945772</v>
      </c>
      <c r="AD764" s="3">
        <f t="shared" si="367"/>
        <v>707.42229487956149</v>
      </c>
      <c r="AI764" s="94">
        <f t="shared" si="368"/>
        <v>0.44283101321089807</v>
      </c>
    </row>
    <row r="765" spans="2:35">
      <c r="B765" s="39">
        <f t="shared" si="369"/>
        <v>737</v>
      </c>
      <c r="C765" s="42">
        <f t="shared" si="370"/>
        <v>4.8956594724169475</v>
      </c>
      <c r="D765" s="10">
        <f t="shared" si="371"/>
        <v>0.64434052758239879</v>
      </c>
      <c r="E765" s="40">
        <f t="shared" si="372"/>
        <v>29.791318944835201</v>
      </c>
      <c r="F765" s="40">
        <f t="shared" si="373"/>
        <v>31.08</v>
      </c>
      <c r="G765" s="3">
        <f t="shared" si="374"/>
        <v>187.23472422066968</v>
      </c>
      <c r="H765" s="3">
        <f t="shared" si="375"/>
        <v>81.256230789298584</v>
      </c>
      <c r="I765">
        <f t="shared" si="360"/>
        <v>8.1256230789298584E-5</v>
      </c>
      <c r="J765" s="4">
        <f t="shared" si="376"/>
        <v>697.05868635858599</v>
      </c>
      <c r="K765" s="40">
        <f t="shared" si="377"/>
        <v>8.5785259737938571</v>
      </c>
      <c r="L765" s="40">
        <f t="shared" si="361"/>
        <v>0</v>
      </c>
      <c r="M765" s="10">
        <f t="shared" si="378"/>
        <v>4.9786767231945772</v>
      </c>
      <c r="N765" s="10">
        <f t="shared" si="357"/>
        <v>8.26</v>
      </c>
      <c r="O765" s="10">
        <f t="shared" si="358"/>
        <v>0.31900000000000001</v>
      </c>
      <c r="P765" s="10">
        <f t="shared" si="379"/>
        <v>13.78349617874988</v>
      </c>
      <c r="Q765" s="42">
        <f t="shared" si="380"/>
        <v>0.35651736931530376</v>
      </c>
      <c r="R765" s="4">
        <f t="shared" si="381"/>
        <v>11535.447123280208</v>
      </c>
      <c r="S765">
        <f t="shared" si="362"/>
        <v>1.1535447123280207E-5</v>
      </c>
      <c r="T765" s="41">
        <f t="shared" si="363"/>
        <v>1.6826892491860363E-4</v>
      </c>
      <c r="U765" s="42">
        <f t="shared" si="382"/>
        <v>2.0700936635082497E-2</v>
      </c>
      <c r="V765" s="42">
        <f t="shared" si="383"/>
        <v>0.44566967218369363</v>
      </c>
      <c r="W765" s="42">
        <f t="shared" si="384"/>
        <v>0.44276080733176687</v>
      </c>
      <c r="X765" s="42">
        <f t="shared" si="385"/>
        <v>2.9088648519267624E-3</v>
      </c>
      <c r="Y765" s="42">
        <f t="shared" si="359"/>
        <v>2.5382933860040265E-3</v>
      </c>
      <c r="Z765" s="10">
        <f t="shared" si="386"/>
        <v>15.084742398109869</v>
      </c>
      <c r="AA765">
        <f t="shared" si="364"/>
        <v>4977900.8072047792</v>
      </c>
      <c r="AB765" s="10">
        <f t="shared" si="365"/>
        <v>4.9779008072047795</v>
      </c>
      <c r="AC765" s="10">
        <f t="shared" si="366"/>
        <v>4.8769008072047795</v>
      </c>
      <c r="AD765" s="3">
        <f t="shared" si="367"/>
        <v>707.30976174108469</v>
      </c>
      <c r="AI765" s="94">
        <f t="shared" si="368"/>
        <v>0.44276080733176687</v>
      </c>
    </row>
    <row r="766" spans="2:35">
      <c r="B766" s="39">
        <f t="shared" si="369"/>
        <v>738</v>
      </c>
      <c r="C766" s="42">
        <f t="shared" si="370"/>
        <v>4.9023021582682595</v>
      </c>
      <c r="D766" s="10">
        <f t="shared" si="371"/>
        <v>0.6376978417310859</v>
      </c>
      <c r="E766" s="40">
        <f t="shared" si="372"/>
        <v>29.804604316537826</v>
      </c>
      <c r="F766" s="40">
        <f t="shared" si="373"/>
        <v>31.08</v>
      </c>
      <c r="G766" s="3">
        <f t="shared" si="374"/>
        <v>187.18158273385919</v>
      </c>
      <c r="H766" s="3">
        <f t="shared" si="375"/>
        <v>81.256230789298584</v>
      </c>
      <c r="I766">
        <f t="shared" si="360"/>
        <v>8.1256230789298584E-5</v>
      </c>
      <c r="J766" s="4">
        <f t="shared" si="376"/>
        <v>697.68052849014919</v>
      </c>
      <c r="K766" s="40">
        <f t="shared" si="377"/>
        <v>8.5861788285413976</v>
      </c>
      <c r="L766" s="40">
        <f t="shared" si="361"/>
        <v>0</v>
      </c>
      <c r="M766" s="10">
        <f t="shared" si="378"/>
        <v>4.9779008072047795</v>
      </c>
      <c r="N766" s="10">
        <f t="shared" si="357"/>
        <v>8.26</v>
      </c>
      <c r="O766" s="10">
        <f t="shared" si="358"/>
        <v>0.31900000000000001</v>
      </c>
      <c r="P766" s="10">
        <f t="shared" si="379"/>
        <v>13.782810889537597</v>
      </c>
      <c r="Q766" s="42">
        <f t="shared" si="380"/>
        <v>0.35699932367893467</v>
      </c>
      <c r="R766" s="4">
        <f t="shared" si="381"/>
        <v>11415.77570578932</v>
      </c>
      <c r="S766">
        <f t="shared" si="362"/>
        <v>1.1415775705789319E-5</v>
      </c>
      <c r="T766" s="41">
        <f t="shared" si="363"/>
        <v>1.6838859633609452E-4</v>
      </c>
      <c r="U766" s="42">
        <f t="shared" si="382"/>
        <v>2.0486180292824223E-2</v>
      </c>
      <c r="V766" s="42">
        <f t="shared" si="383"/>
        <v>0.44559476677492732</v>
      </c>
      <c r="W766" s="42">
        <f t="shared" si="384"/>
        <v>0.44269037519582166</v>
      </c>
      <c r="X766" s="42">
        <f t="shared" si="385"/>
        <v>2.9043915791056585E-3</v>
      </c>
      <c r="Y766" s="42">
        <f t="shared" si="359"/>
        <v>2.5396931701992696E-3</v>
      </c>
      <c r="Z766" s="10">
        <f t="shared" si="386"/>
        <v>15.082334703534077</v>
      </c>
      <c r="AA766">
        <f t="shared" si="364"/>
        <v>4977122.3989754375</v>
      </c>
      <c r="AB766" s="10">
        <f t="shared" si="365"/>
        <v>4.9771223989754372</v>
      </c>
      <c r="AC766" s="10">
        <f t="shared" si="366"/>
        <v>4.8761223989754372</v>
      </c>
      <c r="AD766" s="3">
        <f t="shared" si="367"/>
        <v>707.19686714654642</v>
      </c>
      <c r="AI766" s="94">
        <f t="shared" si="368"/>
        <v>0.44269037519582166</v>
      </c>
    </row>
    <row r="767" spans="2:35">
      <c r="B767" s="39">
        <f t="shared" si="369"/>
        <v>739</v>
      </c>
      <c r="C767" s="42">
        <f t="shared" si="370"/>
        <v>4.9089448441195715</v>
      </c>
      <c r="D767" s="10">
        <f t="shared" si="371"/>
        <v>0.63105515587977301</v>
      </c>
      <c r="E767" s="40">
        <f t="shared" si="372"/>
        <v>29.817889688240452</v>
      </c>
      <c r="F767" s="40">
        <f t="shared" si="373"/>
        <v>31.08</v>
      </c>
      <c r="G767" s="3">
        <f t="shared" si="374"/>
        <v>187.1284412470487</v>
      </c>
      <c r="H767" s="3">
        <f t="shared" si="375"/>
        <v>81.256230789298584</v>
      </c>
      <c r="I767">
        <f t="shared" si="360"/>
        <v>8.1256230789298584E-5</v>
      </c>
      <c r="J767" s="4">
        <f t="shared" si="376"/>
        <v>698.30264786899374</v>
      </c>
      <c r="K767" s="40">
        <f t="shared" si="377"/>
        <v>8.5938350953015163</v>
      </c>
      <c r="L767" s="40">
        <f t="shared" si="361"/>
        <v>0</v>
      </c>
      <c r="M767" s="10">
        <f t="shared" si="378"/>
        <v>4.9771223989754372</v>
      </c>
      <c r="N767" s="10">
        <f t="shared" si="357"/>
        <v>8.26</v>
      </c>
      <c r="O767" s="10">
        <f t="shared" si="358"/>
        <v>0.31900000000000001</v>
      </c>
      <c r="P767" s="10">
        <f t="shared" si="379"/>
        <v>13.782123326081214</v>
      </c>
      <c r="Q767" s="42">
        <f t="shared" si="380"/>
        <v>0.35748130208633588</v>
      </c>
      <c r="R767" s="4">
        <f t="shared" si="381"/>
        <v>11296.11849867767</v>
      </c>
      <c r="S767">
        <f t="shared" si="362"/>
        <v>1.1296118498677671E-5</v>
      </c>
      <c r="T767" s="41">
        <f t="shared" si="363"/>
        <v>1.6850825354320617E-4</v>
      </c>
      <c r="U767" s="42">
        <f t="shared" si="382"/>
        <v>2.0271449451802009E-2</v>
      </c>
      <c r="V767" s="42">
        <f t="shared" si="383"/>
        <v>0.44551962852448496</v>
      </c>
      <c r="W767" s="42">
        <f t="shared" si="384"/>
        <v>0.44261971683209322</v>
      </c>
      <c r="X767" s="42">
        <f t="shared" si="385"/>
        <v>2.8999116923917323E-3</v>
      </c>
      <c r="Y767" s="42">
        <f t="shared" si="359"/>
        <v>2.5410908650183727E-3</v>
      </c>
      <c r="Z767" s="10">
        <f t="shared" si="386"/>
        <v>15.079919301204004</v>
      </c>
      <c r="AA767">
        <f t="shared" si="364"/>
        <v>4976341.4988273038</v>
      </c>
      <c r="AB767" s="10">
        <f t="shared" si="365"/>
        <v>4.9763414988273036</v>
      </c>
      <c r="AC767" s="10">
        <f t="shared" si="366"/>
        <v>4.8753414988273036</v>
      </c>
      <c r="AD767" s="3">
        <f t="shared" si="367"/>
        <v>707.08361114246611</v>
      </c>
      <c r="AI767" s="94">
        <f t="shared" si="368"/>
        <v>0.44261971683209322</v>
      </c>
    </row>
    <row r="768" spans="2:35">
      <c r="B768" s="39">
        <f t="shared" si="369"/>
        <v>740</v>
      </c>
      <c r="C768" s="42">
        <f t="shared" si="370"/>
        <v>4.9155875299708836</v>
      </c>
      <c r="D768" s="10">
        <f t="shared" si="371"/>
        <v>0.62441247002846012</v>
      </c>
      <c r="E768" s="40">
        <f t="shared" si="372"/>
        <v>29.831175059943078</v>
      </c>
      <c r="F768" s="40">
        <f t="shared" si="373"/>
        <v>31.08</v>
      </c>
      <c r="G768" s="3">
        <f t="shared" si="374"/>
        <v>187.07529976023821</v>
      </c>
      <c r="H768" s="3">
        <f t="shared" si="375"/>
        <v>81.256230789298584</v>
      </c>
      <c r="I768">
        <f t="shared" si="360"/>
        <v>8.1256230789298584E-5</v>
      </c>
      <c r="J768" s="4">
        <f t="shared" si="376"/>
        <v>698.92504449512001</v>
      </c>
      <c r="K768" s="40">
        <f t="shared" si="377"/>
        <v>8.6014947740742134</v>
      </c>
      <c r="L768" s="40">
        <f t="shared" si="361"/>
        <v>0</v>
      </c>
      <c r="M768" s="10">
        <f t="shared" si="378"/>
        <v>4.9763414988273036</v>
      </c>
      <c r="N768" s="10">
        <f t="shared" si="357"/>
        <v>8.26</v>
      </c>
      <c r="O768" s="10">
        <f t="shared" si="358"/>
        <v>0.31900000000000001</v>
      </c>
      <c r="P768" s="10">
        <f t="shared" si="379"/>
        <v>13.78143348794152</v>
      </c>
      <c r="Q768" s="42">
        <f t="shared" si="380"/>
        <v>0.35796330461946307</v>
      </c>
      <c r="R768" s="4">
        <f t="shared" si="381"/>
        <v>11176.475546145239</v>
      </c>
      <c r="S768">
        <f t="shared" si="362"/>
        <v>1.1176475546145239E-5</v>
      </c>
      <c r="T768" s="41">
        <f t="shared" si="363"/>
        <v>1.6862789649573859E-4</v>
      </c>
      <c r="U768" s="42">
        <f t="shared" si="382"/>
        <v>2.0056744191334935E-2</v>
      </c>
      <c r="V768" s="42">
        <f t="shared" si="383"/>
        <v>0.44544425746911542</v>
      </c>
      <c r="W768" s="42">
        <f t="shared" si="384"/>
        <v>0.44254883226969727</v>
      </c>
      <c r="X768" s="42">
        <f t="shared" si="385"/>
        <v>2.8954251994181557E-3</v>
      </c>
      <c r="Y768" s="42">
        <f t="shared" si="359"/>
        <v>2.5424864672989726E-3</v>
      </c>
      <c r="Z768" s="10">
        <f t="shared" si="386"/>
        <v>15.077496192115662</v>
      </c>
      <c r="AA768">
        <f t="shared" si="364"/>
        <v>4975558.1070823865</v>
      </c>
      <c r="AB768" s="10">
        <f t="shared" si="365"/>
        <v>4.9755581070823869</v>
      </c>
      <c r="AC768" s="10">
        <f t="shared" si="366"/>
        <v>4.8745581070823869</v>
      </c>
      <c r="AD768" s="3">
        <f t="shared" si="367"/>
        <v>706.9699937755455</v>
      </c>
      <c r="AI768" s="94">
        <f t="shared" si="368"/>
        <v>0.44254883226969727</v>
      </c>
    </row>
    <row r="769" spans="2:35">
      <c r="B769" s="39">
        <f t="shared" si="369"/>
        <v>741</v>
      </c>
      <c r="C769" s="42">
        <f t="shared" si="370"/>
        <v>4.9222302158221956</v>
      </c>
      <c r="D769" s="10">
        <f t="shared" si="371"/>
        <v>0.61776978417714723</v>
      </c>
      <c r="E769" s="40">
        <f t="shared" si="372"/>
        <v>29.844460431645704</v>
      </c>
      <c r="F769" s="40">
        <f t="shared" si="373"/>
        <v>31.08</v>
      </c>
      <c r="G769" s="3">
        <f t="shared" si="374"/>
        <v>187.02215827342772</v>
      </c>
      <c r="H769" s="3">
        <f t="shared" si="375"/>
        <v>81.256230789298584</v>
      </c>
      <c r="I769">
        <f t="shared" si="360"/>
        <v>8.1256230789298584E-5</v>
      </c>
      <c r="J769" s="4">
        <f t="shared" si="376"/>
        <v>699.54771836852763</v>
      </c>
      <c r="K769" s="40">
        <f t="shared" si="377"/>
        <v>8.6091578648594886</v>
      </c>
      <c r="L769" s="40">
        <f t="shared" si="361"/>
        <v>0</v>
      </c>
      <c r="M769" s="10">
        <f t="shared" si="378"/>
        <v>4.9755581070823869</v>
      </c>
      <c r="N769" s="10">
        <f t="shared" si="357"/>
        <v>8.26</v>
      </c>
      <c r="O769" s="10">
        <f t="shared" si="358"/>
        <v>0.31900000000000001</v>
      </c>
      <c r="P769" s="10">
        <f t="shared" si="379"/>
        <v>13.780741374677897</v>
      </c>
      <c r="Q769" s="42">
        <f t="shared" si="380"/>
        <v>0.35844533136031159</v>
      </c>
      <c r="R769" s="4">
        <f t="shared" si="381"/>
        <v>11056.846892392045</v>
      </c>
      <c r="S769">
        <f t="shared" si="362"/>
        <v>1.1056846892392044E-5</v>
      </c>
      <c r="T769" s="41">
        <f t="shared" si="363"/>
        <v>1.6874752514949178E-4</v>
      </c>
      <c r="U769" s="42">
        <f t="shared" si="382"/>
        <v>1.9842064590742142E-2</v>
      </c>
      <c r="V769" s="42">
        <f t="shared" si="383"/>
        <v>0.44536865364541772</v>
      </c>
      <c r="W769" s="42">
        <f t="shared" si="384"/>
        <v>0.44247772153786308</v>
      </c>
      <c r="X769" s="42">
        <f t="shared" si="385"/>
        <v>2.8909321075546446E-3</v>
      </c>
      <c r="Y769" s="42">
        <f t="shared" si="359"/>
        <v>2.5438799738807913E-3</v>
      </c>
      <c r="Z769" s="10">
        <f t="shared" si="386"/>
        <v>15.075065377268158</v>
      </c>
      <c r="AA769">
        <f t="shared" si="364"/>
        <v>4974772.2240636982</v>
      </c>
      <c r="AB769" s="10">
        <f t="shared" si="365"/>
        <v>4.974772224063698</v>
      </c>
      <c r="AC769" s="10">
        <f t="shared" si="366"/>
        <v>4.873772224063698</v>
      </c>
      <c r="AD769" s="3">
        <f t="shared" si="367"/>
        <v>706.85601509263211</v>
      </c>
      <c r="AI769" s="94">
        <f t="shared" si="368"/>
        <v>0.44247772153786308</v>
      </c>
    </row>
    <row r="770" spans="2:35">
      <c r="B770" s="39">
        <f t="shared" si="369"/>
        <v>742</v>
      </c>
      <c r="C770" s="42">
        <f t="shared" si="370"/>
        <v>4.9288729016735076</v>
      </c>
      <c r="D770" s="10">
        <f t="shared" si="371"/>
        <v>0.61112709832583434</v>
      </c>
      <c r="E770" s="40">
        <f t="shared" si="372"/>
        <v>29.85774580334833</v>
      </c>
      <c r="F770" s="40">
        <f t="shared" si="373"/>
        <v>31.08</v>
      </c>
      <c r="G770" s="3">
        <f t="shared" si="374"/>
        <v>186.96901678661723</v>
      </c>
      <c r="H770" s="3">
        <f t="shared" si="375"/>
        <v>81.256230789298584</v>
      </c>
      <c r="I770">
        <f t="shared" si="360"/>
        <v>8.1256230789298584E-5</v>
      </c>
      <c r="J770" s="4">
        <f t="shared" si="376"/>
        <v>700.17066948921706</v>
      </c>
      <c r="K770" s="40">
        <f t="shared" si="377"/>
        <v>8.6168243676573457</v>
      </c>
      <c r="L770" s="40">
        <f t="shared" si="361"/>
        <v>0</v>
      </c>
      <c r="M770" s="10">
        <f t="shared" si="378"/>
        <v>4.974772224063698</v>
      </c>
      <c r="N770" s="10">
        <f t="shared" si="357"/>
        <v>8.26</v>
      </c>
      <c r="O770" s="10">
        <f t="shared" si="358"/>
        <v>0.31900000000000001</v>
      </c>
      <c r="P770" s="10">
        <f t="shared" si="379"/>
        <v>13.780046985848102</v>
      </c>
      <c r="Q770" s="42">
        <f t="shared" si="380"/>
        <v>0.35892738239091648</v>
      </c>
      <c r="R770" s="4">
        <f t="shared" si="381"/>
        <v>10937.232581618051</v>
      </c>
      <c r="S770">
        <f t="shared" si="362"/>
        <v>1.0937232581618052E-5</v>
      </c>
      <c r="T770" s="41">
        <f t="shared" si="363"/>
        <v>1.6886713946026577E-4</v>
      </c>
      <c r="U770" s="42">
        <f t="shared" si="382"/>
        <v>1.9627410729342671E-2</v>
      </c>
      <c r="V770" s="42">
        <f t="shared" si="383"/>
        <v>0.44529281709058421</v>
      </c>
      <c r="W770" s="42">
        <f t="shared" si="384"/>
        <v>0.4424063846659117</v>
      </c>
      <c r="X770" s="42">
        <f t="shared" si="385"/>
        <v>2.8864324246725137E-3</v>
      </c>
      <c r="Y770" s="42">
        <f t="shared" si="359"/>
        <v>2.5452713816058762E-3</v>
      </c>
      <c r="Z770" s="10">
        <f t="shared" si="386"/>
        <v>15.072626857665078</v>
      </c>
      <c r="AA770">
        <f t="shared" si="364"/>
        <v>4973983.8500956986</v>
      </c>
      <c r="AB770" s="10">
        <f t="shared" si="365"/>
        <v>4.9739838500956983</v>
      </c>
      <c r="AC770" s="10">
        <f t="shared" si="366"/>
        <v>4.8729838500956983</v>
      </c>
      <c r="AD770" s="3">
        <f t="shared" si="367"/>
        <v>706.74167514078295</v>
      </c>
      <c r="AI770" s="94">
        <f t="shared" si="368"/>
        <v>0.4424063846659117</v>
      </c>
    </row>
    <row r="771" spans="2:35">
      <c r="B771" s="39">
        <f t="shared" si="369"/>
        <v>743</v>
      </c>
      <c r="C771" s="42">
        <f t="shared" si="370"/>
        <v>4.9355155875248196</v>
      </c>
      <c r="D771" s="10">
        <f t="shared" si="371"/>
        <v>0.60448441247452145</v>
      </c>
      <c r="E771" s="40">
        <f t="shared" si="372"/>
        <v>29.871031175050955</v>
      </c>
      <c r="F771" s="40">
        <f t="shared" si="373"/>
        <v>31.08</v>
      </c>
      <c r="G771" s="3">
        <f t="shared" si="374"/>
        <v>186.91587529980674</v>
      </c>
      <c r="H771" s="3">
        <f t="shared" si="375"/>
        <v>81.256230789298584</v>
      </c>
      <c r="I771">
        <f t="shared" si="360"/>
        <v>8.1256230789298584E-5</v>
      </c>
      <c r="J771" s="4">
        <f t="shared" si="376"/>
        <v>700.79389785718786</v>
      </c>
      <c r="K771" s="40">
        <f t="shared" si="377"/>
        <v>8.6244942824677775</v>
      </c>
      <c r="L771" s="40">
        <f t="shared" si="361"/>
        <v>0</v>
      </c>
      <c r="M771" s="10">
        <f t="shared" si="378"/>
        <v>4.9739838500956983</v>
      </c>
      <c r="N771" s="10">
        <f t="shared" si="357"/>
        <v>8.26</v>
      </c>
      <c r="O771" s="10">
        <f t="shared" si="358"/>
        <v>0.31900000000000001</v>
      </c>
      <c r="P771" s="10">
        <f t="shared" si="379"/>
        <v>13.779350321008668</v>
      </c>
      <c r="Q771" s="42">
        <f t="shared" si="380"/>
        <v>0.35940945779335287</v>
      </c>
      <c r="R771" s="4">
        <f t="shared" si="381"/>
        <v>10817.632658023287</v>
      </c>
      <c r="S771">
        <f t="shared" si="362"/>
        <v>1.0817632658023287E-5</v>
      </c>
      <c r="T771" s="41">
        <f t="shared" si="363"/>
        <v>1.6898673938386055E-4</v>
      </c>
      <c r="U771" s="42">
        <f t="shared" si="382"/>
        <v>1.9412782686455687E-2</v>
      </c>
      <c r="V771" s="42">
        <f t="shared" si="383"/>
        <v>0.44521674784123549</v>
      </c>
      <c r="W771" s="42">
        <f t="shared" si="384"/>
        <v>0.44233482168329524</v>
      </c>
      <c r="X771" s="42">
        <f t="shared" si="385"/>
        <v>2.8819261579402511E-3</v>
      </c>
      <c r="Y771" s="42">
        <f t="shared" si="359"/>
        <v>2.5466606873182571E-3</v>
      </c>
      <c r="Z771" s="10">
        <f t="shared" si="386"/>
        <v>15.070180634312431</v>
      </c>
      <c r="AA771">
        <f t="shared" si="364"/>
        <v>4973192.9855036307</v>
      </c>
      <c r="AB771" s="10">
        <f t="shared" si="365"/>
        <v>4.9731929855036308</v>
      </c>
      <c r="AC771" s="10">
        <f t="shared" si="366"/>
        <v>4.8721929855036308</v>
      </c>
      <c r="AD771" s="3">
        <f t="shared" si="367"/>
        <v>706.62697396716908</v>
      </c>
      <c r="AI771" s="94">
        <f t="shared" si="368"/>
        <v>0.44233482168329524</v>
      </c>
    </row>
    <row r="772" spans="2:35">
      <c r="B772" s="39">
        <f t="shared" si="369"/>
        <v>744</v>
      </c>
      <c r="C772" s="42">
        <f t="shared" si="370"/>
        <v>4.9421582733761316</v>
      </c>
      <c r="D772" s="10">
        <f t="shared" si="371"/>
        <v>0.59784172662320856</v>
      </c>
      <c r="E772" s="40">
        <f t="shared" si="372"/>
        <v>29.884316546753581</v>
      </c>
      <c r="F772" s="40">
        <f t="shared" si="373"/>
        <v>31.08</v>
      </c>
      <c r="G772" s="3">
        <f t="shared" si="374"/>
        <v>186.86273381299625</v>
      </c>
      <c r="H772" s="3">
        <f t="shared" si="375"/>
        <v>81.256230789298584</v>
      </c>
      <c r="I772">
        <f t="shared" si="360"/>
        <v>8.1256230789298584E-5</v>
      </c>
      <c r="J772" s="4">
        <f t="shared" si="376"/>
        <v>701.41740347244024</v>
      </c>
      <c r="K772" s="40">
        <f t="shared" si="377"/>
        <v>8.6321676092907893</v>
      </c>
      <c r="L772" s="40">
        <f t="shared" si="361"/>
        <v>0</v>
      </c>
      <c r="M772" s="10">
        <f t="shared" si="378"/>
        <v>4.9731929855036308</v>
      </c>
      <c r="N772" s="10">
        <f t="shared" si="357"/>
        <v>8.26</v>
      </c>
      <c r="O772" s="10">
        <f t="shared" si="358"/>
        <v>0.31900000000000001</v>
      </c>
      <c r="P772" s="10">
        <f t="shared" si="379"/>
        <v>13.778651379714296</v>
      </c>
      <c r="Q772" s="42">
        <f t="shared" si="380"/>
        <v>0.3598915576497359</v>
      </c>
      <c r="R772" s="4">
        <f t="shared" si="381"/>
        <v>10698.047165807753</v>
      </c>
      <c r="S772">
        <f t="shared" si="362"/>
        <v>1.0698047165807753E-5</v>
      </c>
      <c r="T772" s="41">
        <f t="shared" si="363"/>
        <v>1.6910632487607608E-4</v>
      </c>
      <c r="U772" s="42">
        <f t="shared" si="382"/>
        <v>1.9198180541400302E-2</v>
      </c>
      <c r="V772" s="42">
        <f t="shared" si="383"/>
        <v>0.44514044593467339</v>
      </c>
      <c r="W772" s="42">
        <f t="shared" si="384"/>
        <v>0.44226303261953687</v>
      </c>
      <c r="X772" s="42">
        <f t="shared" si="385"/>
        <v>2.8774133151365233E-3</v>
      </c>
      <c r="Y772" s="42">
        <f t="shared" si="359"/>
        <v>2.5480478878642391E-3</v>
      </c>
      <c r="Z772" s="10">
        <f t="shared" si="386"/>
        <v>15.06772670822035</v>
      </c>
      <c r="AA772">
        <f t="shared" si="364"/>
        <v>4972399.6306140712</v>
      </c>
      <c r="AB772" s="10">
        <f t="shared" si="365"/>
        <v>4.9723996306140714</v>
      </c>
      <c r="AC772" s="10">
        <f t="shared" si="366"/>
        <v>4.8713996306140714</v>
      </c>
      <c r="AD772" s="3">
        <f t="shared" si="367"/>
        <v>706.5119116191546</v>
      </c>
      <c r="AI772" s="94">
        <f t="shared" si="368"/>
        <v>0.44226303261953687</v>
      </c>
    </row>
    <row r="773" spans="2:35">
      <c r="B773" s="39">
        <f t="shared" si="369"/>
        <v>745</v>
      </c>
      <c r="C773" s="42">
        <f t="shared" si="370"/>
        <v>4.9488009592274436</v>
      </c>
      <c r="D773" s="10">
        <f t="shared" si="371"/>
        <v>0.59119904077189567</v>
      </c>
      <c r="E773" s="40">
        <f t="shared" si="372"/>
        <v>29.897601918456207</v>
      </c>
      <c r="F773" s="40">
        <f t="shared" si="373"/>
        <v>31.08</v>
      </c>
      <c r="G773" s="3">
        <f t="shared" si="374"/>
        <v>186.80959232618576</v>
      </c>
      <c r="H773" s="3">
        <f t="shared" si="375"/>
        <v>81.256230789298584</v>
      </c>
      <c r="I773">
        <f t="shared" si="360"/>
        <v>8.1256230789298584E-5</v>
      </c>
      <c r="J773" s="4">
        <f t="shared" si="376"/>
        <v>702.04118633497433</v>
      </c>
      <c r="K773" s="40">
        <f t="shared" si="377"/>
        <v>8.6398443481263829</v>
      </c>
      <c r="L773" s="40">
        <f t="shared" si="361"/>
        <v>0</v>
      </c>
      <c r="M773" s="10">
        <f t="shared" si="378"/>
        <v>4.9723996306140714</v>
      </c>
      <c r="N773" s="10">
        <f t="shared" si="357"/>
        <v>8.26</v>
      </c>
      <c r="O773" s="10">
        <f t="shared" si="358"/>
        <v>0.31900000000000001</v>
      </c>
      <c r="P773" s="10">
        <f t="shared" si="379"/>
        <v>13.77795016151835</v>
      </c>
      <c r="Q773" s="42">
        <f t="shared" si="380"/>
        <v>0.36037368204222098</v>
      </c>
      <c r="R773" s="4">
        <f t="shared" si="381"/>
        <v>10578.476149171416</v>
      </c>
      <c r="S773">
        <f t="shared" si="362"/>
        <v>1.0578476149171416E-5</v>
      </c>
      <c r="T773" s="41">
        <f t="shared" si="363"/>
        <v>1.6922589589271243E-4</v>
      </c>
      <c r="U773" s="42">
        <f t="shared" si="382"/>
        <v>1.8983604373495565E-2</v>
      </c>
      <c r="V773" s="42">
        <f t="shared" si="383"/>
        <v>0.44506391140825741</v>
      </c>
      <c r="W773" s="42">
        <f t="shared" si="384"/>
        <v>0.44219101750428091</v>
      </c>
      <c r="X773" s="42">
        <f t="shared" si="385"/>
        <v>2.8728939039764922E-3</v>
      </c>
      <c r="Y773" s="42">
        <f t="shared" si="359"/>
        <v>2.5494329800923679E-3</v>
      </c>
      <c r="Z773" s="10">
        <f t="shared" si="386"/>
        <v>15.065265080402845</v>
      </c>
      <c r="AA773">
        <f t="shared" si="364"/>
        <v>4971603.7857548492</v>
      </c>
      <c r="AB773" s="10">
        <f t="shared" si="365"/>
        <v>4.9716037857548496</v>
      </c>
      <c r="AC773" s="10">
        <f t="shared" si="366"/>
        <v>4.8706037857548496</v>
      </c>
      <c r="AD773" s="3">
        <f t="shared" si="367"/>
        <v>706.39648814428563</v>
      </c>
      <c r="AI773" s="94">
        <f t="shared" si="368"/>
        <v>0.44219101750428091</v>
      </c>
    </row>
    <row r="774" spans="2:35">
      <c r="B774" s="39">
        <f t="shared" si="369"/>
        <v>746</v>
      </c>
      <c r="C774" s="42">
        <f t="shared" si="370"/>
        <v>4.9554436450787556</v>
      </c>
      <c r="D774" s="10">
        <f t="shared" si="371"/>
        <v>0.58455635492058278</v>
      </c>
      <c r="E774" s="40">
        <f t="shared" si="372"/>
        <v>29.910887290158833</v>
      </c>
      <c r="F774" s="40">
        <f t="shared" si="373"/>
        <v>31.08</v>
      </c>
      <c r="G774" s="3">
        <f t="shared" si="374"/>
        <v>186.75645083937528</v>
      </c>
      <c r="H774" s="3">
        <f t="shared" si="375"/>
        <v>81.256230789298584</v>
      </c>
      <c r="I774">
        <f t="shared" si="360"/>
        <v>8.1256230789298584E-5</v>
      </c>
      <c r="J774" s="4">
        <f t="shared" si="376"/>
        <v>702.66524644478989</v>
      </c>
      <c r="K774" s="40">
        <f t="shared" si="377"/>
        <v>8.647524498974553</v>
      </c>
      <c r="L774" s="40">
        <f t="shared" si="361"/>
        <v>0</v>
      </c>
      <c r="M774" s="10">
        <f t="shared" si="378"/>
        <v>4.9716037857548496</v>
      </c>
      <c r="N774" s="10">
        <f t="shared" si="357"/>
        <v>8.26</v>
      </c>
      <c r="O774" s="10">
        <f t="shared" si="358"/>
        <v>0.31900000000000001</v>
      </c>
      <c r="P774" s="10">
        <f t="shared" si="379"/>
        <v>13.777246665972788</v>
      </c>
      <c r="Q774" s="42">
        <f t="shared" si="380"/>
        <v>0.36085583105300395</v>
      </c>
      <c r="R774" s="4">
        <f t="shared" si="381"/>
        <v>10458.919652314302</v>
      </c>
      <c r="S774">
        <f t="shared" si="362"/>
        <v>1.0458919652314302E-5</v>
      </c>
      <c r="T774" s="41">
        <f t="shared" si="363"/>
        <v>1.6934545238956954E-4</v>
      </c>
      <c r="U774" s="42">
        <f t="shared" si="382"/>
        <v>1.8769054262060627E-2</v>
      </c>
      <c r="V774" s="42">
        <f t="shared" si="383"/>
        <v>0.44498714429907393</v>
      </c>
      <c r="W774" s="42">
        <f t="shared" si="384"/>
        <v>0.44211877636728547</v>
      </c>
      <c r="X774" s="42">
        <f t="shared" si="385"/>
        <v>2.8683679317884625E-3</v>
      </c>
      <c r="Y774" s="42">
        <f t="shared" si="359"/>
        <v>2.5508159608532413E-3</v>
      </c>
      <c r="Z774" s="10">
        <f t="shared" si="386"/>
        <v>15.062795751876672</v>
      </c>
      <c r="AA774">
        <f t="shared" si="364"/>
        <v>4970805.4512546817</v>
      </c>
      <c r="AB774" s="10">
        <f t="shared" si="365"/>
        <v>4.970805451254682</v>
      </c>
      <c r="AC774" s="10">
        <f t="shared" si="366"/>
        <v>4.869805451254682</v>
      </c>
      <c r="AD774" s="3">
        <f t="shared" si="367"/>
        <v>706.28070359023661</v>
      </c>
      <c r="AI774" s="94">
        <f t="shared" si="368"/>
        <v>0.44211877636728547</v>
      </c>
    </row>
    <row r="775" spans="2:35">
      <c r="B775" s="39">
        <f t="shared" si="369"/>
        <v>747</v>
      </c>
      <c r="C775" s="42">
        <f t="shared" si="370"/>
        <v>4.9620863309300676</v>
      </c>
      <c r="D775" s="10">
        <f t="shared" si="371"/>
        <v>0.57791366906926989</v>
      </c>
      <c r="E775" s="40">
        <f t="shared" si="372"/>
        <v>29.924172661861459</v>
      </c>
      <c r="F775" s="40">
        <f t="shared" si="373"/>
        <v>31.08</v>
      </c>
      <c r="G775" s="3">
        <f t="shared" si="374"/>
        <v>186.70330935256479</v>
      </c>
      <c r="H775" s="3">
        <f t="shared" si="375"/>
        <v>81.256230789298584</v>
      </c>
      <c r="I775">
        <f t="shared" si="360"/>
        <v>8.1256230789298584E-5</v>
      </c>
      <c r="J775" s="4">
        <f t="shared" si="376"/>
        <v>703.28958380188703</v>
      </c>
      <c r="K775" s="40">
        <f t="shared" si="377"/>
        <v>8.6552080618353031</v>
      </c>
      <c r="L775" s="40">
        <f t="shared" si="361"/>
        <v>0</v>
      </c>
      <c r="M775" s="10">
        <f t="shared" si="378"/>
        <v>4.970805451254682</v>
      </c>
      <c r="N775" s="10">
        <f t="shared" si="357"/>
        <v>8.26</v>
      </c>
      <c r="O775" s="10">
        <f t="shared" si="358"/>
        <v>0.31900000000000001</v>
      </c>
      <c r="P775" s="10">
        <f t="shared" si="379"/>
        <v>13.776540892627827</v>
      </c>
      <c r="Q775" s="42">
        <f t="shared" si="380"/>
        <v>0.36133800476432121</v>
      </c>
      <c r="R775" s="4">
        <f t="shared" si="381"/>
        <v>10339.377719436399</v>
      </c>
      <c r="S775">
        <f t="shared" si="362"/>
        <v>1.0339377719436399E-5</v>
      </c>
      <c r="T775" s="41">
        <f t="shared" si="363"/>
        <v>1.6946499432244743E-4</v>
      </c>
      <c r="U775" s="42">
        <f t="shared" si="382"/>
        <v>1.855453028641459E-2</v>
      </c>
      <c r="V775" s="42">
        <f t="shared" si="383"/>
        <v>0.44491014464470935</v>
      </c>
      <c r="W775" s="42">
        <f t="shared" si="384"/>
        <v>0.442046309238389</v>
      </c>
      <c r="X775" s="42">
        <f t="shared" si="385"/>
        <v>2.8638354063203475E-3</v>
      </c>
      <c r="Y775" s="42">
        <f t="shared" si="359"/>
        <v>2.5521968269997084E-3</v>
      </c>
      <c r="Z775" s="10">
        <f t="shared" si="386"/>
        <v>15.060318723662466</v>
      </c>
      <c r="AA775">
        <f t="shared" si="364"/>
        <v>4970004.6274435408</v>
      </c>
      <c r="AB775" s="10">
        <f t="shared" si="365"/>
        <v>4.970004627443541</v>
      </c>
      <c r="AC775" s="10">
        <f t="shared" si="366"/>
        <v>4.869004627443541</v>
      </c>
      <c r="AD775" s="3">
        <f t="shared" si="367"/>
        <v>706.16455800486449</v>
      </c>
      <c r="AI775" s="94">
        <f t="shared" si="368"/>
        <v>0.442046309238389</v>
      </c>
    </row>
    <row r="776" spans="2:35">
      <c r="B776" s="39">
        <f t="shared" si="369"/>
        <v>748</v>
      </c>
      <c r="C776" s="42">
        <f t="shared" si="370"/>
        <v>4.9687290167813796</v>
      </c>
      <c r="D776" s="10">
        <f t="shared" si="371"/>
        <v>0.571270983217957</v>
      </c>
      <c r="E776" s="40">
        <f t="shared" si="372"/>
        <v>29.937458033564084</v>
      </c>
      <c r="F776" s="40">
        <f t="shared" si="373"/>
        <v>31.08</v>
      </c>
      <c r="G776" s="3">
        <f t="shared" si="374"/>
        <v>186.6501678657543</v>
      </c>
      <c r="H776" s="3">
        <f t="shared" si="375"/>
        <v>81.256230789298584</v>
      </c>
      <c r="I776">
        <f t="shared" si="360"/>
        <v>8.1256230789298584E-5</v>
      </c>
      <c r="J776" s="4">
        <f t="shared" si="376"/>
        <v>703.91419840626565</v>
      </c>
      <c r="K776" s="40">
        <f t="shared" si="377"/>
        <v>8.6628950367086297</v>
      </c>
      <c r="L776" s="40">
        <f t="shared" si="361"/>
        <v>0</v>
      </c>
      <c r="M776" s="10">
        <f t="shared" si="378"/>
        <v>4.970004627443541</v>
      </c>
      <c r="N776" s="10">
        <f t="shared" si="357"/>
        <v>8.26</v>
      </c>
      <c r="O776" s="10">
        <f t="shared" si="358"/>
        <v>0.31900000000000001</v>
      </c>
      <c r="P776" s="10">
        <f t="shared" si="379"/>
        <v>13.775832841032271</v>
      </c>
      <c r="Q776" s="42">
        <f t="shared" si="380"/>
        <v>0.36182020325844971</v>
      </c>
      <c r="R776" s="4">
        <f t="shared" si="381"/>
        <v>10219.850394737719</v>
      </c>
      <c r="S776">
        <f t="shared" si="362"/>
        <v>1.021985039473772E-5</v>
      </c>
      <c r="T776" s="41">
        <f t="shared" si="363"/>
        <v>1.6958452164714613E-4</v>
      </c>
      <c r="U776" s="42">
        <f t="shared" si="382"/>
        <v>1.8340032525876574E-2</v>
      </c>
      <c r="V776" s="42">
        <f t="shared" si="383"/>
        <v>0.44483291248282536</v>
      </c>
      <c r="W776" s="42">
        <f t="shared" si="384"/>
        <v>0.4419736161475441</v>
      </c>
      <c r="X776" s="42">
        <f t="shared" si="385"/>
        <v>2.8592963352812584E-3</v>
      </c>
      <c r="Y776" s="42">
        <f t="shared" si="359"/>
        <v>2.5535755753868482E-3</v>
      </c>
      <c r="Z776" s="10">
        <f t="shared" si="386"/>
        <v>15.057833996784584</v>
      </c>
      <c r="AA776">
        <f t="shared" si="364"/>
        <v>4969201.3146526013</v>
      </c>
      <c r="AB776" s="10">
        <f t="shared" si="365"/>
        <v>4.9692013146526008</v>
      </c>
      <c r="AC776" s="10">
        <f t="shared" si="366"/>
        <v>4.8682013146526009</v>
      </c>
      <c r="AD776" s="3">
        <f t="shared" si="367"/>
        <v>706.04805143620035</v>
      </c>
      <c r="AI776" s="94">
        <f t="shared" si="368"/>
        <v>0.4419736161475441</v>
      </c>
    </row>
    <row r="777" spans="2:35">
      <c r="B777" s="39">
        <f t="shared" si="369"/>
        <v>749</v>
      </c>
      <c r="C777" s="42">
        <f t="shared" si="370"/>
        <v>4.9753717026326916</v>
      </c>
      <c r="D777" s="10">
        <f t="shared" si="371"/>
        <v>0.56462829736664411</v>
      </c>
      <c r="E777" s="40">
        <f t="shared" si="372"/>
        <v>29.95074340526671</v>
      </c>
      <c r="F777" s="40">
        <f t="shared" si="373"/>
        <v>31.08</v>
      </c>
      <c r="G777" s="3">
        <f t="shared" si="374"/>
        <v>186.59702637894381</v>
      </c>
      <c r="H777" s="3">
        <f t="shared" si="375"/>
        <v>81.256230789298584</v>
      </c>
      <c r="I777">
        <f t="shared" si="360"/>
        <v>8.1256230789298584E-5</v>
      </c>
      <c r="J777" s="4">
        <f t="shared" si="376"/>
        <v>704.53909025792598</v>
      </c>
      <c r="K777" s="40">
        <f t="shared" si="377"/>
        <v>8.6705854235945381</v>
      </c>
      <c r="L777" s="40">
        <f t="shared" si="361"/>
        <v>0</v>
      </c>
      <c r="M777" s="10">
        <f t="shared" si="378"/>
        <v>4.9692013146526008</v>
      </c>
      <c r="N777" s="10">
        <f t="shared" si="357"/>
        <v>8.26</v>
      </c>
      <c r="O777" s="10">
        <f t="shared" si="358"/>
        <v>0.31900000000000001</v>
      </c>
      <c r="P777" s="10">
        <f t="shared" si="379"/>
        <v>13.775122510733468</v>
      </c>
      <c r="Q777" s="42">
        <f t="shared" si="380"/>
        <v>0.3623024266177074</v>
      </c>
      <c r="R777" s="4">
        <f t="shared" si="381"/>
        <v>10100.337722418226</v>
      </c>
      <c r="S777">
        <f t="shared" si="362"/>
        <v>1.0100337722418226E-5</v>
      </c>
      <c r="T777" s="41">
        <f t="shared" si="363"/>
        <v>1.697040343194656E-4</v>
      </c>
      <c r="U777" s="42">
        <f t="shared" si="382"/>
        <v>1.8125561059765628E-2</v>
      </c>
      <c r="V777" s="42">
        <f t="shared" si="383"/>
        <v>0.44475544785116861</v>
      </c>
      <c r="W777" s="42">
        <f t="shared" si="384"/>
        <v>0.44190069712481239</v>
      </c>
      <c r="X777" s="42">
        <f t="shared" si="385"/>
        <v>2.8547507263562144E-3</v>
      </c>
      <c r="Y777" s="42">
        <f t="shared" si="359"/>
        <v>2.554952202871955E-3</v>
      </c>
      <c r="Z777" s="10">
        <f t="shared" si="386"/>
        <v>15.055341572271001</v>
      </c>
      <c r="AA777">
        <f t="shared" si="364"/>
        <v>4968395.5132142082</v>
      </c>
      <c r="AB777" s="10">
        <f t="shared" si="365"/>
        <v>4.9683955132142081</v>
      </c>
      <c r="AC777" s="10">
        <f t="shared" si="366"/>
        <v>4.8673955132142082</v>
      </c>
      <c r="AD777" s="3">
        <f t="shared" si="367"/>
        <v>705.93118393244504</v>
      </c>
      <c r="AI777" s="94">
        <f t="shared" si="368"/>
        <v>0.44190069712481239</v>
      </c>
    </row>
    <row r="778" spans="2:35">
      <c r="B778" s="39">
        <f t="shared" si="369"/>
        <v>750</v>
      </c>
      <c r="C778" s="42">
        <f t="shared" si="370"/>
        <v>4.9820143884840036</v>
      </c>
      <c r="D778" s="10">
        <f t="shared" si="371"/>
        <v>0.55798561151533121</v>
      </c>
      <c r="E778" s="40">
        <f t="shared" si="372"/>
        <v>29.964028776969336</v>
      </c>
      <c r="F778" s="40">
        <f t="shared" si="373"/>
        <v>31.08</v>
      </c>
      <c r="G778" s="3">
        <f t="shared" si="374"/>
        <v>186.54388489213332</v>
      </c>
      <c r="H778" s="3">
        <f t="shared" si="375"/>
        <v>81.256230789298584</v>
      </c>
      <c r="I778">
        <f t="shared" si="360"/>
        <v>8.1256230789298584E-5</v>
      </c>
      <c r="J778" s="4">
        <f t="shared" si="376"/>
        <v>705.16425935686766</v>
      </c>
      <c r="K778" s="40">
        <f t="shared" si="377"/>
        <v>8.6782792224930212</v>
      </c>
      <c r="L778" s="40">
        <f t="shared" si="361"/>
        <v>0</v>
      </c>
      <c r="M778" s="10">
        <f t="shared" si="378"/>
        <v>4.9683955132142081</v>
      </c>
      <c r="N778" s="10">
        <f t="shared" si="357"/>
        <v>8.26</v>
      </c>
      <c r="O778" s="10">
        <f t="shared" si="358"/>
        <v>0.31900000000000001</v>
      </c>
      <c r="P778" s="10">
        <f t="shared" si="379"/>
        <v>13.774409901277274</v>
      </c>
      <c r="Q778" s="42">
        <f t="shared" si="380"/>
        <v>0.3627846749244531</v>
      </c>
      <c r="R778" s="4">
        <f t="shared" si="381"/>
        <v>9980.8397466779697</v>
      </c>
      <c r="S778">
        <f t="shared" si="362"/>
        <v>9.9808397466779704E-6</v>
      </c>
      <c r="T778" s="41">
        <f t="shared" si="363"/>
        <v>1.6982353229520587E-4</v>
      </c>
      <c r="U778" s="42">
        <f t="shared" si="382"/>
        <v>1.7911115967400949E-2</v>
      </c>
      <c r="V778" s="42">
        <f t="shared" si="383"/>
        <v>0.44467775078733307</v>
      </c>
      <c r="W778" s="42">
        <f t="shared" si="384"/>
        <v>0.44182755220036196</v>
      </c>
      <c r="X778" s="42">
        <f t="shared" si="385"/>
        <v>2.8501985869711088E-3</v>
      </c>
      <c r="Y778" s="42">
        <f t="shared" si="359"/>
        <v>2.5563267063144109E-3</v>
      </c>
      <c r="Z778" s="10">
        <f t="shared" si="386"/>
        <v>15.052841451152505</v>
      </c>
      <c r="AA778">
        <f t="shared" si="364"/>
        <v>4967587.2234616149</v>
      </c>
      <c r="AB778" s="10">
        <f t="shared" si="365"/>
        <v>4.9675872234616145</v>
      </c>
      <c r="AC778" s="10">
        <f t="shared" si="366"/>
        <v>4.8665872234616145</v>
      </c>
      <c r="AD778" s="3">
        <f t="shared" si="367"/>
        <v>705.81395554193114</v>
      </c>
      <c r="AI778" s="94">
        <f t="shared" si="368"/>
        <v>0.44182755220036196</v>
      </c>
    </row>
    <row r="779" spans="2:35">
      <c r="B779" s="39">
        <f t="shared" si="369"/>
        <v>751</v>
      </c>
      <c r="C779" s="42">
        <f t="shared" si="370"/>
        <v>4.9886570743353156</v>
      </c>
      <c r="D779" s="10">
        <f t="shared" si="371"/>
        <v>0.55134292566401832</v>
      </c>
      <c r="E779" s="40">
        <f t="shared" si="372"/>
        <v>29.977314148671962</v>
      </c>
      <c r="F779" s="40">
        <f t="shared" si="373"/>
        <v>31.08</v>
      </c>
      <c r="G779" s="3">
        <f t="shared" si="374"/>
        <v>186.49074340532283</v>
      </c>
      <c r="H779" s="3">
        <f t="shared" si="375"/>
        <v>81.256230789298584</v>
      </c>
      <c r="I779">
        <f t="shared" si="360"/>
        <v>8.1256230789298584E-5</v>
      </c>
      <c r="J779" s="4">
        <f t="shared" si="376"/>
        <v>705.78970570309104</v>
      </c>
      <c r="K779" s="40">
        <f t="shared" si="377"/>
        <v>8.6859764334040861</v>
      </c>
      <c r="L779" s="40">
        <f t="shared" si="361"/>
        <v>0</v>
      </c>
      <c r="M779" s="10">
        <f t="shared" si="378"/>
        <v>4.9675872234616145</v>
      </c>
      <c r="N779" s="10">
        <f t="shared" si="357"/>
        <v>8.26</v>
      </c>
      <c r="O779" s="10">
        <f t="shared" si="358"/>
        <v>0.31900000000000001</v>
      </c>
      <c r="P779" s="10">
        <f t="shared" si="379"/>
        <v>13.773695012207817</v>
      </c>
      <c r="Q779" s="42">
        <f t="shared" si="380"/>
        <v>0.3632669482610868</v>
      </c>
      <c r="R779" s="4">
        <f t="shared" si="381"/>
        <v>9861.3565117168982</v>
      </c>
      <c r="S779">
        <f t="shared" si="362"/>
        <v>9.8613565117168978E-6</v>
      </c>
      <c r="T779" s="41">
        <f t="shared" si="363"/>
        <v>1.6994301553016692E-4</v>
      </c>
      <c r="U779" s="42">
        <f t="shared" si="382"/>
        <v>1.7696697328101561E-2</v>
      </c>
      <c r="V779" s="42">
        <f t="shared" si="383"/>
        <v>0.44459982132963383</v>
      </c>
      <c r="W779" s="42">
        <f t="shared" si="384"/>
        <v>0.44175418140444306</v>
      </c>
      <c r="X779" s="42">
        <f t="shared" si="385"/>
        <v>2.8456399251907682E-3</v>
      </c>
      <c r="Y779" s="42">
        <f t="shared" si="359"/>
        <v>2.5576990825759908E-3</v>
      </c>
      <c r="Z779" s="10">
        <f t="shared" si="386"/>
        <v>15.050333634464481</v>
      </c>
      <c r="AA779">
        <f t="shared" si="364"/>
        <v>4966776.4457295621</v>
      </c>
      <c r="AB779" s="10">
        <f t="shared" si="365"/>
        <v>4.966776445729562</v>
      </c>
      <c r="AC779" s="10">
        <f t="shared" si="366"/>
        <v>4.865776445729562</v>
      </c>
      <c r="AD779" s="3">
        <f t="shared" si="367"/>
        <v>705.69636631320702</v>
      </c>
      <c r="AI779" s="94">
        <f t="shared" si="368"/>
        <v>0.44175418140444306</v>
      </c>
    </row>
    <row r="780" spans="2:35">
      <c r="B780" s="39">
        <f t="shared" si="369"/>
        <v>752</v>
      </c>
      <c r="C780" s="42">
        <f t="shared" si="370"/>
        <v>4.9952997601866276</v>
      </c>
      <c r="D780" s="10">
        <f t="shared" si="371"/>
        <v>0.54470023981270543</v>
      </c>
      <c r="E780" s="40">
        <f t="shared" si="372"/>
        <v>29.990599520374587</v>
      </c>
      <c r="F780" s="40">
        <f t="shared" si="373"/>
        <v>31.08</v>
      </c>
      <c r="G780" s="3">
        <f t="shared" si="374"/>
        <v>186.43760191851234</v>
      </c>
      <c r="H780" s="3">
        <f t="shared" si="375"/>
        <v>81.256230789298584</v>
      </c>
      <c r="I780">
        <f t="shared" si="360"/>
        <v>8.1256230789298584E-5</v>
      </c>
      <c r="J780" s="4">
        <f t="shared" si="376"/>
        <v>706.4154292965959</v>
      </c>
      <c r="K780" s="40">
        <f t="shared" si="377"/>
        <v>8.6936770563277292</v>
      </c>
      <c r="L780" s="40">
        <f t="shared" si="361"/>
        <v>0</v>
      </c>
      <c r="M780" s="10">
        <f t="shared" si="378"/>
        <v>4.966776445729562</v>
      </c>
      <c r="N780" s="10">
        <f t="shared" si="357"/>
        <v>8.26</v>
      </c>
      <c r="O780" s="10">
        <f t="shared" si="358"/>
        <v>0.31900000000000001</v>
      </c>
      <c r="P780" s="10">
        <f t="shared" si="379"/>
        <v>13.772977843068016</v>
      </c>
      <c r="Q780" s="42">
        <f t="shared" si="380"/>
        <v>0.36374924671004971</v>
      </c>
      <c r="R780" s="4">
        <f t="shared" si="381"/>
        <v>9741.8880617350424</v>
      </c>
      <c r="S780">
        <f t="shared" si="362"/>
        <v>9.7418880617350421E-6</v>
      </c>
      <c r="T780" s="41">
        <f t="shared" si="363"/>
        <v>1.700624839801488E-4</v>
      </c>
      <c r="U780" s="42">
        <f t="shared" si="382"/>
        <v>1.7482305221186621E-2</v>
      </c>
      <c r="V780" s="42">
        <f t="shared" si="383"/>
        <v>0.44452165951590022</v>
      </c>
      <c r="W780" s="42">
        <f t="shared" si="384"/>
        <v>0.44168058476744093</v>
      </c>
      <c r="X780" s="42">
        <f t="shared" si="385"/>
        <v>2.8410747484592935E-3</v>
      </c>
      <c r="Y780" s="42">
        <f t="shared" si="359"/>
        <v>2.5590693285205603E-3</v>
      </c>
      <c r="Z780" s="10">
        <f t="shared" si="386"/>
        <v>15.047818123245086</v>
      </c>
      <c r="AA780">
        <f t="shared" si="364"/>
        <v>4965963.1803536853</v>
      </c>
      <c r="AB780" s="10">
        <f t="shared" si="365"/>
        <v>4.9659631803536852</v>
      </c>
      <c r="AC780" s="10">
        <f t="shared" si="366"/>
        <v>4.8649631803536852</v>
      </c>
      <c r="AD780" s="3">
        <f t="shared" si="367"/>
        <v>705.57841629495078</v>
      </c>
      <c r="AI780" s="94">
        <f t="shared" si="368"/>
        <v>0.44168058476744093</v>
      </c>
    </row>
    <row r="781" spans="2:35">
      <c r="B781" s="39">
        <f t="shared" si="369"/>
        <v>753</v>
      </c>
      <c r="C781" s="42">
        <f t="shared" si="370"/>
        <v>5.0019424460379396</v>
      </c>
      <c r="D781" s="10">
        <f t="shared" si="371"/>
        <v>0.53805755396139254</v>
      </c>
      <c r="E781" s="40">
        <f t="shared" si="372"/>
        <v>30.003884892077213</v>
      </c>
      <c r="F781" s="40">
        <f t="shared" si="373"/>
        <v>31.08</v>
      </c>
      <c r="G781" s="3">
        <f t="shared" si="374"/>
        <v>186.38446043170185</v>
      </c>
      <c r="H781" s="3">
        <f t="shared" si="375"/>
        <v>81.256230789298584</v>
      </c>
      <c r="I781">
        <f t="shared" si="360"/>
        <v>8.1256230789298584E-5</v>
      </c>
      <c r="J781" s="4">
        <f t="shared" si="376"/>
        <v>707.04143013738258</v>
      </c>
      <c r="K781" s="40">
        <f t="shared" si="377"/>
        <v>8.7013810912639542</v>
      </c>
      <c r="L781" s="40">
        <f t="shared" si="361"/>
        <v>0</v>
      </c>
      <c r="M781" s="10">
        <f t="shared" si="378"/>
        <v>4.9659631803536852</v>
      </c>
      <c r="N781" s="10">
        <f t="shared" si="357"/>
        <v>8.26</v>
      </c>
      <c r="O781" s="10">
        <f t="shared" si="358"/>
        <v>0.31900000000000001</v>
      </c>
      <c r="P781" s="10">
        <f t="shared" si="379"/>
        <v>13.772258393399051</v>
      </c>
      <c r="Q781" s="42">
        <f t="shared" si="380"/>
        <v>0.36423157035382447</v>
      </c>
      <c r="R781" s="4">
        <f t="shared" si="381"/>
        <v>9622.4344409323676</v>
      </c>
      <c r="S781">
        <f t="shared" si="362"/>
        <v>9.6224344409323681E-6</v>
      </c>
      <c r="T781" s="41">
        <f t="shared" si="363"/>
        <v>1.7018193760095146E-4</v>
      </c>
      <c r="U781" s="42">
        <f t="shared" si="382"/>
        <v>1.7267939725975179E-2</v>
      </c>
      <c r="V781" s="42">
        <f t="shared" si="383"/>
        <v>0.44444326538457585</v>
      </c>
      <c r="W781" s="42">
        <f t="shared" si="384"/>
        <v>0.44160676231982238</v>
      </c>
      <c r="X781" s="42">
        <f t="shared" si="385"/>
        <v>2.8365030647534706E-3</v>
      </c>
      <c r="Y781" s="42">
        <f t="shared" si="359"/>
        <v>2.5604374410143306E-3</v>
      </c>
      <c r="Z781" s="10">
        <f t="shared" si="386"/>
        <v>15.045294918536735</v>
      </c>
      <c r="AA781">
        <f t="shared" si="364"/>
        <v>4965147.4276709985</v>
      </c>
      <c r="AB781" s="10">
        <f t="shared" si="365"/>
        <v>4.9651474276709981</v>
      </c>
      <c r="AC781" s="10">
        <f t="shared" si="366"/>
        <v>4.8641474276709982</v>
      </c>
      <c r="AD781" s="3">
        <f t="shared" si="367"/>
        <v>705.46010553604037</v>
      </c>
      <c r="AI781" s="94">
        <f t="shared" si="368"/>
        <v>0.44160676231982238</v>
      </c>
    </row>
    <row r="782" spans="2:35">
      <c r="B782" s="39">
        <f t="shared" si="369"/>
        <v>754</v>
      </c>
      <c r="C782" s="42">
        <f t="shared" si="370"/>
        <v>5.0085851318892516</v>
      </c>
      <c r="D782" s="10">
        <f t="shared" si="371"/>
        <v>0.53141486811007965</v>
      </c>
      <c r="E782" s="40">
        <f t="shared" si="372"/>
        <v>30.017170263779839</v>
      </c>
      <c r="F782" s="40">
        <f t="shared" si="373"/>
        <v>31.08</v>
      </c>
      <c r="G782" s="3">
        <f t="shared" si="374"/>
        <v>186.33131894489136</v>
      </c>
      <c r="H782" s="3">
        <f t="shared" si="375"/>
        <v>81.256230789298584</v>
      </c>
      <c r="I782">
        <f t="shared" si="360"/>
        <v>8.1256230789298584E-5</v>
      </c>
      <c r="J782" s="4">
        <f t="shared" si="376"/>
        <v>707.6677082254505</v>
      </c>
      <c r="K782" s="40">
        <f t="shared" si="377"/>
        <v>8.7090885382127521</v>
      </c>
      <c r="L782" s="40">
        <f t="shared" si="361"/>
        <v>0</v>
      </c>
      <c r="M782" s="10">
        <f t="shared" si="378"/>
        <v>4.9651474276709981</v>
      </c>
      <c r="N782" s="10">
        <f t="shared" si="357"/>
        <v>8.26</v>
      </c>
      <c r="O782" s="10">
        <f t="shared" si="358"/>
        <v>0.31900000000000001</v>
      </c>
      <c r="P782" s="10">
        <f t="shared" si="379"/>
        <v>13.771536662740782</v>
      </c>
      <c r="Q782" s="42">
        <f t="shared" si="380"/>
        <v>0.36471391927493535</v>
      </c>
      <c r="R782" s="4">
        <f t="shared" si="381"/>
        <v>9502.9956935089212</v>
      </c>
      <c r="S782">
        <f t="shared" si="362"/>
        <v>9.5029956935089218E-6</v>
      </c>
      <c r="T782" s="41">
        <f t="shared" si="363"/>
        <v>1.7030137634837492E-4</v>
      </c>
      <c r="U782" s="42">
        <f t="shared" si="382"/>
        <v>1.7053600921786434E-2</v>
      </c>
      <c r="V782" s="42">
        <f t="shared" si="383"/>
        <v>0.44436463897361056</v>
      </c>
      <c r="W782" s="42">
        <f t="shared" si="384"/>
        <v>0.44153271409217909</v>
      </c>
      <c r="X782" s="42">
        <f t="shared" si="385"/>
        <v>2.831924881431469E-3</v>
      </c>
      <c r="Y782" s="42">
        <f t="shared" si="359"/>
        <v>2.5618034169255562E-3</v>
      </c>
      <c r="Z782" s="10">
        <f t="shared" si="386"/>
        <v>15.04276402138427</v>
      </c>
      <c r="AA782">
        <f t="shared" si="364"/>
        <v>4964329.1880192989</v>
      </c>
      <c r="AB782" s="10">
        <f t="shared" si="365"/>
        <v>4.964329188019299</v>
      </c>
      <c r="AC782" s="10">
        <f t="shared" si="366"/>
        <v>4.863329188019299</v>
      </c>
      <c r="AD782" s="3">
        <f t="shared" si="367"/>
        <v>705.34143408546754</v>
      </c>
      <c r="AI782" s="94">
        <f t="shared" si="368"/>
        <v>0.44153271409217909</v>
      </c>
    </row>
    <row r="783" spans="2:35">
      <c r="B783" s="39">
        <f t="shared" si="369"/>
        <v>755</v>
      </c>
      <c r="C783" s="42">
        <f t="shared" si="370"/>
        <v>5.0152278177405636</v>
      </c>
      <c r="D783" s="10">
        <f t="shared" si="371"/>
        <v>0.52477218225876676</v>
      </c>
      <c r="E783" s="40">
        <f t="shared" si="372"/>
        <v>30.030455635482465</v>
      </c>
      <c r="F783" s="40">
        <f t="shared" si="373"/>
        <v>31.08</v>
      </c>
      <c r="G783" s="3">
        <f t="shared" si="374"/>
        <v>186.27817745808088</v>
      </c>
      <c r="H783" s="3">
        <f t="shared" si="375"/>
        <v>81.256230789298584</v>
      </c>
      <c r="I783">
        <f t="shared" si="360"/>
        <v>8.1256230789298584E-5</v>
      </c>
      <c r="J783" s="4">
        <f t="shared" si="376"/>
        <v>708.29426356080012</v>
      </c>
      <c r="K783" s="40">
        <f t="shared" si="377"/>
        <v>8.7167993971741335</v>
      </c>
      <c r="L783" s="40">
        <f t="shared" si="361"/>
        <v>0</v>
      </c>
      <c r="M783" s="10">
        <f t="shared" si="378"/>
        <v>4.964329188019299</v>
      </c>
      <c r="N783" s="10">
        <f t="shared" si="357"/>
        <v>8.26</v>
      </c>
      <c r="O783" s="10">
        <f t="shared" si="358"/>
        <v>0.31900000000000001</v>
      </c>
      <c r="P783" s="10">
        <f t="shared" si="379"/>
        <v>13.770812650631234</v>
      </c>
      <c r="Q783" s="42">
        <f t="shared" si="380"/>
        <v>0.36519629355594829</v>
      </c>
      <c r="R783" s="4">
        <f t="shared" si="381"/>
        <v>9383.5718636646543</v>
      </c>
      <c r="S783">
        <f t="shared" si="362"/>
        <v>9.3835718636646544E-6</v>
      </c>
      <c r="T783" s="41">
        <f t="shared" si="363"/>
        <v>1.7042080017821919E-4</v>
      </c>
      <c r="U783" s="42">
        <f t="shared" si="382"/>
        <v>1.6839288887939403E-2</v>
      </c>
      <c r="V783" s="42">
        <f t="shared" si="383"/>
        <v>0.44428578032185817</v>
      </c>
      <c r="W783" s="42">
        <f t="shared" si="384"/>
        <v>0.44145844011517393</v>
      </c>
      <c r="X783" s="42">
        <f t="shared" si="385"/>
        <v>2.8273402066842368E-3</v>
      </c>
      <c r="Y783" s="42">
        <f t="shared" si="359"/>
        <v>2.5631672531249345E-3</v>
      </c>
      <c r="Z783" s="10">
        <f t="shared" si="386"/>
        <v>15.040225432837293</v>
      </c>
      <c r="AA783">
        <f t="shared" si="364"/>
        <v>4963508.4617379233</v>
      </c>
      <c r="AB783" s="10">
        <f t="shared" si="365"/>
        <v>4.9635084617379235</v>
      </c>
      <c r="AC783" s="10">
        <f t="shared" si="366"/>
        <v>4.8625084617379235</v>
      </c>
      <c r="AD783" s="3">
        <f t="shared" si="367"/>
        <v>705.2224019924472</v>
      </c>
      <c r="AI783" s="94">
        <f t="shared" si="368"/>
        <v>0.44145844011517393</v>
      </c>
    </row>
    <row r="784" spans="2:35">
      <c r="B784" s="39">
        <f t="shared" si="369"/>
        <v>756</v>
      </c>
      <c r="C784" s="42">
        <f t="shared" si="370"/>
        <v>5.0218705035918756</v>
      </c>
      <c r="D784" s="10">
        <f t="shared" si="371"/>
        <v>0.51812949640745387</v>
      </c>
      <c r="E784" s="40">
        <f t="shared" si="372"/>
        <v>30.043741007185091</v>
      </c>
      <c r="F784" s="40">
        <f t="shared" si="373"/>
        <v>31.08</v>
      </c>
      <c r="G784" s="3">
        <f t="shared" si="374"/>
        <v>186.22503597127039</v>
      </c>
      <c r="H784" s="3">
        <f t="shared" si="375"/>
        <v>81.256230789298584</v>
      </c>
      <c r="I784">
        <f t="shared" si="360"/>
        <v>8.1256230789298584E-5</v>
      </c>
      <c r="J784" s="4">
        <f t="shared" si="376"/>
        <v>708.92109614343133</v>
      </c>
      <c r="K784" s="40">
        <f t="shared" si="377"/>
        <v>8.7245136681480915</v>
      </c>
      <c r="L784" s="40">
        <f t="shared" si="361"/>
        <v>0</v>
      </c>
      <c r="M784" s="10">
        <f t="shared" si="378"/>
        <v>4.9635084617379235</v>
      </c>
      <c r="N784" s="10">
        <f t="shared" si="357"/>
        <v>8.26</v>
      </c>
      <c r="O784" s="10">
        <f t="shared" si="358"/>
        <v>0.31900000000000001</v>
      </c>
      <c r="P784" s="10">
        <f t="shared" si="379"/>
        <v>13.770086356607253</v>
      </c>
      <c r="Q784" s="42">
        <f t="shared" si="380"/>
        <v>0.36567869327947106</v>
      </c>
      <c r="R784" s="4">
        <f t="shared" si="381"/>
        <v>9264.1629955995959</v>
      </c>
      <c r="S784">
        <f t="shared" si="362"/>
        <v>9.2641629955995967E-6</v>
      </c>
      <c r="T784" s="41">
        <f t="shared" si="363"/>
        <v>1.7054020904628425E-4</v>
      </c>
      <c r="U784" s="42">
        <f t="shared" si="382"/>
        <v>1.6625003703753253E-2</v>
      </c>
      <c r="V784" s="42">
        <f t="shared" si="383"/>
        <v>0.44420668946763736</v>
      </c>
      <c r="W784" s="42">
        <f t="shared" si="384"/>
        <v>0.44138394041960938</v>
      </c>
      <c r="X784" s="42">
        <f t="shared" si="385"/>
        <v>2.8227490480279838E-3</v>
      </c>
      <c r="Y784" s="42">
        <f t="shared" si="359"/>
        <v>2.5645289464852773E-3</v>
      </c>
      <c r="Z784" s="10">
        <f t="shared" si="386"/>
        <v>15.037679153948202</v>
      </c>
      <c r="AA784">
        <f t="shared" si="364"/>
        <v>4962685.2491671117</v>
      </c>
      <c r="AB784" s="10">
        <f t="shared" si="365"/>
        <v>4.9626852491671114</v>
      </c>
      <c r="AC784" s="10">
        <f t="shared" si="366"/>
        <v>4.8616852491671114</v>
      </c>
      <c r="AD784" s="3">
        <f t="shared" si="367"/>
        <v>705.10300930632513</v>
      </c>
      <c r="AI784" s="94">
        <f t="shared" si="368"/>
        <v>0.44138394041960938</v>
      </c>
    </row>
    <row r="785" spans="2:35">
      <c r="B785" s="39">
        <f t="shared" si="369"/>
        <v>757</v>
      </c>
      <c r="C785" s="42">
        <f t="shared" si="370"/>
        <v>5.0285131894431876</v>
      </c>
      <c r="D785" s="10">
        <f t="shared" si="371"/>
        <v>0.51148681055614098</v>
      </c>
      <c r="E785" s="40">
        <f t="shared" si="372"/>
        <v>30.057026378887716</v>
      </c>
      <c r="F785" s="40">
        <f t="shared" si="373"/>
        <v>31.08</v>
      </c>
      <c r="G785" s="3">
        <f t="shared" si="374"/>
        <v>186.1718944844599</v>
      </c>
      <c r="H785" s="3">
        <f t="shared" si="375"/>
        <v>81.256230789298584</v>
      </c>
      <c r="I785">
        <f t="shared" si="360"/>
        <v>8.1256230789298584E-5</v>
      </c>
      <c r="J785" s="4">
        <f t="shared" si="376"/>
        <v>709.54820597334401</v>
      </c>
      <c r="K785" s="40">
        <f t="shared" si="377"/>
        <v>8.7322313511346294</v>
      </c>
      <c r="L785" s="40">
        <f t="shared" si="361"/>
        <v>0</v>
      </c>
      <c r="M785" s="10">
        <f t="shared" si="378"/>
        <v>4.9626852491671114</v>
      </c>
      <c r="N785" s="10">
        <f t="shared" si="357"/>
        <v>8.26</v>
      </c>
      <c r="O785" s="10">
        <f t="shared" si="358"/>
        <v>0.31900000000000001</v>
      </c>
      <c r="P785" s="10">
        <f t="shared" si="379"/>
        <v>13.769357780203949</v>
      </c>
      <c r="Q785" s="42">
        <f t="shared" si="380"/>
        <v>0.36616111852815347</v>
      </c>
      <c r="R785" s="4">
        <f t="shared" si="381"/>
        <v>9144.7691335137279</v>
      </c>
      <c r="S785">
        <f t="shared" si="362"/>
        <v>9.1447691335137287E-6</v>
      </c>
      <c r="T785" s="41">
        <f t="shared" si="363"/>
        <v>1.706596029083701E-4</v>
      </c>
      <c r="U785" s="42">
        <f t="shared" si="382"/>
        <v>1.6410745448547058E-2</v>
      </c>
      <c r="V785" s="42">
        <f t="shared" si="383"/>
        <v>0.44412736644976553</v>
      </c>
      <c r="W785" s="42">
        <f t="shared" si="384"/>
        <v>0.44130921503637005</v>
      </c>
      <c r="X785" s="42">
        <f t="shared" si="385"/>
        <v>2.8181514133954755E-3</v>
      </c>
      <c r="Y785" s="42">
        <f t="shared" si="359"/>
        <v>2.5658884938817091E-3</v>
      </c>
      <c r="Z785" s="10">
        <f t="shared" si="386"/>
        <v>15.035125185773321</v>
      </c>
      <c r="AA785">
        <f t="shared" si="364"/>
        <v>4961859.5506483736</v>
      </c>
      <c r="AB785" s="10">
        <f t="shared" si="365"/>
        <v>4.9618595506483736</v>
      </c>
      <c r="AC785" s="10">
        <f t="shared" si="366"/>
        <v>4.8608595506483736</v>
      </c>
      <c r="AD785" s="3">
        <f t="shared" si="367"/>
        <v>704.98325607663139</v>
      </c>
      <c r="AI785" s="94">
        <f t="shared" si="368"/>
        <v>0.44130921503637005</v>
      </c>
    </row>
    <row r="786" spans="2:35">
      <c r="B786" s="39">
        <f t="shared" si="369"/>
        <v>758</v>
      </c>
      <c r="C786" s="42">
        <f t="shared" si="370"/>
        <v>5.0351558752944996</v>
      </c>
      <c r="D786" s="10">
        <f t="shared" si="371"/>
        <v>0.50484412470482809</v>
      </c>
      <c r="E786" s="40">
        <f t="shared" si="372"/>
        <v>30.070311750590342</v>
      </c>
      <c r="F786" s="40">
        <f t="shared" si="373"/>
        <v>31.08</v>
      </c>
      <c r="G786" s="3">
        <f t="shared" si="374"/>
        <v>186.11875299764941</v>
      </c>
      <c r="H786" s="3">
        <f t="shared" si="375"/>
        <v>81.256230789298584</v>
      </c>
      <c r="I786">
        <f t="shared" si="360"/>
        <v>8.1256230789298584E-5</v>
      </c>
      <c r="J786" s="4">
        <f t="shared" si="376"/>
        <v>710.17559305053828</v>
      </c>
      <c r="K786" s="40">
        <f t="shared" si="377"/>
        <v>8.7399524461337457</v>
      </c>
      <c r="L786" s="40">
        <f t="shared" si="361"/>
        <v>0</v>
      </c>
      <c r="M786" s="10">
        <f t="shared" si="378"/>
        <v>4.9618595506483736</v>
      </c>
      <c r="N786" s="10">
        <f t="shared" si="357"/>
        <v>8.26</v>
      </c>
      <c r="O786" s="10">
        <f t="shared" si="358"/>
        <v>0.31900000000000001</v>
      </c>
      <c r="P786" s="10">
        <f t="shared" si="379"/>
        <v>13.768626920955013</v>
      </c>
      <c r="Q786" s="42">
        <f t="shared" si="380"/>
        <v>0.36664356938468751</v>
      </c>
      <c r="R786" s="4">
        <f t="shared" si="381"/>
        <v>9025.3903216070667</v>
      </c>
      <c r="S786">
        <f t="shared" si="362"/>
        <v>9.0253903216070659E-6</v>
      </c>
      <c r="T786" s="41">
        <f t="shared" si="363"/>
        <v>1.7077898172027678E-4</v>
      </c>
      <c r="U786" s="42">
        <f t="shared" si="382"/>
        <v>1.619651420163996E-2</v>
      </c>
      <c r="V786" s="42">
        <f t="shared" si="383"/>
        <v>0.44404781130694332</v>
      </c>
      <c r="W786" s="42">
        <f t="shared" si="384"/>
        <v>0.44123426399645577</v>
      </c>
      <c r="X786" s="42">
        <f t="shared" si="385"/>
        <v>2.8135473104875519E-3</v>
      </c>
      <c r="Y786" s="42">
        <f t="shared" si="359"/>
        <v>2.567245892191553E-3</v>
      </c>
      <c r="Z786" s="10">
        <f t="shared" si="386"/>
        <v>15.032563529372192</v>
      </c>
      <c r="AA786">
        <f t="shared" si="364"/>
        <v>4961031.3665242614</v>
      </c>
      <c r="AB786" s="10">
        <f t="shared" si="365"/>
        <v>4.9610313665242618</v>
      </c>
      <c r="AC786" s="10">
        <f t="shared" si="366"/>
        <v>4.8600313665242618</v>
      </c>
      <c r="AD786" s="3">
        <f t="shared" si="367"/>
        <v>704.86314235304735</v>
      </c>
      <c r="AI786" s="94">
        <f t="shared" si="368"/>
        <v>0.44123426399645577</v>
      </c>
    </row>
    <row r="787" spans="2:35">
      <c r="B787" s="39">
        <f t="shared" si="369"/>
        <v>759</v>
      </c>
      <c r="C787" s="42">
        <f t="shared" si="370"/>
        <v>5.0417985611458116</v>
      </c>
      <c r="D787" s="10">
        <f t="shared" si="371"/>
        <v>0.4982014388535152</v>
      </c>
      <c r="E787" s="40">
        <f t="shared" si="372"/>
        <v>30.083597122292968</v>
      </c>
      <c r="F787" s="40">
        <f t="shared" si="373"/>
        <v>31.08</v>
      </c>
      <c r="G787" s="3">
        <f t="shared" si="374"/>
        <v>186.06561151083892</v>
      </c>
      <c r="H787" s="3">
        <f t="shared" si="375"/>
        <v>81.256230789298584</v>
      </c>
      <c r="I787">
        <f t="shared" si="360"/>
        <v>8.1256230789298584E-5</v>
      </c>
      <c r="J787" s="4">
        <f t="shared" si="376"/>
        <v>710.80325737501414</v>
      </c>
      <c r="K787" s="40">
        <f t="shared" si="377"/>
        <v>8.7476769531454401</v>
      </c>
      <c r="L787" s="40">
        <f t="shared" si="361"/>
        <v>0</v>
      </c>
      <c r="M787" s="10">
        <f t="shared" si="378"/>
        <v>4.9610313665242618</v>
      </c>
      <c r="N787" s="10">
        <f t="shared" si="357"/>
        <v>8.26</v>
      </c>
      <c r="O787" s="10">
        <f t="shared" si="358"/>
        <v>0.31900000000000001</v>
      </c>
      <c r="P787" s="10">
        <f t="shared" si="379"/>
        <v>13.767893778392517</v>
      </c>
      <c r="Q787" s="42">
        <f t="shared" si="380"/>
        <v>0.36712604593180737</v>
      </c>
      <c r="R787" s="4">
        <f t="shared" si="381"/>
        <v>8906.0266040795741</v>
      </c>
      <c r="S787">
        <f t="shared" si="362"/>
        <v>8.9060266040795748E-6</v>
      </c>
      <c r="T787" s="41">
        <f t="shared" si="363"/>
        <v>1.7089834543780426E-4</v>
      </c>
      <c r="U787" s="42">
        <f t="shared" si="382"/>
        <v>1.5982310042350997E-2</v>
      </c>
      <c r="V787" s="42">
        <f t="shared" si="383"/>
        <v>0.44396802407837982</v>
      </c>
      <c r="W787" s="42">
        <f t="shared" si="384"/>
        <v>0.44115908733096093</v>
      </c>
      <c r="X787" s="42">
        <f t="shared" si="385"/>
        <v>2.8089367474188887E-3</v>
      </c>
      <c r="Y787" s="42">
        <f t="shared" si="359"/>
        <v>2.5686011382945258E-3</v>
      </c>
      <c r="Z787" s="10">
        <f t="shared" si="386"/>
        <v>15.029994185808706</v>
      </c>
      <c r="AA787">
        <f t="shared" si="364"/>
        <v>4960200.6971387286</v>
      </c>
      <c r="AB787" s="10">
        <f t="shared" si="365"/>
        <v>4.9602006971387285</v>
      </c>
      <c r="AC787" s="10">
        <f t="shared" si="366"/>
        <v>4.8592006971387285</v>
      </c>
      <c r="AD787" s="3">
        <f t="shared" si="367"/>
        <v>704.74266818545732</v>
      </c>
      <c r="AI787" s="94">
        <f t="shared" si="368"/>
        <v>0.44115908733096093</v>
      </c>
    </row>
    <row r="788" spans="2:35">
      <c r="B788" s="39">
        <f t="shared" si="369"/>
        <v>760</v>
      </c>
      <c r="C788" s="42">
        <f t="shared" si="370"/>
        <v>5.0484412469971236</v>
      </c>
      <c r="D788" s="10">
        <f t="shared" si="371"/>
        <v>0.49155875300220231</v>
      </c>
      <c r="E788" s="40">
        <f t="shared" si="372"/>
        <v>30.096882493995594</v>
      </c>
      <c r="F788" s="40">
        <f t="shared" si="373"/>
        <v>31.08</v>
      </c>
      <c r="G788" s="3">
        <f t="shared" si="374"/>
        <v>186.01247002402843</v>
      </c>
      <c r="H788" s="3">
        <f t="shared" si="375"/>
        <v>81.256230789298584</v>
      </c>
      <c r="I788">
        <f t="shared" si="360"/>
        <v>8.1256230789298584E-5</v>
      </c>
      <c r="J788" s="4">
        <f t="shared" si="376"/>
        <v>711.43119894677159</v>
      </c>
      <c r="K788" s="40">
        <f t="shared" si="377"/>
        <v>8.7554048721697146</v>
      </c>
      <c r="L788" s="40">
        <f t="shared" si="361"/>
        <v>0</v>
      </c>
      <c r="M788" s="10">
        <f t="shared" si="378"/>
        <v>4.9602006971387285</v>
      </c>
      <c r="N788" s="10">
        <f t="shared" si="357"/>
        <v>8.26</v>
      </c>
      <c r="O788" s="10">
        <f t="shared" si="358"/>
        <v>0.31900000000000001</v>
      </c>
      <c r="P788" s="10">
        <f t="shared" si="379"/>
        <v>13.767158352047234</v>
      </c>
      <c r="Q788" s="42">
        <f t="shared" si="380"/>
        <v>0.36760854825228984</v>
      </c>
      <c r="R788" s="4">
        <f t="shared" si="381"/>
        <v>8786.6780251312866</v>
      </c>
      <c r="S788">
        <f t="shared" si="362"/>
        <v>8.7866780251312862E-6</v>
      </c>
      <c r="T788" s="41">
        <f t="shared" si="363"/>
        <v>1.7101769401675255E-4</v>
      </c>
      <c r="U788" s="42">
        <f t="shared" si="382"/>
        <v>1.5768133049999349E-2</v>
      </c>
      <c r="V788" s="42">
        <f t="shared" si="383"/>
        <v>0.44388800480272556</v>
      </c>
      <c r="W788" s="42">
        <f t="shared" si="384"/>
        <v>0.4410836850711074</v>
      </c>
      <c r="X788" s="42">
        <f t="shared" si="385"/>
        <v>2.8043197316181545E-3</v>
      </c>
      <c r="Y788" s="42">
        <f t="shared" si="359"/>
        <v>2.5699542290724062E-3</v>
      </c>
      <c r="Z788" s="10">
        <f t="shared" si="386"/>
        <v>15.027417156149109</v>
      </c>
      <c r="AA788">
        <f t="shared" si="364"/>
        <v>4959367.5428364947</v>
      </c>
      <c r="AB788" s="10">
        <f t="shared" si="365"/>
        <v>4.9593675428364952</v>
      </c>
      <c r="AC788" s="10">
        <f t="shared" si="366"/>
        <v>4.8583675428364952</v>
      </c>
      <c r="AD788" s="3">
        <f t="shared" si="367"/>
        <v>704.62183362385713</v>
      </c>
      <c r="AI788" s="94">
        <f t="shared" si="368"/>
        <v>0.4410836850711074</v>
      </c>
    </row>
    <row r="789" spans="2:35">
      <c r="B789" s="39">
        <f t="shared" si="369"/>
        <v>761</v>
      </c>
      <c r="C789" s="42">
        <f t="shared" si="370"/>
        <v>5.0550839328484356</v>
      </c>
      <c r="D789" s="10">
        <f t="shared" si="371"/>
        <v>0.48491606715088942</v>
      </c>
      <c r="E789" s="40">
        <f t="shared" si="372"/>
        <v>30.110167865698219</v>
      </c>
      <c r="F789" s="40">
        <f t="shared" si="373"/>
        <v>31.08</v>
      </c>
      <c r="G789" s="3">
        <f t="shared" si="374"/>
        <v>185.95932853721794</v>
      </c>
      <c r="H789" s="3">
        <f t="shared" si="375"/>
        <v>81.256230789298584</v>
      </c>
      <c r="I789">
        <f t="shared" si="360"/>
        <v>8.1256230789298584E-5</v>
      </c>
      <c r="J789" s="4">
        <f t="shared" si="376"/>
        <v>712.05941776581062</v>
      </c>
      <c r="K789" s="40">
        <f t="shared" si="377"/>
        <v>8.7631362032065674</v>
      </c>
      <c r="L789" s="40">
        <f t="shared" si="361"/>
        <v>0</v>
      </c>
      <c r="M789" s="10">
        <f t="shared" si="378"/>
        <v>4.9593675428364952</v>
      </c>
      <c r="N789" s="10">
        <f t="shared" si="357"/>
        <v>8.26</v>
      </c>
      <c r="O789" s="10">
        <f t="shared" si="358"/>
        <v>0.31900000000000001</v>
      </c>
      <c r="P789" s="10">
        <f t="shared" si="379"/>
        <v>13.766420641448063</v>
      </c>
      <c r="Q789" s="42">
        <f t="shared" si="380"/>
        <v>0.36809107642895417</v>
      </c>
      <c r="R789" s="4">
        <f t="shared" si="381"/>
        <v>8667.3446289621806</v>
      </c>
      <c r="S789">
        <f t="shared" si="362"/>
        <v>8.66734462896218E-6</v>
      </c>
      <c r="T789" s="41">
        <f t="shared" si="363"/>
        <v>1.7113702741292165E-4</v>
      </c>
      <c r="U789" s="42">
        <f t="shared" si="382"/>
        <v>1.5553983303904081E-2</v>
      </c>
      <c r="V789" s="42">
        <f t="shared" si="383"/>
        <v>0.44380775351952051</v>
      </c>
      <c r="W789" s="42">
        <f t="shared" si="384"/>
        <v>0.44100805724818609</v>
      </c>
      <c r="X789" s="42">
        <f t="shared" si="385"/>
        <v>2.7996962713344176E-3</v>
      </c>
      <c r="Y789" s="42">
        <f t="shared" si="359"/>
        <v>2.5713051614094269E-3</v>
      </c>
      <c r="Z789" s="10">
        <f t="shared" si="386"/>
        <v>15.02483244146428</v>
      </c>
      <c r="AA789">
        <f t="shared" si="364"/>
        <v>4958531.9039637744</v>
      </c>
      <c r="AB789" s="10">
        <f t="shared" si="365"/>
        <v>4.9585319039637747</v>
      </c>
      <c r="AC789" s="10">
        <f t="shared" si="366"/>
        <v>4.8575319039637748</v>
      </c>
      <c r="AD789" s="3">
        <f t="shared" si="367"/>
        <v>704.50063871845896</v>
      </c>
      <c r="AI789" s="94">
        <f t="shared" si="368"/>
        <v>0.44100805724818609</v>
      </c>
    </row>
    <row r="790" spans="2:35">
      <c r="B790" s="39">
        <f t="shared" si="369"/>
        <v>762</v>
      </c>
      <c r="C790" s="42">
        <f t="shared" si="370"/>
        <v>5.0617266186997476</v>
      </c>
      <c r="D790" s="10">
        <f t="shared" si="371"/>
        <v>0.47827338129957653</v>
      </c>
      <c r="E790" s="40">
        <f t="shared" si="372"/>
        <v>30.123453237400845</v>
      </c>
      <c r="F790" s="40">
        <f t="shared" si="373"/>
        <v>31.08</v>
      </c>
      <c r="G790" s="3">
        <f t="shared" si="374"/>
        <v>185.90618705040745</v>
      </c>
      <c r="H790" s="3">
        <f t="shared" si="375"/>
        <v>81.256230789298584</v>
      </c>
      <c r="I790">
        <f t="shared" si="360"/>
        <v>8.1256230789298584E-5</v>
      </c>
      <c r="J790" s="4">
        <f t="shared" si="376"/>
        <v>712.68791383213102</v>
      </c>
      <c r="K790" s="40">
        <f t="shared" si="377"/>
        <v>8.7708709462559984</v>
      </c>
      <c r="L790" s="40">
        <f t="shared" si="361"/>
        <v>0</v>
      </c>
      <c r="M790" s="10">
        <f t="shared" si="378"/>
        <v>4.9585319039637747</v>
      </c>
      <c r="N790" s="10">
        <f t="shared" si="357"/>
        <v>8.26</v>
      </c>
      <c r="O790" s="10">
        <f t="shared" si="358"/>
        <v>0.31900000000000001</v>
      </c>
      <c r="P790" s="10">
        <f t="shared" si="379"/>
        <v>13.765680646122677</v>
      </c>
      <c r="Q790" s="42">
        <f t="shared" si="380"/>
        <v>0.36857363054466241</v>
      </c>
      <c r="R790" s="4">
        <f t="shared" si="381"/>
        <v>8548.0264597722744</v>
      </c>
      <c r="S790">
        <f t="shared" si="362"/>
        <v>8.5480264597722752E-6</v>
      </c>
      <c r="T790" s="41">
        <f t="shared" si="363"/>
        <v>1.7125634558211157E-4</v>
      </c>
      <c r="U790" s="42">
        <f t="shared" si="382"/>
        <v>1.5339860883384333E-2</v>
      </c>
      <c r="V790" s="42">
        <f t="shared" si="383"/>
        <v>0.44372727026787584</v>
      </c>
      <c r="W790" s="42">
        <f t="shared" si="384"/>
        <v>0.44093220389362403</v>
      </c>
      <c r="X790" s="42">
        <f t="shared" si="385"/>
        <v>2.7950663742518089E-3</v>
      </c>
      <c r="Y790" s="42">
        <f t="shared" si="359"/>
        <v>2.5726539321919996E-3</v>
      </c>
      <c r="Z790" s="10">
        <f t="shared" si="386"/>
        <v>15.022240042828077</v>
      </c>
      <c r="AA790">
        <f t="shared" si="364"/>
        <v>4957693.7808677461</v>
      </c>
      <c r="AB790" s="10">
        <f t="shared" si="365"/>
        <v>4.9576937808677464</v>
      </c>
      <c r="AC790" s="10">
        <f t="shared" si="366"/>
        <v>4.8566937808677464</v>
      </c>
      <c r="AD790" s="3">
        <f t="shared" si="367"/>
        <v>704.37908351961505</v>
      </c>
      <c r="AI790" s="94">
        <f t="shared" si="368"/>
        <v>0.44093220389362403</v>
      </c>
    </row>
    <row r="791" spans="2:35">
      <c r="B791" s="39">
        <f t="shared" si="369"/>
        <v>763</v>
      </c>
      <c r="C791" s="42">
        <f t="shared" si="370"/>
        <v>5.0683693045510596</v>
      </c>
      <c r="D791" s="10">
        <f t="shared" si="371"/>
        <v>0.47163069544826364</v>
      </c>
      <c r="E791" s="40">
        <f t="shared" si="372"/>
        <v>30.136738609103471</v>
      </c>
      <c r="F791" s="40">
        <f t="shared" si="373"/>
        <v>31.08</v>
      </c>
      <c r="G791" s="3">
        <f t="shared" si="374"/>
        <v>185.85304556359696</v>
      </c>
      <c r="H791" s="3">
        <f t="shared" si="375"/>
        <v>81.256230789298584</v>
      </c>
      <c r="I791">
        <f t="shared" si="360"/>
        <v>8.1256230789298584E-5</v>
      </c>
      <c r="J791" s="4">
        <f t="shared" si="376"/>
        <v>713.31668714573311</v>
      </c>
      <c r="K791" s="40">
        <f t="shared" si="377"/>
        <v>8.7786091013180076</v>
      </c>
      <c r="L791" s="40">
        <f t="shared" si="361"/>
        <v>0</v>
      </c>
      <c r="M791" s="10">
        <f t="shared" si="378"/>
        <v>4.9576937808677464</v>
      </c>
      <c r="N791" s="10">
        <f t="shared" si="357"/>
        <v>8.26</v>
      </c>
      <c r="O791" s="10">
        <f t="shared" si="358"/>
        <v>0.31900000000000001</v>
      </c>
      <c r="P791" s="10">
        <f t="shared" si="379"/>
        <v>13.764938365597065</v>
      </c>
      <c r="Q791" s="42">
        <f t="shared" si="380"/>
        <v>0.36905621068231959</v>
      </c>
      <c r="R791" s="4">
        <f t="shared" si="381"/>
        <v>8428.7235617615479</v>
      </c>
      <c r="S791">
        <f t="shared" si="362"/>
        <v>8.4287235617615484E-6</v>
      </c>
      <c r="T791" s="41">
        <f t="shared" si="363"/>
        <v>1.7137564848012228E-4</v>
      </c>
      <c r="U791" s="42">
        <f t="shared" si="382"/>
        <v>1.5125765867759185E-2</v>
      </c>
      <c r="V791" s="42">
        <f t="shared" si="383"/>
        <v>0.4436465550872748</v>
      </c>
      <c r="W791" s="42">
        <f t="shared" si="384"/>
        <v>0.44085612503893562</v>
      </c>
      <c r="X791" s="42">
        <f t="shared" si="385"/>
        <v>2.7904300483391764E-3</v>
      </c>
      <c r="Y791" s="42">
        <f t="shared" si="359"/>
        <v>2.5740005383088501E-3</v>
      </c>
      <c r="Z791" s="10">
        <f t="shared" si="386"/>
        <v>15.019639961318111</v>
      </c>
      <c r="AA791">
        <f t="shared" si="364"/>
        <v>4956853.1738968017</v>
      </c>
      <c r="AB791" s="10">
        <f t="shared" si="365"/>
        <v>4.9568531738968016</v>
      </c>
      <c r="AC791" s="10">
        <f t="shared" si="366"/>
        <v>4.8558531738968016</v>
      </c>
      <c r="AD791" s="3">
        <f t="shared" si="367"/>
        <v>704.25716807785375</v>
      </c>
      <c r="AI791" s="94">
        <f t="shared" si="368"/>
        <v>0.44085612503893562</v>
      </c>
    </row>
    <row r="792" spans="2:35">
      <c r="B792" s="39">
        <f t="shared" si="369"/>
        <v>764</v>
      </c>
      <c r="C792" s="42">
        <f t="shared" si="370"/>
        <v>5.0750119904023716</v>
      </c>
      <c r="D792" s="10">
        <f t="shared" si="371"/>
        <v>0.46498800959695075</v>
      </c>
      <c r="E792" s="40">
        <f t="shared" si="372"/>
        <v>30.150023980806097</v>
      </c>
      <c r="F792" s="40">
        <f t="shared" si="373"/>
        <v>31.08</v>
      </c>
      <c r="G792" s="3">
        <f t="shared" si="374"/>
        <v>185.79990407678648</v>
      </c>
      <c r="H792" s="3">
        <f t="shared" si="375"/>
        <v>81.256230789298584</v>
      </c>
      <c r="I792">
        <f t="shared" si="360"/>
        <v>8.1256230789298584E-5</v>
      </c>
      <c r="J792" s="4">
        <f t="shared" si="376"/>
        <v>713.9457377066168</v>
      </c>
      <c r="K792" s="40">
        <f t="shared" si="377"/>
        <v>8.7863506683925969</v>
      </c>
      <c r="L792" s="40">
        <f t="shared" si="361"/>
        <v>0</v>
      </c>
      <c r="M792" s="10">
        <f t="shared" si="378"/>
        <v>4.9568531738968016</v>
      </c>
      <c r="N792" s="10">
        <f t="shared" si="357"/>
        <v>8.26</v>
      </c>
      <c r="O792" s="10">
        <f t="shared" si="358"/>
        <v>0.31900000000000001</v>
      </c>
      <c r="P792" s="10">
        <f t="shared" si="379"/>
        <v>13.764193799395725</v>
      </c>
      <c r="Q792" s="42">
        <f t="shared" si="380"/>
        <v>0.36953881692487361</v>
      </c>
      <c r="R792" s="4">
        <f t="shared" si="381"/>
        <v>8309.4359791300012</v>
      </c>
      <c r="S792">
        <f t="shared" si="362"/>
        <v>8.3094359791300015E-6</v>
      </c>
      <c r="T792" s="41">
        <f t="shared" si="363"/>
        <v>1.7149493606275382E-4</v>
      </c>
      <c r="U792" s="42">
        <f t="shared" si="382"/>
        <v>1.4911698336347742E-2</v>
      </c>
      <c r="V792" s="42">
        <f t="shared" si="383"/>
        <v>0.44356560801734207</v>
      </c>
      <c r="W792" s="42">
        <f t="shared" si="384"/>
        <v>0.44077982071574545</v>
      </c>
      <c r="X792" s="42">
        <f t="shared" si="385"/>
        <v>2.7857873015966206E-3</v>
      </c>
      <c r="Y792" s="42">
        <f t="shared" si="359"/>
        <v>2.5753449766510285E-3</v>
      </c>
      <c r="Z792" s="10">
        <f t="shared" si="386"/>
        <v>15.017032198015762</v>
      </c>
      <c r="AA792">
        <f t="shared" si="364"/>
        <v>4956010.0834005522</v>
      </c>
      <c r="AB792" s="10">
        <f t="shared" si="365"/>
        <v>4.9560100834005523</v>
      </c>
      <c r="AC792" s="10">
        <f t="shared" si="366"/>
        <v>4.8550100834005523</v>
      </c>
      <c r="AD792" s="3">
        <f t="shared" si="367"/>
        <v>704.13489244387995</v>
      </c>
      <c r="AI792" s="94">
        <f t="shared" si="368"/>
        <v>0.44077982071574545</v>
      </c>
    </row>
    <row r="793" spans="2:35">
      <c r="B793" s="39">
        <f t="shared" si="369"/>
        <v>765</v>
      </c>
      <c r="C793" s="42">
        <f t="shared" si="370"/>
        <v>5.0816546762536836</v>
      </c>
      <c r="D793" s="10">
        <f t="shared" si="371"/>
        <v>0.45834532374563786</v>
      </c>
      <c r="E793" s="40">
        <f t="shared" si="372"/>
        <v>30.163309352508723</v>
      </c>
      <c r="F793" s="40">
        <f t="shared" si="373"/>
        <v>31.08</v>
      </c>
      <c r="G793" s="3">
        <f t="shared" si="374"/>
        <v>185.74676258997599</v>
      </c>
      <c r="H793" s="3">
        <f t="shared" si="375"/>
        <v>81.256230789298584</v>
      </c>
      <c r="I793">
        <f t="shared" si="360"/>
        <v>8.1256230789298584E-5</v>
      </c>
      <c r="J793" s="4">
        <f t="shared" si="376"/>
        <v>714.57506551478207</v>
      </c>
      <c r="K793" s="40">
        <f t="shared" si="377"/>
        <v>8.7940956474797662</v>
      </c>
      <c r="L793" s="40">
        <f t="shared" si="361"/>
        <v>0</v>
      </c>
      <c r="M793" s="10">
        <f t="shared" si="378"/>
        <v>4.9560100834005523</v>
      </c>
      <c r="N793" s="10">
        <f t="shared" si="357"/>
        <v>8.26</v>
      </c>
      <c r="O793" s="10">
        <f t="shared" si="358"/>
        <v>0.31900000000000001</v>
      </c>
      <c r="P793" s="10">
        <f t="shared" si="379"/>
        <v>13.763446947041691</v>
      </c>
      <c r="Q793" s="42">
        <f t="shared" si="380"/>
        <v>0.37002144935531572</v>
      </c>
      <c r="R793" s="4">
        <f t="shared" si="381"/>
        <v>8190.1637560776317</v>
      </c>
      <c r="S793">
        <f t="shared" si="362"/>
        <v>8.1901637560776316E-6</v>
      </c>
      <c r="T793" s="41">
        <f t="shared" si="363"/>
        <v>1.7161420828580619E-4</v>
      </c>
      <c r="U793" s="42">
        <f t="shared" si="382"/>
        <v>1.4697658368469112E-2</v>
      </c>
      <c r="V793" s="42">
        <f t="shared" si="383"/>
        <v>0.44348442909765107</v>
      </c>
      <c r="W793" s="42">
        <f t="shared" si="384"/>
        <v>0.44070329095578858</v>
      </c>
      <c r="X793" s="42">
        <f t="shared" si="385"/>
        <v>2.7811381418624825E-3</v>
      </c>
      <c r="Y793" s="42">
        <f t="shared" si="359"/>
        <v>2.5766872441118308E-3</v>
      </c>
      <c r="Z793" s="10">
        <f t="shared" si="386"/>
        <v>15.014416754005691</v>
      </c>
      <c r="AA793">
        <f t="shared" si="364"/>
        <v>4955164.5097296666</v>
      </c>
      <c r="AB793" s="10">
        <f t="shared" si="365"/>
        <v>4.9551645097296664</v>
      </c>
      <c r="AC793" s="10">
        <f t="shared" si="366"/>
        <v>4.8541645097296664</v>
      </c>
      <c r="AD793" s="3">
        <f t="shared" si="367"/>
        <v>704.01225666855214</v>
      </c>
      <c r="AI793" s="94">
        <f t="shared" si="368"/>
        <v>0.44070329095578858</v>
      </c>
    </row>
    <row r="794" spans="2:35">
      <c r="B794" s="39">
        <f t="shared" si="369"/>
        <v>766</v>
      </c>
      <c r="C794" s="42">
        <f t="shared" si="370"/>
        <v>5.0882973621049956</v>
      </c>
      <c r="D794" s="10">
        <f t="shared" si="371"/>
        <v>0.45170263789432497</v>
      </c>
      <c r="E794" s="40">
        <f t="shared" si="372"/>
        <v>30.176594724211348</v>
      </c>
      <c r="F794" s="40">
        <f t="shared" si="373"/>
        <v>31.08</v>
      </c>
      <c r="G794" s="3">
        <f t="shared" si="374"/>
        <v>185.6936211031655</v>
      </c>
      <c r="H794" s="3">
        <f t="shared" si="375"/>
        <v>81.256230789298584</v>
      </c>
      <c r="I794">
        <f t="shared" si="360"/>
        <v>8.1256230789298584E-5</v>
      </c>
      <c r="J794" s="4">
        <f t="shared" si="376"/>
        <v>715.20467057022881</v>
      </c>
      <c r="K794" s="40">
        <f t="shared" si="377"/>
        <v>8.8018440385795138</v>
      </c>
      <c r="L794" s="40">
        <f t="shared" si="361"/>
        <v>0</v>
      </c>
      <c r="M794" s="10">
        <f t="shared" si="378"/>
        <v>4.9551645097296664</v>
      </c>
      <c r="N794" s="10">
        <f t="shared" si="357"/>
        <v>8.26</v>
      </c>
      <c r="O794" s="10">
        <f t="shared" si="358"/>
        <v>0.31900000000000001</v>
      </c>
      <c r="P794" s="10">
        <f t="shared" si="379"/>
        <v>13.762697808056371</v>
      </c>
      <c r="Q794" s="42">
        <f t="shared" si="380"/>
        <v>0.37050410805668049</v>
      </c>
      <c r="R794" s="4">
        <f t="shared" si="381"/>
        <v>8070.9069368044529</v>
      </c>
      <c r="S794">
        <f t="shared" si="362"/>
        <v>8.0709069368044524E-6</v>
      </c>
      <c r="T794" s="41">
        <f t="shared" si="363"/>
        <v>1.7173346510507937E-4</v>
      </c>
      <c r="U794" s="42">
        <f t="shared" si="382"/>
        <v>1.448364604344243E-2</v>
      </c>
      <c r="V794" s="42">
        <f t="shared" si="383"/>
        <v>0.44340301836792667</v>
      </c>
      <c r="W794" s="42">
        <f t="shared" si="384"/>
        <v>0.44062653579089645</v>
      </c>
      <c r="X794" s="42">
        <f t="shared" si="385"/>
        <v>2.7764825770302259E-3</v>
      </c>
      <c r="Y794" s="42">
        <f t="shared" si="359"/>
        <v>2.5780273375868223E-3</v>
      </c>
      <c r="Z794" s="10">
        <f t="shared" si="386"/>
        <v>15.011793630375957</v>
      </c>
      <c r="AA794">
        <f t="shared" si="364"/>
        <v>4954316.4532359177</v>
      </c>
      <c r="AB794" s="10">
        <f t="shared" si="365"/>
        <v>4.9543164532359176</v>
      </c>
      <c r="AC794" s="10">
        <f t="shared" si="366"/>
        <v>4.8533164532359176</v>
      </c>
      <c r="AD794" s="3">
        <f t="shared" si="367"/>
        <v>703.88926080288877</v>
      </c>
      <c r="AI794" s="94">
        <f t="shared" si="368"/>
        <v>0.44062653579089645</v>
      </c>
    </row>
    <row r="795" spans="2:35">
      <c r="B795" s="39">
        <f t="shared" si="369"/>
        <v>767</v>
      </c>
      <c r="C795" s="42">
        <f t="shared" si="370"/>
        <v>5.0949400479563076</v>
      </c>
      <c r="D795" s="10">
        <f t="shared" si="371"/>
        <v>0.44505995204301207</v>
      </c>
      <c r="E795" s="40">
        <f t="shared" si="372"/>
        <v>30.189880095913974</v>
      </c>
      <c r="F795" s="40">
        <f t="shared" si="373"/>
        <v>31.08</v>
      </c>
      <c r="G795" s="3">
        <f t="shared" si="374"/>
        <v>185.64047961635501</v>
      </c>
      <c r="H795" s="3">
        <f t="shared" si="375"/>
        <v>81.256230789298584</v>
      </c>
      <c r="I795">
        <f t="shared" si="360"/>
        <v>8.1256230789298584E-5</v>
      </c>
      <c r="J795" s="4">
        <f t="shared" si="376"/>
        <v>715.83455287295715</v>
      </c>
      <c r="K795" s="40">
        <f t="shared" si="377"/>
        <v>8.8095958416918378</v>
      </c>
      <c r="L795" s="40">
        <f t="shared" si="361"/>
        <v>0</v>
      </c>
      <c r="M795" s="10">
        <f t="shared" si="378"/>
        <v>4.9543164532359176</v>
      </c>
      <c r="N795" s="10">
        <f t="shared" si="357"/>
        <v>8.26</v>
      </c>
      <c r="O795" s="10">
        <f t="shared" si="358"/>
        <v>0.31900000000000001</v>
      </c>
      <c r="P795" s="10">
        <f t="shared" si="379"/>
        <v>13.761946381959605</v>
      </c>
      <c r="Q795" s="42">
        <f t="shared" si="380"/>
        <v>0.37098679311204591</v>
      </c>
      <c r="R795" s="4">
        <f t="shared" si="381"/>
        <v>7951.6655655104478</v>
      </c>
      <c r="S795">
        <f t="shared" si="362"/>
        <v>7.9516655655104474E-6</v>
      </c>
      <c r="T795" s="41">
        <f t="shared" si="363"/>
        <v>1.7185270647637339E-4</v>
      </c>
      <c r="U795" s="42">
        <f t="shared" si="382"/>
        <v>1.4269661440586773E-2</v>
      </c>
      <c r="V795" s="42">
        <f t="shared" si="383"/>
        <v>0.44332137586828574</v>
      </c>
      <c r="W795" s="42">
        <f t="shared" si="384"/>
        <v>0.4405495552530001</v>
      </c>
      <c r="X795" s="42">
        <f t="shared" si="385"/>
        <v>2.7718206152856362E-3</v>
      </c>
      <c r="Y795" s="42">
        <f t="shared" si="359"/>
        <v>2.5793652539739744E-3</v>
      </c>
      <c r="Z795" s="10">
        <f t="shared" si="386"/>
        <v>15.009162828218768</v>
      </c>
      <c r="AA795">
        <f t="shared" si="364"/>
        <v>4953465.9142724164</v>
      </c>
      <c r="AB795" s="10">
        <f t="shared" si="365"/>
        <v>4.9534659142724164</v>
      </c>
      <c r="AC795" s="10">
        <f t="shared" si="366"/>
        <v>4.8524659142724165</v>
      </c>
      <c r="AD795" s="3">
        <f t="shared" si="367"/>
        <v>703.76590489810246</v>
      </c>
      <c r="AI795" s="94">
        <f t="shared" si="368"/>
        <v>0.4405495552530001</v>
      </c>
    </row>
    <row r="796" spans="2:35">
      <c r="B796" s="39">
        <f t="shared" si="369"/>
        <v>768</v>
      </c>
      <c r="C796" s="42">
        <f t="shared" si="370"/>
        <v>5.1015827338076196</v>
      </c>
      <c r="D796" s="10">
        <f t="shared" si="371"/>
        <v>0.43841726619169918</v>
      </c>
      <c r="E796" s="40">
        <f t="shared" si="372"/>
        <v>30.2031654676166</v>
      </c>
      <c r="F796" s="40">
        <f t="shared" si="373"/>
        <v>31.08</v>
      </c>
      <c r="G796" s="3">
        <f t="shared" si="374"/>
        <v>185.58733812954452</v>
      </c>
      <c r="H796" s="3">
        <f t="shared" si="375"/>
        <v>81.256230789298584</v>
      </c>
      <c r="I796">
        <f t="shared" si="360"/>
        <v>8.1256230789298584E-5</v>
      </c>
      <c r="J796" s="4">
        <f t="shared" si="376"/>
        <v>716.46471242296695</v>
      </c>
      <c r="K796" s="40">
        <f t="shared" si="377"/>
        <v>8.8173510568167419</v>
      </c>
      <c r="L796" s="40">
        <f t="shared" si="361"/>
        <v>0</v>
      </c>
      <c r="M796" s="10">
        <f t="shared" si="378"/>
        <v>4.9534659142724164</v>
      </c>
      <c r="N796" s="10">
        <f t="shared" ref="N796:N862" si="387">IF(fueltype=1,VLOOKUP($M796,kndxbn_,4),IF(fueltype=2,VLOOKUP($M796,knsobn_,4),IF(fueltype=3,VLOOKUP($M796,knsbcobn_,4),IF(fueltype=4,VLOOKUP($M796,knsubn_,4),IF(fueltype=5,am_1,IF(fueltype=6,am_0,IF(fueltype=7,am_3,am_4)))))))</f>
        <v>8.26</v>
      </c>
      <c r="O796" s="10">
        <f t="shared" ref="O796:O862" si="388">IF(fueltype=1,VLOOKUP($M796,kndxbn_,5),IF(fueltype=2,VLOOKUP($M796,knsobn_,5),IF(fueltype=3,VLOOKUP($M796,knsbcobn_,5),IF(fueltype=4,VLOOKUP($M796,knsubn_,5),IF(fueltype=5,nm_1,IF(fueltype=6,an_0,IF(fueltype=7,nm_3,nm_4)))))))</f>
        <v>0.31900000000000001</v>
      </c>
      <c r="P796" s="10">
        <f t="shared" si="379"/>
        <v>13.761192668269846</v>
      </c>
      <c r="Q796" s="42">
        <f t="shared" si="380"/>
        <v>0.37146950460453365</v>
      </c>
      <c r="R796" s="4">
        <f t="shared" si="381"/>
        <v>7832.4396863956317</v>
      </c>
      <c r="S796">
        <f t="shared" si="362"/>
        <v>7.8324396863956321E-6</v>
      </c>
      <c r="T796" s="41">
        <f t="shared" si="363"/>
        <v>1.7197193235548821E-4</v>
      </c>
      <c r="U796" s="42">
        <f t="shared" si="382"/>
        <v>1.4055704639221279E-2</v>
      </c>
      <c r="V796" s="42">
        <f t="shared" si="383"/>
        <v>0.44323950163860587</v>
      </c>
      <c r="W796" s="42">
        <f t="shared" si="384"/>
        <v>0.44047234937415292</v>
      </c>
      <c r="X796" s="42">
        <f t="shared" si="385"/>
        <v>2.7671522644529545E-3</v>
      </c>
      <c r="Y796" s="42">
        <f t="shared" si="359"/>
        <v>2.5807009901734892E-3</v>
      </c>
      <c r="Z796" s="10">
        <f t="shared" si="386"/>
        <v>15.006524348629442</v>
      </c>
      <c r="AA796">
        <f t="shared" si="364"/>
        <v>4952612.8931932757</v>
      </c>
      <c r="AB796" s="10">
        <f t="shared" si="365"/>
        <v>4.952612893193276</v>
      </c>
      <c r="AC796" s="10">
        <f t="shared" si="366"/>
        <v>4.851612893193276</v>
      </c>
      <c r="AD796" s="3">
        <f t="shared" si="367"/>
        <v>703.64218900555124</v>
      </c>
      <c r="AI796" s="94">
        <f t="shared" si="368"/>
        <v>0.44047234937415292</v>
      </c>
    </row>
    <row r="797" spans="2:35">
      <c r="B797" s="39">
        <f t="shared" si="369"/>
        <v>769</v>
      </c>
      <c r="C797" s="42">
        <f t="shared" si="370"/>
        <v>5.1082254196589316</v>
      </c>
      <c r="D797" s="10">
        <f t="shared" si="371"/>
        <v>0.43177458034038629</v>
      </c>
      <c r="E797" s="40">
        <f t="shared" si="372"/>
        <v>30.216450839319226</v>
      </c>
      <c r="F797" s="40">
        <f t="shared" si="373"/>
        <v>31.08</v>
      </c>
      <c r="G797" s="3">
        <f t="shared" si="374"/>
        <v>185.53419664273403</v>
      </c>
      <c r="H797" s="3">
        <f t="shared" si="375"/>
        <v>81.256230789298584</v>
      </c>
      <c r="I797">
        <f t="shared" si="360"/>
        <v>8.1256230789298584E-5</v>
      </c>
      <c r="J797" s="4">
        <f t="shared" si="376"/>
        <v>717.09514922025846</v>
      </c>
      <c r="K797" s="40">
        <f t="shared" si="377"/>
        <v>8.825109683954226</v>
      </c>
      <c r="L797" s="40">
        <f t="shared" si="361"/>
        <v>0</v>
      </c>
      <c r="M797" s="10">
        <f t="shared" si="378"/>
        <v>4.952612893193276</v>
      </c>
      <c r="N797" s="10">
        <f t="shared" si="387"/>
        <v>8.26</v>
      </c>
      <c r="O797" s="10">
        <f t="shared" si="388"/>
        <v>0.31900000000000001</v>
      </c>
      <c r="P797" s="10">
        <f t="shared" si="379"/>
        <v>13.760436666503884</v>
      </c>
      <c r="Q797" s="42">
        <f t="shared" si="380"/>
        <v>0.37195224261730919</v>
      </c>
      <c r="R797" s="4">
        <f t="shared" si="381"/>
        <v>7713.2293436599684</v>
      </c>
      <c r="S797">
        <f t="shared" si="362"/>
        <v>7.7132293436599678E-6</v>
      </c>
      <c r="T797" s="41">
        <f t="shared" si="363"/>
        <v>1.7209114269822387E-4</v>
      </c>
      <c r="U797" s="42">
        <f t="shared" si="382"/>
        <v>1.3841775718664996E-2</v>
      </c>
      <c r="V797" s="42">
        <f t="shared" si="383"/>
        <v>0.44315739571922486</v>
      </c>
      <c r="W797" s="42">
        <f t="shared" si="384"/>
        <v>0.44039491818649851</v>
      </c>
      <c r="X797" s="42">
        <f t="shared" si="385"/>
        <v>2.7624775327263484E-3</v>
      </c>
      <c r="Y797" s="42">
        <f t="shared" si="359"/>
        <v>2.5820345430879747E-3</v>
      </c>
      <c r="Z797" s="10">
        <f t="shared" si="386"/>
        <v>15.003878192707377</v>
      </c>
      <c r="AA797">
        <f t="shared" si="364"/>
        <v>4951757.3903539358</v>
      </c>
      <c r="AB797" s="10">
        <f t="shared" si="365"/>
        <v>4.9517573903539356</v>
      </c>
      <c r="AC797" s="10">
        <f t="shared" si="366"/>
        <v>4.8507573903539356</v>
      </c>
      <c r="AD797" s="3">
        <f t="shared" si="367"/>
        <v>703.5181131767855</v>
      </c>
      <c r="AI797" s="94">
        <f t="shared" si="368"/>
        <v>0.44039491818649851</v>
      </c>
    </row>
    <row r="798" spans="2:35">
      <c r="B798" s="39">
        <f t="shared" si="369"/>
        <v>770</v>
      </c>
      <c r="C798" s="42">
        <f t="shared" si="370"/>
        <v>5.1148681055102436</v>
      </c>
      <c r="D798" s="10">
        <f t="shared" si="371"/>
        <v>0.4251318944890734</v>
      </c>
      <c r="E798" s="40">
        <f t="shared" si="372"/>
        <v>30.229736211021851</v>
      </c>
      <c r="F798" s="40">
        <f t="shared" si="373"/>
        <v>31.08</v>
      </c>
      <c r="G798" s="3">
        <f t="shared" si="374"/>
        <v>185.48105515592354</v>
      </c>
      <c r="H798" s="3">
        <f t="shared" si="375"/>
        <v>81.256230789298584</v>
      </c>
      <c r="I798">
        <f t="shared" si="360"/>
        <v>8.1256230789298584E-5</v>
      </c>
      <c r="J798" s="4">
        <f t="shared" si="376"/>
        <v>717.72586326483156</v>
      </c>
      <c r="K798" s="40">
        <f t="shared" si="377"/>
        <v>8.8328717231042884</v>
      </c>
      <c r="L798" s="40">
        <f t="shared" si="361"/>
        <v>0</v>
      </c>
      <c r="M798" s="10">
        <f t="shared" si="378"/>
        <v>4.9517573903539356</v>
      </c>
      <c r="N798" s="10">
        <f t="shared" si="387"/>
        <v>8.26</v>
      </c>
      <c r="O798" s="10">
        <f t="shared" si="388"/>
        <v>0.31900000000000001</v>
      </c>
      <c r="P798" s="10">
        <f t="shared" si="379"/>
        <v>13.759678376177112</v>
      </c>
      <c r="Q798" s="42">
        <f t="shared" si="380"/>
        <v>0.37243500723358197</v>
      </c>
      <c r="R798" s="4">
        <f t="shared" si="381"/>
        <v>7594.0345815034898</v>
      </c>
      <c r="S798">
        <f t="shared" si="362"/>
        <v>7.5940345815034895E-6</v>
      </c>
      <c r="T798" s="41">
        <f t="shared" si="363"/>
        <v>1.7221033746038034E-4</v>
      </c>
      <c r="U798" s="42">
        <f t="shared" si="382"/>
        <v>1.3627874758237088E-2</v>
      </c>
      <c r="V798" s="42">
        <f t="shared" si="383"/>
        <v>0.44307505815017484</v>
      </c>
      <c r="W798" s="42">
        <f t="shared" si="384"/>
        <v>0.44031726172230118</v>
      </c>
      <c r="X798" s="42">
        <f t="shared" si="385"/>
        <v>2.75779642787366E-3</v>
      </c>
      <c r="Y798" s="42">
        <f t="shared" ref="Y798:Y861" si="389">IF((X798*(Q798-Q797)+Y797)&lt;0,0,X798*(Q798-Q797)+Y797)</f>
        <v>2.5833659096222354E-3</v>
      </c>
      <c r="Z798" s="10">
        <f t="shared" si="386"/>
        <v>15.001224361554828</v>
      </c>
      <c r="AA798">
        <f t="shared" si="364"/>
        <v>4950899.4061107524</v>
      </c>
      <c r="AB798" s="10">
        <f t="shared" si="365"/>
        <v>4.9508994061107527</v>
      </c>
      <c r="AC798" s="10">
        <f t="shared" si="366"/>
        <v>4.8498994061107528</v>
      </c>
      <c r="AD798" s="3">
        <f t="shared" si="367"/>
        <v>703.39367746348842</v>
      </c>
      <c r="AI798" s="94">
        <f t="shared" si="368"/>
        <v>0.44031726172230118</v>
      </c>
    </row>
    <row r="799" spans="2:35">
      <c r="B799" s="39">
        <f t="shared" si="369"/>
        <v>771</v>
      </c>
      <c r="C799" s="42">
        <f t="shared" si="370"/>
        <v>5.1215107913615556</v>
      </c>
      <c r="D799" s="10">
        <f t="shared" si="371"/>
        <v>0.41848920863776051</v>
      </c>
      <c r="E799" s="40">
        <f t="shared" si="372"/>
        <v>30.243021582724477</v>
      </c>
      <c r="F799" s="40">
        <f t="shared" si="373"/>
        <v>31.08</v>
      </c>
      <c r="G799" s="3">
        <f t="shared" si="374"/>
        <v>185.42791366911305</v>
      </c>
      <c r="H799" s="3">
        <f t="shared" si="375"/>
        <v>81.256230789298584</v>
      </c>
      <c r="I799">
        <f t="shared" si="360"/>
        <v>8.1256230789298584E-5</v>
      </c>
      <c r="J799" s="4">
        <f t="shared" si="376"/>
        <v>718.35685455668613</v>
      </c>
      <c r="K799" s="40">
        <f t="shared" si="377"/>
        <v>8.840637174266929</v>
      </c>
      <c r="L799" s="40">
        <f t="shared" si="361"/>
        <v>0</v>
      </c>
      <c r="M799" s="10">
        <f t="shared" si="378"/>
        <v>4.9508994061107527</v>
      </c>
      <c r="N799" s="10">
        <f t="shared" si="387"/>
        <v>8.26</v>
      </c>
      <c r="O799" s="10">
        <f t="shared" si="388"/>
        <v>0.31900000000000001</v>
      </c>
      <c r="P799" s="10">
        <f t="shared" si="379"/>
        <v>13.75891779680318</v>
      </c>
      <c r="Q799" s="42">
        <f t="shared" si="380"/>
        <v>0.3729177985366055</v>
      </c>
      <c r="R799" s="4">
        <f t="shared" si="381"/>
        <v>7474.8554441261786</v>
      </c>
      <c r="S799">
        <f t="shared" si="362"/>
        <v>7.4748554441261782E-6</v>
      </c>
      <c r="T799" s="41">
        <f t="shared" si="363"/>
        <v>1.7232951659775766E-4</v>
      </c>
      <c r="U799" s="42">
        <f t="shared" si="382"/>
        <v>1.3414001837256632E-2</v>
      </c>
      <c r="V799" s="42">
        <f t="shared" si="383"/>
        <v>0.44299248897205273</v>
      </c>
      <c r="W799" s="42">
        <f t="shared" si="384"/>
        <v>0.4402393800139085</v>
      </c>
      <c r="X799" s="42">
        <f t="shared" si="385"/>
        <v>2.7531089581442347E-3</v>
      </c>
      <c r="Y799" s="42">
        <f t="shared" si="389"/>
        <v>2.5846950866835038E-3</v>
      </c>
      <c r="Z799" s="10">
        <f t="shared" si="386"/>
        <v>14.998562856278189</v>
      </c>
      <c r="AA799">
        <f t="shared" si="364"/>
        <v>4950038.9408214251</v>
      </c>
      <c r="AB799" s="10">
        <f t="shared" si="365"/>
        <v>4.9500389408214254</v>
      </c>
      <c r="AC799" s="10">
        <f t="shared" si="366"/>
        <v>4.8490389408214254</v>
      </c>
      <c r="AD799" s="3">
        <f t="shared" si="367"/>
        <v>703.26888191753812</v>
      </c>
      <c r="AI799" s="94">
        <f t="shared" si="368"/>
        <v>0.4402393800139085</v>
      </c>
    </row>
    <row r="800" spans="2:35">
      <c r="B800" s="39">
        <f t="shared" si="369"/>
        <v>772</v>
      </c>
      <c r="C800" s="42">
        <f t="shared" si="370"/>
        <v>5.1281534772128676</v>
      </c>
      <c r="D800" s="10">
        <f t="shared" si="371"/>
        <v>0.41184652278644762</v>
      </c>
      <c r="E800" s="40">
        <f t="shared" si="372"/>
        <v>30.256306954427103</v>
      </c>
      <c r="F800" s="40">
        <f t="shared" si="373"/>
        <v>31.08</v>
      </c>
      <c r="G800" s="3">
        <f t="shared" si="374"/>
        <v>185.37477218230256</v>
      </c>
      <c r="H800" s="3">
        <f t="shared" si="375"/>
        <v>81.256230789298584</v>
      </c>
      <c r="I800">
        <f t="shared" si="360"/>
        <v>8.1256230789298584E-5</v>
      </c>
      <c r="J800" s="4">
        <f t="shared" si="376"/>
        <v>718.98812309582217</v>
      </c>
      <c r="K800" s="40">
        <f t="shared" si="377"/>
        <v>8.8484060374421478</v>
      </c>
      <c r="L800" s="40">
        <f t="shared" si="361"/>
        <v>0</v>
      </c>
      <c r="M800" s="10">
        <f t="shared" si="378"/>
        <v>4.9500389408214254</v>
      </c>
      <c r="N800" s="10">
        <f t="shared" si="387"/>
        <v>8.26</v>
      </c>
      <c r="O800" s="10">
        <f t="shared" si="388"/>
        <v>0.31900000000000001</v>
      </c>
      <c r="P800" s="10">
        <f t="shared" si="379"/>
        <v>13.758154927894356</v>
      </c>
      <c r="Q800" s="42">
        <f t="shared" si="380"/>
        <v>0.37340061660967749</v>
      </c>
      <c r="R800" s="4">
        <f t="shared" si="381"/>
        <v>7355.6919757280493</v>
      </c>
      <c r="S800">
        <f t="shared" si="362"/>
        <v>7.3556919757280493E-6</v>
      </c>
      <c r="T800" s="41">
        <f t="shared" si="363"/>
        <v>1.7244868006615577E-4</v>
      </c>
      <c r="U800" s="42">
        <f t="shared" si="382"/>
        <v>1.320015703504277E-2</v>
      </c>
      <c r="V800" s="42">
        <f t="shared" si="383"/>
        <v>0.44290968822531623</v>
      </c>
      <c r="W800" s="42">
        <f t="shared" si="384"/>
        <v>0.44016127309378972</v>
      </c>
      <c r="X800" s="42">
        <f t="shared" si="385"/>
        <v>2.748415131526516E-3</v>
      </c>
      <c r="Y800" s="42">
        <f t="shared" si="389"/>
        <v>2.5860220711813094E-3</v>
      </c>
      <c r="Z800" s="10">
        <f t="shared" si="386"/>
        <v>14.99589367798724</v>
      </c>
      <c r="AA800">
        <f t="shared" si="364"/>
        <v>4949175.9948447449</v>
      </c>
      <c r="AB800" s="10">
        <f t="shared" si="365"/>
        <v>4.9491759948447447</v>
      </c>
      <c r="AC800" s="10">
        <f t="shared" si="366"/>
        <v>4.8481759948447447</v>
      </c>
      <c r="AD800" s="3">
        <f t="shared" si="367"/>
        <v>703.14372659097103</v>
      </c>
      <c r="AI800" s="94">
        <f t="shared" si="368"/>
        <v>0.44016127309378972</v>
      </c>
    </row>
    <row r="801" spans="2:35">
      <c r="B801" s="39">
        <f t="shared" si="369"/>
        <v>773</v>
      </c>
      <c r="C801" s="42">
        <f t="shared" si="370"/>
        <v>5.1347961630641796</v>
      </c>
      <c r="D801" s="10">
        <f t="shared" si="371"/>
        <v>0.40520383693513473</v>
      </c>
      <c r="E801" s="40">
        <f t="shared" si="372"/>
        <v>30.269592326129729</v>
      </c>
      <c r="F801" s="40">
        <f t="shared" si="373"/>
        <v>31.08</v>
      </c>
      <c r="G801" s="3">
        <f t="shared" si="374"/>
        <v>185.32163069549208</v>
      </c>
      <c r="H801" s="3">
        <f t="shared" si="375"/>
        <v>81.256230789298584</v>
      </c>
      <c r="I801">
        <f t="shared" si="360"/>
        <v>8.1256230789298584E-5</v>
      </c>
      <c r="J801" s="4">
        <f t="shared" si="376"/>
        <v>719.61966888224003</v>
      </c>
      <c r="K801" s="40">
        <f t="shared" si="377"/>
        <v>8.8561783126299485</v>
      </c>
      <c r="L801" s="40">
        <f t="shared" si="361"/>
        <v>0</v>
      </c>
      <c r="M801" s="10">
        <f t="shared" si="378"/>
        <v>4.9491759948447447</v>
      </c>
      <c r="N801" s="10">
        <f t="shared" si="387"/>
        <v>8.26</v>
      </c>
      <c r="O801" s="10">
        <f t="shared" si="388"/>
        <v>0.31900000000000001</v>
      </c>
      <c r="P801" s="10">
        <f t="shared" si="379"/>
        <v>13.757389768961307</v>
      </c>
      <c r="Q801" s="42">
        <f t="shared" si="380"/>
        <v>0.37388346153614016</v>
      </c>
      <c r="R801" s="4">
        <f t="shared" si="381"/>
        <v>7236.5442205090649</v>
      </c>
      <c r="S801">
        <f t="shared" si="362"/>
        <v>7.2365442205090651E-6</v>
      </c>
      <c r="T801" s="41">
        <f t="shared" si="363"/>
        <v>1.7256782782137478E-4</v>
      </c>
      <c r="U801" s="42">
        <f t="shared" si="382"/>
        <v>1.2986340430914541E-2</v>
      </c>
      <c r="V801" s="42">
        <f t="shared" si="383"/>
        <v>0.44282665595070908</v>
      </c>
      <c r="W801" s="42">
        <f t="shared" si="384"/>
        <v>0.44008294099451356</v>
      </c>
      <c r="X801" s="42">
        <f t="shared" si="385"/>
        <v>2.7437149561955199E-3</v>
      </c>
      <c r="Y801" s="42">
        <f t="shared" si="389"/>
        <v>2.5873468600275682E-3</v>
      </c>
      <c r="Z801" s="10">
        <f t="shared" si="386"/>
        <v>14.993216827795589</v>
      </c>
      <c r="AA801">
        <f t="shared" si="364"/>
        <v>4948310.5685407417</v>
      </c>
      <c r="AB801" s="10">
        <f t="shared" si="365"/>
        <v>4.9483105685407418</v>
      </c>
      <c r="AC801" s="10">
        <f t="shared" si="366"/>
        <v>4.8473105685407418</v>
      </c>
      <c r="AD801" s="3">
        <f t="shared" si="367"/>
        <v>703.01821153600315</v>
      </c>
      <c r="AI801" s="94">
        <f t="shared" si="368"/>
        <v>0.44008294099451356</v>
      </c>
    </row>
    <row r="802" spans="2:35">
      <c r="B802" s="39">
        <f t="shared" si="369"/>
        <v>774</v>
      </c>
      <c r="C802" s="42">
        <f t="shared" si="370"/>
        <v>5.1414388489154916</v>
      </c>
      <c r="D802" s="10">
        <f t="shared" si="371"/>
        <v>0.39856115108382184</v>
      </c>
      <c r="E802" s="40">
        <f t="shared" si="372"/>
        <v>30.282877697832355</v>
      </c>
      <c r="F802" s="40">
        <f t="shared" si="373"/>
        <v>31.08</v>
      </c>
      <c r="G802" s="3">
        <f t="shared" si="374"/>
        <v>185.26848920868159</v>
      </c>
      <c r="H802" s="3">
        <f t="shared" si="375"/>
        <v>81.256230789298584</v>
      </c>
      <c r="I802">
        <f t="shared" si="360"/>
        <v>8.1256230789298584E-5</v>
      </c>
      <c r="J802" s="4">
        <f t="shared" si="376"/>
        <v>720.25149191593914</v>
      </c>
      <c r="K802" s="40">
        <f t="shared" si="377"/>
        <v>8.8639539998303238</v>
      </c>
      <c r="L802" s="40">
        <f t="shared" si="361"/>
        <v>0</v>
      </c>
      <c r="M802" s="10">
        <f t="shared" si="378"/>
        <v>4.9483105685407418</v>
      </c>
      <c r="N802" s="10">
        <f t="shared" si="387"/>
        <v>8.26</v>
      </c>
      <c r="O802" s="10">
        <f t="shared" si="388"/>
        <v>0.31900000000000001</v>
      </c>
      <c r="P802" s="10">
        <f t="shared" si="379"/>
        <v>13.756622319513232</v>
      </c>
      <c r="Q802" s="42">
        <f t="shared" si="380"/>
        <v>0.37436633339938014</v>
      </c>
      <c r="R802" s="4">
        <f t="shared" si="381"/>
        <v>7117.4122226692753</v>
      </c>
      <c r="S802">
        <f t="shared" si="362"/>
        <v>7.1174122226692749E-6</v>
      </c>
      <c r="T802" s="41">
        <f t="shared" si="363"/>
        <v>1.7268695981921455E-4</v>
      </c>
      <c r="U802" s="42">
        <f t="shared" si="382"/>
        <v>1.2772552104191147E-2</v>
      </c>
      <c r="V802" s="42">
        <f t="shared" si="383"/>
        <v>0.44274339218880282</v>
      </c>
      <c r="W802" s="42">
        <f t="shared" si="384"/>
        <v>0.44000438374876066</v>
      </c>
      <c r="X802" s="42">
        <f t="shared" si="385"/>
        <v>2.7390084400421566E-3</v>
      </c>
      <c r="Y802" s="42">
        <f t="shared" si="389"/>
        <v>2.5886694501364412E-3</v>
      </c>
      <c r="Z802" s="10">
        <f t="shared" si="386"/>
        <v>14.990532306819874</v>
      </c>
      <c r="AA802">
        <f t="shared" si="364"/>
        <v>4947442.6622704268</v>
      </c>
      <c r="AB802" s="10">
        <f t="shared" si="365"/>
        <v>4.9474426622704266</v>
      </c>
      <c r="AC802" s="10">
        <f t="shared" si="366"/>
        <v>4.8464426622704266</v>
      </c>
      <c r="AD802" s="3">
        <f t="shared" si="367"/>
        <v>702.89233680499296</v>
      </c>
      <c r="AI802" s="94">
        <f t="shared" si="368"/>
        <v>0.44000438374876066</v>
      </c>
    </row>
    <row r="803" spans="2:35">
      <c r="B803" s="39">
        <f t="shared" si="369"/>
        <v>775</v>
      </c>
      <c r="C803" s="42">
        <f t="shared" si="370"/>
        <v>5.1480815347668036</v>
      </c>
      <c r="D803" s="10">
        <f t="shared" si="371"/>
        <v>0.39191846523250895</v>
      </c>
      <c r="E803" s="40">
        <f t="shared" si="372"/>
        <v>30.29616306953498</v>
      </c>
      <c r="F803" s="40">
        <f t="shared" si="373"/>
        <v>31.08</v>
      </c>
      <c r="G803" s="3">
        <f t="shared" si="374"/>
        <v>185.2153477218711</v>
      </c>
      <c r="H803" s="3">
        <f t="shared" si="375"/>
        <v>81.256230789298584</v>
      </c>
      <c r="I803">
        <f t="shared" si="360"/>
        <v>8.1256230789298584E-5</v>
      </c>
      <c r="J803" s="4">
        <f t="shared" si="376"/>
        <v>720.88359219692006</v>
      </c>
      <c r="K803" s="40">
        <f t="shared" si="377"/>
        <v>8.871733099043281</v>
      </c>
      <c r="L803" s="40">
        <f t="shared" si="361"/>
        <v>0</v>
      </c>
      <c r="M803" s="10">
        <f t="shared" si="378"/>
        <v>4.9474426622704266</v>
      </c>
      <c r="N803" s="10">
        <f t="shared" si="387"/>
        <v>8.26</v>
      </c>
      <c r="O803" s="10">
        <f t="shared" si="388"/>
        <v>0.31900000000000001</v>
      </c>
      <c r="P803" s="10">
        <f t="shared" si="379"/>
        <v>13.75585257905762</v>
      </c>
      <c r="Q803" s="42">
        <f t="shared" si="380"/>
        <v>0.37484923228282885</v>
      </c>
      <c r="R803" s="4">
        <f t="shared" si="381"/>
        <v>6998.2960264086296</v>
      </c>
      <c r="S803">
        <f t="shared" si="362"/>
        <v>6.9982960264086292E-6</v>
      </c>
      <c r="T803" s="41">
        <f t="shared" si="363"/>
        <v>1.728060760154752E-4</v>
      </c>
      <c r="U803" s="42">
        <f t="shared" si="382"/>
        <v>1.2558792134191605E-2</v>
      </c>
      <c r="V803" s="42">
        <f t="shared" si="383"/>
        <v>0.44265989698078184</v>
      </c>
      <c r="W803" s="42">
        <f t="shared" si="384"/>
        <v>0.43992560138930148</v>
      </c>
      <c r="X803" s="42">
        <f t="shared" si="385"/>
        <v>2.7342955914803624E-3</v>
      </c>
      <c r="Y803" s="42">
        <f t="shared" si="389"/>
        <v>2.5899898384245858E-3</v>
      </c>
      <c r="Z803" s="10">
        <f t="shared" si="386"/>
        <v>14.987840116181134</v>
      </c>
      <c r="AA803">
        <f t="shared" si="364"/>
        <v>4946572.2763962289</v>
      </c>
      <c r="AB803" s="10">
        <f t="shared" si="365"/>
        <v>4.9465722763962292</v>
      </c>
      <c r="AC803" s="10">
        <f t="shared" si="366"/>
        <v>4.8455722763962292</v>
      </c>
      <c r="AD803" s="3">
        <f t="shared" si="367"/>
        <v>702.7661024505046</v>
      </c>
      <c r="AI803" s="94">
        <f t="shared" si="368"/>
        <v>0.43992560138930148</v>
      </c>
    </row>
    <row r="804" spans="2:35">
      <c r="B804" s="39">
        <f t="shared" si="369"/>
        <v>776</v>
      </c>
      <c r="C804" s="42">
        <f t="shared" si="370"/>
        <v>5.1547242206181156</v>
      </c>
      <c r="D804" s="10">
        <f t="shared" si="371"/>
        <v>0.38527577938119606</v>
      </c>
      <c r="E804" s="40">
        <f t="shared" si="372"/>
        <v>30.309448441237606</v>
      </c>
      <c r="F804" s="40">
        <f t="shared" si="373"/>
        <v>31.08</v>
      </c>
      <c r="G804" s="3">
        <f t="shared" si="374"/>
        <v>185.16220623506061</v>
      </c>
      <c r="H804" s="3">
        <f t="shared" si="375"/>
        <v>81.256230789298584</v>
      </c>
      <c r="I804">
        <f t="shared" si="360"/>
        <v>8.1256230789298584E-5</v>
      </c>
      <c r="J804" s="4">
        <f t="shared" si="376"/>
        <v>721.51596972518234</v>
      </c>
      <c r="K804" s="40">
        <f t="shared" si="377"/>
        <v>8.8795156102688164</v>
      </c>
      <c r="L804" s="40">
        <f t="shared" si="361"/>
        <v>0</v>
      </c>
      <c r="M804" s="10">
        <f t="shared" si="378"/>
        <v>4.9465722763962292</v>
      </c>
      <c r="N804" s="10">
        <f t="shared" si="387"/>
        <v>8.26</v>
      </c>
      <c r="O804" s="10">
        <f t="shared" si="388"/>
        <v>0.31900000000000001</v>
      </c>
      <c r="P804" s="10">
        <f t="shared" si="379"/>
        <v>13.755080547100651</v>
      </c>
      <c r="Q804" s="42">
        <f t="shared" si="380"/>
        <v>0.37533215826996252</v>
      </c>
      <c r="R804" s="4">
        <f t="shared" si="381"/>
        <v>6879.1956759271588</v>
      </c>
      <c r="S804">
        <f t="shared" si="362"/>
        <v>6.8791956759271587E-6</v>
      </c>
      <c r="T804" s="41">
        <f t="shared" si="363"/>
        <v>1.7292517636595669E-4</v>
      </c>
      <c r="U804" s="42">
        <f t="shared" si="382"/>
        <v>1.2345060600235082E-2</v>
      </c>
      <c r="V804" s="42">
        <f t="shared" si="383"/>
        <v>0.4425761703674097</v>
      </c>
      <c r="W804" s="42">
        <f t="shared" si="384"/>
        <v>0.43984659394903441</v>
      </c>
      <c r="X804" s="42">
        <f t="shared" si="385"/>
        <v>2.7295764183752902E-3</v>
      </c>
      <c r="Y804" s="42">
        <f t="shared" si="389"/>
        <v>2.5913080218108865E-3</v>
      </c>
      <c r="Z804" s="10">
        <f t="shared" si="386"/>
        <v>14.985140257003261</v>
      </c>
      <c r="AA804">
        <f t="shared" si="364"/>
        <v>4945699.4112815047</v>
      </c>
      <c r="AB804" s="10">
        <f t="shared" si="365"/>
        <v>4.9456994112815043</v>
      </c>
      <c r="AC804" s="10">
        <f t="shared" si="366"/>
        <v>4.8446994112815043</v>
      </c>
      <c r="AD804" s="3">
        <f t="shared" si="367"/>
        <v>702.63950852523635</v>
      </c>
      <c r="AI804" s="94">
        <f t="shared" si="368"/>
        <v>0.43984659394903441</v>
      </c>
    </row>
    <row r="805" spans="2:35">
      <c r="B805" s="39">
        <f t="shared" si="369"/>
        <v>777</v>
      </c>
      <c r="C805" s="42">
        <f t="shared" si="370"/>
        <v>5.1613669064694276</v>
      </c>
      <c r="D805" s="10">
        <f t="shared" si="371"/>
        <v>0.37863309352988317</v>
      </c>
      <c r="E805" s="40">
        <f t="shared" si="372"/>
        <v>30.322733812940232</v>
      </c>
      <c r="F805" s="40">
        <f t="shared" si="373"/>
        <v>31.08</v>
      </c>
      <c r="G805" s="3">
        <f t="shared" si="374"/>
        <v>185.10906474825012</v>
      </c>
      <c r="H805" s="3">
        <f t="shared" si="375"/>
        <v>81.256230789298584</v>
      </c>
      <c r="I805">
        <f t="shared" si="360"/>
        <v>8.1256230789298584E-5</v>
      </c>
      <c r="J805" s="4">
        <f t="shared" si="376"/>
        <v>722.14862450072644</v>
      </c>
      <c r="K805" s="40">
        <f t="shared" si="377"/>
        <v>8.8873015335069319</v>
      </c>
      <c r="L805" s="40">
        <f t="shared" si="361"/>
        <v>0</v>
      </c>
      <c r="M805" s="10">
        <f t="shared" si="378"/>
        <v>4.9456994112815043</v>
      </c>
      <c r="N805" s="10">
        <f t="shared" si="387"/>
        <v>8.26</v>
      </c>
      <c r="O805" s="10">
        <f t="shared" si="388"/>
        <v>0.31900000000000001</v>
      </c>
      <c r="P805" s="10">
        <f t="shared" si="379"/>
        <v>13.754306223146738</v>
      </c>
      <c r="Q805" s="42">
        <f t="shared" si="380"/>
        <v>0.37581511144430246</v>
      </c>
      <c r="R805" s="4">
        <f t="shared" si="381"/>
        <v>6760.1112154248276</v>
      </c>
      <c r="S805">
        <f t="shared" si="362"/>
        <v>6.7601112154248273E-6</v>
      </c>
      <c r="T805" s="41">
        <f t="shared" si="363"/>
        <v>1.73044260826459E-4</v>
      </c>
      <c r="U805" s="42">
        <f t="shared" si="382"/>
        <v>1.2131357581640623E-2</v>
      </c>
      <c r="V805" s="42">
        <f t="shared" si="383"/>
        <v>0.44249221239001074</v>
      </c>
      <c r="W805" s="42">
        <f t="shared" si="384"/>
        <v>0.43976736146094231</v>
      </c>
      <c r="X805" s="42">
        <f t="shared" si="385"/>
        <v>2.7248509290684342E-3</v>
      </c>
      <c r="Y805" s="42">
        <f t="shared" si="389"/>
        <v>2.5926239972166834E-3</v>
      </c>
      <c r="Z805" s="10">
        <f t="shared" si="386"/>
        <v>14.982432730414271</v>
      </c>
      <c r="AA805">
        <f t="shared" si="364"/>
        <v>4944824.0672909422</v>
      </c>
      <c r="AB805" s="10">
        <f t="shared" si="365"/>
        <v>4.9448240672909423</v>
      </c>
      <c r="AC805" s="10">
        <f t="shared" si="366"/>
        <v>4.8438240672909423</v>
      </c>
      <c r="AD805" s="3">
        <f t="shared" si="367"/>
        <v>702.5125550820801</v>
      </c>
      <c r="AI805" s="94">
        <f t="shared" si="368"/>
        <v>0.43976736146094231</v>
      </c>
    </row>
    <row r="806" spans="2:35">
      <c r="B806" s="39">
        <f t="shared" si="369"/>
        <v>778</v>
      </c>
      <c r="C806" s="42">
        <f t="shared" si="370"/>
        <v>5.1680095923207396</v>
      </c>
      <c r="D806" s="10">
        <f t="shared" si="371"/>
        <v>0.37199040767857028</v>
      </c>
      <c r="E806" s="40">
        <f t="shared" si="372"/>
        <v>30.336019184642858</v>
      </c>
      <c r="F806" s="40">
        <f t="shared" si="373"/>
        <v>31.08</v>
      </c>
      <c r="G806" s="3">
        <f t="shared" si="374"/>
        <v>185.05592326143963</v>
      </c>
      <c r="H806" s="3">
        <f t="shared" si="375"/>
        <v>81.256230789298584</v>
      </c>
      <c r="I806">
        <f t="shared" si="360"/>
        <v>8.1256230789298584E-5</v>
      </c>
      <c r="J806" s="4">
        <f t="shared" si="376"/>
        <v>722.7815565235519</v>
      </c>
      <c r="K806" s="40">
        <f t="shared" si="377"/>
        <v>8.8950908687576238</v>
      </c>
      <c r="L806" s="40">
        <f t="shared" si="361"/>
        <v>0</v>
      </c>
      <c r="M806" s="10">
        <f t="shared" si="378"/>
        <v>4.9448240672909423</v>
      </c>
      <c r="N806" s="10">
        <f t="shared" si="387"/>
        <v>8.26</v>
      </c>
      <c r="O806" s="10">
        <f t="shared" si="388"/>
        <v>0.31900000000000001</v>
      </c>
      <c r="P806" s="10">
        <f t="shared" si="379"/>
        <v>13.753529606698912</v>
      </c>
      <c r="Q806" s="42">
        <f t="shared" si="380"/>
        <v>0.37629809188941499</v>
      </c>
      <c r="R806" s="4">
        <f t="shared" si="381"/>
        <v>6641.0426891016823</v>
      </c>
      <c r="S806">
        <f t="shared" si="362"/>
        <v>6.6410426891016827E-6</v>
      </c>
      <c r="T806" s="41">
        <f t="shared" si="363"/>
        <v>1.7316332935278216E-4</v>
      </c>
      <c r="U806" s="42">
        <f t="shared" si="382"/>
        <v>1.1917683157727423E-2</v>
      </c>
      <c r="V806" s="42">
        <f t="shared" si="383"/>
        <v>0.44240802308966898</v>
      </c>
      <c r="W806" s="42">
        <f t="shared" si="384"/>
        <v>0.43968790395812934</v>
      </c>
      <c r="X806" s="42">
        <f t="shared" si="385"/>
        <v>2.7201191315396334E-3</v>
      </c>
      <c r="Y806" s="42">
        <f t="shared" si="389"/>
        <v>2.5939377615655937E-3</v>
      </c>
      <c r="Z806" s="10">
        <f t="shared" si="386"/>
        <v>14.979717537545243</v>
      </c>
      <c r="AA806">
        <f t="shared" si="364"/>
        <v>4943946.2447902188</v>
      </c>
      <c r="AB806" s="10">
        <f t="shared" si="365"/>
        <v>4.9439462447902187</v>
      </c>
      <c r="AC806" s="10">
        <f t="shared" si="366"/>
        <v>4.8429462447902187</v>
      </c>
      <c r="AD806" s="3">
        <f t="shared" si="367"/>
        <v>702.38524217407087</v>
      </c>
      <c r="AI806" s="94">
        <f t="shared" si="368"/>
        <v>0.43968790395812934</v>
      </c>
    </row>
    <row r="807" spans="2:35">
      <c r="B807" s="39">
        <f t="shared" si="369"/>
        <v>779</v>
      </c>
      <c r="C807" s="42">
        <f t="shared" si="370"/>
        <v>5.1746522781720516</v>
      </c>
      <c r="D807" s="10">
        <f t="shared" si="371"/>
        <v>0.36534772182725739</v>
      </c>
      <c r="E807" s="40">
        <f t="shared" si="372"/>
        <v>30.349304556345484</v>
      </c>
      <c r="F807" s="40">
        <f t="shared" si="373"/>
        <v>31.08</v>
      </c>
      <c r="G807" s="3">
        <f t="shared" si="374"/>
        <v>185.00278177462914</v>
      </c>
      <c r="H807" s="3">
        <f t="shared" si="375"/>
        <v>81.256230789298584</v>
      </c>
      <c r="I807">
        <f t="shared" ref="I807:I862" si="390">H807/1000^2</f>
        <v>8.1256230789298584E-5</v>
      </c>
      <c r="J807" s="4">
        <f t="shared" si="376"/>
        <v>723.41476579365894</v>
      </c>
      <c r="K807" s="40">
        <f t="shared" si="377"/>
        <v>8.902883616020894</v>
      </c>
      <c r="L807" s="40">
        <f t="shared" ref="L807:L862" si="391">IF((gstar-K807)&lt;0,0,gstar-K807)</f>
        <v>0</v>
      </c>
      <c r="M807" s="10">
        <f t="shared" si="378"/>
        <v>4.9439462447902187</v>
      </c>
      <c r="N807" s="10">
        <f t="shared" si="387"/>
        <v>8.26</v>
      </c>
      <c r="O807" s="10">
        <f t="shared" si="388"/>
        <v>0.31900000000000001</v>
      </c>
      <c r="P807" s="10">
        <f t="shared" si="379"/>
        <v>13.752750697258488</v>
      </c>
      <c r="Q807" s="42">
        <f t="shared" si="380"/>
        <v>0.37678109968891188</v>
      </c>
      <c r="R807" s="4">
        <f t="shared" si="381"/>
        <v>6521.9901411576748</v>
      </c>
      <c r="S807">
        <f t="shared" ref="S807:S862" si="392">R807/1000^3</f>
        <v>6.5219901411576744E-6</v>
      </c>
      <c r="T807" s="41">
        <f t="shared" ref="T807:T862" si="393">(vc/1000^3-S807)</f>
        <v>1.7328238190072616E-4</v>
      </c>
      <c r="U807" s="42">
        <f t="shared" si="382"/>
        <v>1.1704037407814505E-2</v>
      </c>
      <c r="V807" s="42">
        <f t="shared" si="383"/>
        <v>0.44232360250798131</v>
      </c>
      <c r="W807" s="42">
        <f t="shared" si="384"/>
        <v>0.4396082214737887</v>
      </c>
      <c r="X807" s="42">
        <f t="shared" si="385"/>
        <v>2.7153810341926099E-3</v>
      </c>
      <c r="Y807" s="42">
        <f t="shared" si="389"/>
        <v>2.5952493117837147E-3</v>
      </c>
      <c r="Z807" s="10">
        <f t="shared" si="386"/>
        <v>14.976994679531463</v>
      </c>
      <c r="AA807">
        <f t="shared" ref="AA807:AA862" si="394">Z807*rat*to+patm*1000000</f>
        <v>4943065.9441463724</v>
      </c>
      <c r="AB807" s="10">
        <f t="shared" ref="AB807:AB862" si="395">AA807/1000000</f>
        <v>4.9430659441463725</v>
      </c>
      <c r="AC807" s="10">
        <f t="shared" ref="AC807:AC862" si="396">AB807-patm</f>
        <v>4.8420659441463725</v>
      </c>
      <c r="AD807" s="3">
        <f t="shared" ref="AD807:AD862" si="397">AC807*1000000/6895</f>
        <v>702.25756985444127</v>
      </c>
      <c r="AI807" s="94">
        <f t="shared" ref="AI807:AI862" si="398">($M807-patm)*1000000*$I807/SQRT(rat*to)*SQRT(k)*(2/(k+1))^((k+1)/2/(k-1))</f>
        <v>0.4396082214737887</v>
      </c>
    </row>
    <row r="808" spans="2:35">
      <c r="B808" s="39">
        <f t="shared" ref="B808:B862" si="399">1+B807</f>
        <v>780</v>
      </c>
      <c r="C808" s="42">
        <f t="shared" ref="C808:C862" si="400">xincp+C807</f>
        <v>5.1812949640233636</v>
      </c>
      <c r="D808" s="10">
        <f t="shared" ref="D808:D862" si="401">(F808-E808)/2</f>
        <v>0.3587050359759445</v>
      </c>
      <c r="E808" s="40">
        <f t="shared" ref="E808:E862" si="402">E807+ci*2*xincp</f>
        <v>30.362589928048109</v>
      </c>
      <c r="F808" s="40">
        <f t="shared" ref="F808:F862" si="403">F807-osi*2*xincp</f>
        <v>31.08</v>
      </c>
      <c r="G808" s="3">
        <f t="shared" ref="G808:G862" si="404">G807-ei*n*2*xincp</f>
        <v>184.94964028781865</v>
      </c>
      <c r="H808" s="3">
        <f t="shared" ref="H808:H862" si="405">PI()/4*(dto+erate*(two-D808)/two)^2</f>
        <v>81.256230789298584</v>
      </c>
      <c r="I808">
        <f t="shared" si="390"/>
        <v>8.1256230789298584E-5</v>
      </c>
      <c r="J808" s="4">
        <f t="shared" ref="J808:J862" si="406">PI()/4*dc^2-PI()/4*(F808^2-E808^2)</f>
        <v>724.04825231104758</v>
      </c>
      <c r="K808" s="40">
        <f t="shared" ref="K808:K862" si="407">J808/H808</f>
        <v>8.9106797752967459</v>
      </c>
      <c r="L808" s="40">
        <f t="shared" si="391"/>
        <v>0</v>
      </c>
      <c r="M808" s="10">
        <f t="shared" ref="M808:M862" si="408">AB807</f>
        <v>4.9430659441463725</v>
      </c>
      <c r="N808" s="10">
        <f t="shared" si="387"/>
        <v>8.26</v>
      </c>
      <c r="O808" s="10">
        <f t="shared" si="388"/>
        <v>0.31900000000000001</v>
      </c>
      <c r="P808" s="10">
        <f t="shared" ref="P808:P862" si="409">(1+kv*L808)*N808*M808^O808</f>
        <v>13.751969494325413</v>
      </c>
      <c r="Q808" s="42">
        <f t="shared" ref="Q808:Q862" si="410">xincp/P808+Q807</f>
        <v>0.37726413492645028</v>
      </c>
      <c r="R808" s="4">
        <f t="shared" ref="R808:R862" si="411">PI()/4*(F808^2-E808^2)*G808</f>
        <v>6402.9536157928351</v>
      </c>
      <c r="S808">
        <f t="shared" si="392"/>
        <v>6.402953615792835E-6</v>
      </c>
      <c r="T808" s="41">
        <f t="shared" si="393"/>
        <v>1.7340141842609101E-4</v>
      </c>
      <c r="U808" s="42">
        <f t="shared" ref="U808:U862" si="412">rhopgrain*R808/1000^2</f>
        <v>1.1490420411221032E-2</v>
      </c>
      <c r="V808" s="42">
        <f t="shared" ref="V808:V862" si="413">(U807-U808)/(Q808-Q807)</f>
        <v>0.44223895068626584</v>
      </c>
      <c r="W808" s="42">
        <f t="shared" ref="W808:W862" si="414">IF(V808&lt;AI808,IF(AB807&gt;pbd,AI808,0),AI808)</f>
        <v>0.43952831404123777</v>
      </c>
      <c r="X808" s="42">
        <f t="shared" ref="X808:X862" si="415">V808-W808</f>
        <v>2.710636645028075E-3</v>
      </c>
      <c r="Y808" s="42">
        <f t="shared" si="389"/>
        <v>2.5965586447994262E-3</v>
      </c>
      <c r="Z808" s="10">
        <f t="shared" ref="Z808:Z862" si="416">Y808/T808</f>
        <v>14.974264157511255</v>
      </c>
      <c r="AA808">
        <f t="shared" si="394"/>
        <v>4942183.1657274244</v>
      </c>
      <c r="AB808" s="10">
        <f t="shared" si="395"/>
        <v>4.9421831657274247</v>
      </c>
      <c r="AC808" s="10">
        <f t="shared" si="396"/>
        <v>4.8411831657274247</v>
      </c>
      <c r="AD808" s="3">
        <f t="shared" si="397"/>
        <v>702.12953817656626</v>
      </c>
      <c r="AI808" s="94">
        <f t="shared" si="398"/>
        <v>0.43952831404123777</v>
      </c>
    </row>
    <row r="809" spans="2:35">
      <c r="B809" s="39">
        <f t="shared" si="399"/>
        <v>781</v>
      </c>
      <c r="C809" s="42">
        <f t="shared" si="400"/>
        <v>5.1879376498746756</v>
      </c>
      <c r="D809" s="10">
        <f t="shared" si="401"/>
        <v>0.35206235012463161</v>
      </c>
      <c r="E809" s="40">
        <f t="shared" si="402"/>
        <v>30.375875299750735</v>
      </c>
      <c r="F809" s="40">
        <f t="shared" si="403"/>
        <v>31.08</v>
      </c>
      <c r="G809" s="3">
        <f t="shared" si="404"/>
        <v>184.89649880100816</v>
      </c>
      <c r="H809" s="3">
        <f t="shared" si="405"/>
        <v>81.256230789298584</v>
      </c>
      <c r="I809">
        <f t="shared" si="390"/>
        <v>8.1256230789298584E-5</v>
      </c>
      <c r="J809" s="4">
        <f t="shared" si="406"/>
        <v>724.6820160757178</v>
      </c>
      <c r="K809" s="40">
        <f t="shared" si="407"/>
        <v>8.9184793465851744</v>
      </c>
      <c r="L809" s="40">
        <f t="shared" si="391"/>
        <v>0</v>
      </c>
      <c r="M809" s="10">
        <f t="shared" si="408"/>
        <v>4.9421831657274247</v>
      </c>
      <c r="N809" s="10">
        <f t="shared" si="387"/>
        <v>8.26</v>
      </c>
      <c r="O809" s="10">
        <f t="shared" si="388"/>
        <v>0.31900000000000001</v>
      </c>
      <c r="P809" s="10">
        <f t="shared" si="409"/>
        <v>13.751185997397918</v>
      </c>
      <c r="Q809" s="42">
        <f t="shared" si="410"/>
        <v>0.37774719768573295</v>
      </c>
      <c r="R809" s="4">
        <f t="shared" si="411"/>
        <v>6283.9331572071433</v>
      </c>
      <c r="S809">
        <f t="shared" si="392"/>
        <v>6.2839331572071436E-6</v>
      </c>
      <c r="T809" s="41">
        <f t="shared" si="393"/>
        <v>1.7352043888467668E-4</v>
      </c>
      <c r="U809" s="42">
        <f t="shared" si="412"/>
        <v>1.1276832247266078E-2</v>
      </c>
      <c r="V809" s="42">
        <f t="shared" si="413"/>
        <v>0.4421540676663307</v>
      </c>
      <c r="W809" s="42">
        <f t="shared" si="414"/>
        <v>0.43944818169388272</v>
      </c>
      <c r="X809" s="42">
        <f t="shared" si="415"/>
        <v>2.7058859724479745E-3</v>
      </c>
      <c r="Y809" s="42">
        <f t="shared" si="389"/>
        <v>2.5978657575435812E-3</v>
      </c>
      <c r="Z809" s="10">
        <f t="shared" si="416"/>
        <v>14.971525972627047</v>
      </c>
      <c r="AA809">
        <f t="shared" si="394"/>
        <v>4941297.9099027216</v>
      </c>
      <c r="AB809" s="10">
        <f t="shared" si="395"/>
        <v>4.9412979099027217</v>
      </c>
      <c r="AC809" s="10">
        <f t="shared" si="396"/>
        <v>4.8402979099027217</v>
      </c>
      <c r="AD809" s="3">
        <f t="shared" si="397"/>
        <v>702.00114719401324</v>
      </c>
      <c r="AI809" s="94">
        <f t="shared" si="398"/>
        <v>0.43944818169388272</v>
      </c>
    </row>
    <row r="810" spans="2:35">
      <c r="B810" s="39">
        <f t="shared" si="399"/>
        <v>782</v>
      </c>
      <c r="C810" s="42">
        <f t="shared" si="400"/>
        <v>5.1945803357259877</v>
      </c>
      <c r="D810" s="10">
        <f t="shared" si="401"/>
        <v>0.34541966427331872</v>
      </c>
      <c r="E810" s="40">
        <f t="shared" si="402"/>
        <v>30.389160671453361</v>
      </c>
      <c r="F810" s="40">
        <f t="shared" si="403"/>
        <v>31.08</v>
      </c>
      <c r="G810" s="3">
        <f t="shared" si="404"/>
        <v>184.84335731419768</v>
      </c>
      <c r="H810" s="3">
        <f t="shared" si="405"/>
        <v>81.256230789298584</v>
      </c>
      <c r="I810">
        <f t="shared" si="390"/>
        <v>8.1256230789298584E-5</v>
      </c>
      <c r="J810" s="4">
        <f t="shared" si="406"/>
        <v>725.31605708766949</v>
      </c>
      <c r="K810" s="40">
        <f t="shared" si="407"/>
        <v>8.9262823298861829</v>
      </c>
      <c r="L810" s="40">
        <f t="shared" si="391"/>
        <v>0</v>
      </c>
      <c r="M810" s="10">
        <f t="shared" si="408"/>
        <v>4.9412979099027217</v>
      </c>
      <c r="N810" s="10">
        <f t="shared" si="387"/>
        <v>8.26</v>
      </c>
      <c r="O810" s="10">
        <f t="shared" si="388"/>
        <v>0.31900000000000001</v>
      </c>
      <c r="P810" s="10">
        <f t="shared" si="409"/>
        <v>13.750400205972822</v>
      </c>
      <c r="Q810" s="42">
        <f t="shared" si="410"/>
        <v>0.3782302880505084</v>
      </c>
      <c r="R810" s="4">
        <f t="shared" si="411"/>
        <v>6164.9288096006167</v>
      </c>
      <c r="S810">
        <f t="shared" si="392"/>
        <v>6.1649288096006165E-6</v>
      </c>
      <c r="T810" s="41">
        <f t="shared" si="393"/>
        <v>1.7363944323228321E-4</v>
      </c>
      <c r="U810" s="42">
        <f t="shared" si="412"/>
        <v>1.1063272995268787E-2</v>
      </c>
      <c r="V810" s="42">
        <f t="shared" si="413"/>
        <v>0.44206895348980385</v>
      </c>
      <c r="W810" s="42">
        <f t="shared" si="414"/>
        <v>0.43936782446525041</v>
      </c>
      <c r="X810" s="42">
        <f t="shared" si="415"/>
        <v>2.7011290245534392E-3</v>
      </c>
      <c r="Y810" s="42">
        <f t="shared" si="389"/>
        <v>2.5991706469493583E-3</v>
      </c>
      <c r="Z810" s="10">
        <f t="shared" si="416"/>
        <v>14.968780126024487</v>
      </c>
      <c r="AA810">
        <f t="shared" si="394"/>
        <v>4940410.1770426519</v>
      </c>
      <c r="AB810" s="10">
        <f t="shared" si="395"/>
        <v>4.9404101770426516</v>
      </c>
      <c r="AC810" s="10">
        <f t="shared" si="396"/>
        <v>4.8394101770426516</v>
      </c>
      <c r="AD810" s="3">
        <f t="shared" si="397"/>
        <v>701.87239696050062</v>
      </c>
      <c r="AI810" s="94">
        <f t="shared" si="398"/>
        <v>0.43936782446525041</v>
      </c>
    </row>
    <row r="811" spans="2:35">
      <c r="B811" s="39">
        <f t="shared" si="399"/>
        <v>783</v>
      </c>
      <c r="C811" s="42">
        <f t="shared" si="400"/>
        <v>5.2012230215772997</v>
      </c>
      <c r="D811" s="10">
        <f t="shared" si="401"/>
        <v>0.33877697842200583</v>
      </c>
      <c r="E811" s="40">
        <f t="shared" si="402"/>
        <v>30.402446043155987</v>
      </c>
      <c r="F811" s="40">
        <f t="shared" si="403"/>
        <v>31.08</v>
      </c>
      <c r="G811" s="3">
        <f t="shared" si="404"/>
        <v>184.79021582738719</v>
      </c>
      <c r="H811" s="3">
        <f t="shared" si="405"/>
        <v>81.256230789298584</v>
      </c>
      <c r="I811">
        <f t="shared" si="390"/>
        <v>8.1256230789298584E-5</v>
      </c>
      <c r="J811" s="4">
        <f t="shared" si="406"/>
        <v>725.95037534690289</v>
      </c>
      <c r="K811" s="40">
        <f t="shared" si="407"/>
        <v>8.9340887251997696</v>
      </c>
      <c r="L811" s="40">
        <f t="shared" si="391"/>
        <v>0</v>
      </c>
      <c r="M811" s="10">
        <f t="shared" si="408"/>
        <v>4.9404101770426516</v>
      </c>
      <c r="N811" s="10">
        <f t="shared" si="387"/>
        <v>8.26</v>
      </c>
      <c r="O811" s="10">
        <f t="shared" si="388"/>
        <v>0.31900000000000001</v>
      </c>
      <c r="P811" s="10">
        <f t="shared" si="409"/>
        <v>13.749612119545285</v>
      </c>
      <c r="Q811" s="42">
        <f t="shared" si="410"/>
        <v>0.3787134061045711</v>
      </c>
      <c r="R811" s="4">
        <f t="shared" si="411"/>
        <v>6045.9406171732189</v>
      </c>
      <c r="S811">
        <f t="shared" si="392"/>
        <v>6.0459406171732185E-6</v>
      </c>
      <c r="T811" s="41">
        <f t="shared" si="393"/>
        <v>1.7375843142471061E-4</v>
      </c>
      <c r="U811" s="42">
        <f t="shared" si="412"/>
        <v>1.0849742734548199E-2</v>
      </c>
      <c r="V811" s="42">
        <f t="shared" si="413"/>
        <v>0.44198360819873977</v>
      </c>
      <c r="W811" s="42">
        <f t="shared" si="414"/>
        <v>0.43928724238896183</v>
      </c>
      <c r="X811" s="42">
        <f t="shared" si="415"/>
        <v>2.6963658097779453E-3</v>
      </c>
      <c r="Y811" s="42">
        <f t="shared" si="389"/>
        <v>2.6004733099524195E-3</v>
      </c>
      <c r="Z811" s="10">
        <f t="shared" si="416"/>
        <v>14.966026618853327</v>
      </c>
      <c r="AA811">
        <f t="shared" si="394"/>
        <v>4939519.9675189313</v>
      </c>
      <c r="AB811" s="10">
        <f t="shared" si="395"/>
        <v>4.9395199675189314</v>
      </c>
      <c r="AC811" s="10">
        <f t="shared" si="396"/>
        <v>4.8385199675189314</v>
      </c>
      <c r="AD811" s="3">
        <f t="shared" si="397"/>
        <v>701.74328752993927</v>
      </c>
      <c r="AI811" s="94">
        <f t="shared" si="398"/>
        <v>0.43928724238896183</v>
      </c>
    </row>
    <row r="812" spans="2:35">
      <c r="B812" s="39">
        <f t="shared" si="399"/>
        <v>784</v>
      </c>
      <c r="C812" s="42">
        <f t="shared" si="400"/>
        <v>5.2078657074286117</v>
      </c>
      <c r="D812" s="10">
        <f t="shared" si="401"/>
        <v>0.33213429257069293</v>
      </c>
      <c r="E812" s="40">
        <f t="shared" si="402"/>
        <v>30.415731414858612</v>
      </c>
      <c r="F812" s="40">
        <f t="shared" si="403"/>
        <v>31.08</v>
      </c>
      <c r="G812" s="3">
        <f t="shared" si="404"/>
        <v>184.7370743405767</v>
      </c>
      <c r="H812" s="3">
        <f t="shared" si="405"/>
        <v>81.256230789298584</v>
      </c>
      <c r="I812">
        <f t="shared" si="390"/>
        <v>8.1256230789298584E-5</v>
      </c>
      <c r="J812" s="4">
        <f t="shared" si="406"/>
        <v>726.58497085341776</v>
      </c>
      <c r="K812" s="40">
        <f t="shared" si="407"/>
        <v>8.9418985325259364</v>
      </c>
      <c r="L812" s="40">
        <f t="shared" si="391"/>
        <v>0</v>
      </c>
      <c r="M812" s="10">
        <f t="shared" si="408"/>
        <v>4.9395199675189314</v>
      </c>
      <c r="N812" s="10">
        <f t="shared" si="387"/>
        <v>8.26</v>
      </c>
      <c r="O812" s="10">
        <f t="shared" si="388"/>
        <v>0.31900000000000001</v>
      </c>
      <c r="P812" s="10">
        <f t="shared" si="409"/>
        <v>13.748821737609051</v>
      </c>
      <c r="Q812" s="42">
        <f t="shared" si="410"/>
        <v>0.37919655193176161</v>
      </c>
      <c r="R812" s="4">
        <f t="shared" si="411"/>
        <v>5926.9686241249829</v>
      </c>
      <c r="S812">
        <f t="shared" si="392"/>
        <v>5.926968624124983E-6</v>
      </c>
      <c r="T812" s="41">
        <f t="shared" si="393"/>
        <v>1.7387740341775885E-4</v>
      </c>
      <c r="U812" s="42">
        <f t="shared" si="412"/>
        <v>1.0636241544423487E-2</v>
      </c>
      <c r="V812" s="42">
        <f t="shared" si="413"/>
        <v>0.44189803183486981</v>
      </c>
      <c r="W812" s="42">
        <f t="shared" si="414"/>
        <v>0.43920643549875882</v>
      </c>
      <c r="X812" s="42">
        <f t="shared" si="415"/>
        <v>2.6915963361109907E-3</v>
      </c>
      <c r="Y812" s="42">
        <f t="shared" si="389"/>
        <v>2.6017737434906926E-3</v>
      </c>
      <c r="Z812" s="10">
        <f t="shared" si="416"/>
        <v>14.963265452266135</v>
      </c>
      <c r="AA812">
        <f t="shared" si="394"/>
        <v>4938627.2817041837</v>
      </c>
      <c r="AB812" s="10">
        <f t="shared" si="395"/>
        <v>4.9386272817041839</v>
      </c>
      <c r="AC812" s="10">
        <f t="shared" si="396"/>
        <v>4.8376272817041839</v>
      </c>
      <c r="AD812" s="3">
        <f t="shared" si="397"/>
        <v>701.6138189563718</v>
      </c>
      <c r="AI812" s="94">
        <f t="shared" si="398"/>
        <v>0.43920643549875882</v>
      </c>
    </row>
    <row r="813" spans="2:35">
      <c r="B813" s="39">
        <f t="shared" si="399"/>
        <v>785</v>
      </c>
      <c r="C813" s="42">
        <f t="shared" si="400"/>
        <v>5.2145083932799237</v>
      </c>
      <c r="D813" s="10">
        <f t="shared" si="401"/>
        <v>0.32549160671938004</v>
      </c>
      <c r="E813" s="40">
        <f t="shared" si="402"/>
        <v>30.429016786561238</v>
      </c>
      <c r="F813" s="40">
        <f t="shared" si="403"/>
        <v>31.08</v>
      </c>
      <c r="G813" s="3">
        <f t="shared" si="404"/>
        <v>184.68393285376621</v>
      </c>
      <c r="H813" s="3">
        <f t="shared" si="405"/>
        <v>81.256230789298584</v>
      </c>
      <c r="I813">
        <f t="shared" si="390"/>
        <v>8.1256230789298584E-5</v>
      </c>
      <c r="J813" s="4">
        <f t="shared" si="406"/>
        <v>727.2198436072141</v>
      </c>
      <c r="K813" s="40">
        <f t="shared" si="407"/>
        <v>8.9497117518646796</v>
      </c>
      <c r="L813" s="40">
        <f t="shared" si="391"/>
        <v>0</v>
      </c>
      <c r="M813" s="10">
        <f t="shared" si="408"/>
        <v>4.9386272817041839</v>
      </c>
      <c r="N813" s="10">
        <f t="shared" si="387"/>
        <v>8.26</v>
      </c>
      <c r="O813" s="10">
        <f t="shared" si="388"/>
        <v>0.31900000000000001</v>
      </c>
      <c r="P813" s="10">
        <f t="shared" si="409"/>
        <v>13.748029059656075</v>
      </c>
      <c r="Q813" s="42">
        <f t="shared" si="410"/>
        <v>0.37967972561596663</v>
      </c>
      <c r="R813" s="4">
        <f t="shared" si="411"/>
        <v>5808.0128746559039</v>
      </c>
      <c r="S813">
        <f t="shared" si="392"/>
        <v>5.8080128746559042E-6</v>
      </c>
      <c r="T813" s="41">
        <f t="shared" si="393"/>
        <v>1.7399635916722793E-4</v>
      </c>
      <c r="U813" s="42">
        <f t="shared" si="412"/>
        <v>1.0422769504213751E-2</v>
      </c>
      <c r="V813" s="42">
        <f t="shared" si="413"/>
        <v>0.44181222444050028</v>
      </c>
      <c r="W813" s="42">
        <f t="shared" si="414"/>
        <v>0.43912540382846543</v>
      </c>
      <c r="X813" s="42">
        <f t="shared" si="415"/>
        <v>2.6868206120348459E-3</v>
      </c>
      <c r="Y813" s="42">
        <f t="shared" si="389"/>
        <v>2.6030719445046075E-3</v>
      </c>
      <c r="Z813" s="10">
        <f t="shared" si="416"/>
        <v>14.960496627419626</v>
      </c>
      <c r="AA813">
        <f t="shared" si="394"/>
        <v>4937732.119972378</v>
      </c>
      <c r="AB813" s="10">
        <f t="shared" si="395"/>
        <v>4.9377321199723783</v>
      </c>
      <c r="AC813" s="10">
        <f t="shared" si="396"/>
        <v>4.8367321199723783</v>
      </c>
      <c r="AD813" s="3">
        <f t="shared" si="397"/>
        <v>701.48399129403595</v>
      </c>
      <c r="AI813" s="94">
        <f t="shared" si="398"/>
        <v>0.43912540382846543</v>
      </c>
    </row>
    <row r="814" spans="2:35">
      <c r="B814" s="39">
        <f t="shared" si="399"/>
        <v>786</v>
      </c>
      <c r="C814" s="42">
        <f t="shared" si="400"/>
        <v>5.2211510791312357</v>
      </c>
      <c r="D814" s="10">
        <f t="shared" si="401"/>
        <v>0.31884892086806715</v>
      </c>
      <c r="E814" s="40">
        <f t="shared" si="402"/>
        <v>30.442302158263864</v>
      </c>
      <c r="F814" s="40">
        <f t="shared" si="403"/>
        <v>31.08</v>
      </c>
      <c r="G814" s="3">
        <f t="shared" si="404"/>
        <v>184.63079136695572</v>
      </c>
      <c r="H814" s="3">
        <f t="shared" si="405"/>
        <v>81.256230789298584</v>
      </c>
      <c r="I814">
        <f t="shared" si="390"/>
        <v>8.1256230789298584E-5</v>
      </c>
      <c r="J814" s="4">
        <f t="shared" si="406"/>
        <v>727.85499360829215</v>
      </c>
      <c r="K814" s="40">
        <f t="shared" si="407"/>
        <v>8.9575283832160029</v>
      </c>
      <c r="L814" s="40">
        <f t="shared" si="391"/>
        <v>0</v>
      </c>
      <c r="M814" s="10">
        <f t="shared" si="408"/>
        <v>4.9377321199723783</v>
      </c>
      <c r="N814" s="10">
        <f t="shared" si="387"/>
        <v>8.26</v>
      </c>
      <c r="O814" s="10">
        <f t="shared" si="388"/>
        <v>0.31900000000000001</v>
      </c>
      <c r="P814" s="10">
        <f t="shared" si="409"/>
        <v>13.747234085176913</v>
      </c>
      <c r="Q814" s="42">
        <f t="shared" si="410"/>
        <v>0.38016292724111933</v>
      </c>
      <c r="R814" s="4">
        <f t="shared" si="411"/>
        <v>5689.0734129659495</v>
      </c>
      <c r="S814">
        <f t="shared" si="392"/>
        <v>5.6890734129659496E-6</v>
      </c>
      <c r="T814" s="41">
        <f t="shared" si="393"/>
        <v>1.741152986289179E-4</v>
      </c>
      <c r="U814" s="42">
        <f t="shared" si="412"/>
        <v>1.0209326693238045E-2</v>
      </c>
      <c r="V814" s="42">
        <f t="shared" si="413"/>
        <v>0.44172618605795527</v>
      </c>
      <c r="W814" s="42">
        <f t="shared" si="414"/>
        <v>0.43904414741202819</v>
      </c>
      <c r="X814" s="42">
        <f t="shared" si="415"/>
        <v>2.6820386459270873E-3</v>
      </c>
      <c r="Y814" s="42">
        <f t="shared" si="389"/>
        <v>2.6043679099370417E-3</v>
      </c>
      <c r="Z814" s="10">
        <f t="shared" si="416"/>
        <v>14.957720145474315</v>
      </c>
      <c r="AA814">
        <f t="shared" si="394"/>
        <v>4936834.482698706</v>
      </c>
      <c r="AB814" s="10">
        <f t="shared" si="395"/>
        <v>4.9368344826987061</v>
      </c>
      <c r="AC814" s="10">
        <f t="shared" si="396"/>
        <v>4.8358344826987061</v>
      </c>
      <c r="AD814" s="3">
        <f t="shared" si="397"/>
        <v>701.35380459734677</v>
      </c>
      <c r="AI814" s="94">
        <f t="shared" si="398"/>
        <v>0.43904414741202819</v>
      </c>
    </row>
    <row r="815" spans="2:35">
      <c r="B815" s="39">
        <f t="shared" si="399"/>
        <v>787</v>
      </c>
      <c r="C815" s="42">
        <f t="shared" si="400"/>
        <v>5.2277937649825477</v>
      </c>
      <c r="D815" s="10">
        <f t="shared" si="401"/>
        <v>0.31220623501675426</v>
      </c>
      <c r="E815" s="40">
        <f t="shared" si="402"/>
        <v>30.45558752996649</v>
      </c>
      <c r="F815" s="40">
        <f t="shared" si="403"/>
        <v>31.08</v>
      </c>
      <c r="G815" s="3">
        <f t="shared" si="404"/>
        <v>184.57764988014523</v>
      </c>
      <c r="H815" s="3">
        <f t="shared" si="405"/>
        <v>81.256230789298584</v>
      </c>
      <c r="I815">
        <f t="shared" si="390"/>
        <v>8.1256230789298584E-5</v>
      </c>
      <c r="J815" s="4">
        <f t="shared" si="406"/>
        <v>728.49042085665167</v>
      </c>
      <c r="K815" s="40">
        <f t="shared" si="407"/>
        <v>8.9653484265799044</v>
      </c>
      <c r="L815" s="40">
        <f t="shared" si="391"/>
        <v>0</v>
      </c>
      <c r="M815" s="10">
        <f t="shared" si="408"/>
        <v>4.9368344826987061</v>
      </c>
      <c r="N815" s="10">
        <f t="shared" si="387"/>
        <v>8.26</v>
      </c>
      <c r="O815" s="10">
        <f t="shared" si="388"/>
        <v>0.31900000000000001</v>
      </c>
      <c r="P815" s="10">
        <f t="shared" si="409"/>
        <v>13.746436813660612</v>
      </c>
      <c r="Q815" s="42">
        <f t="shared" si="410"/>
        <v>0.38064615689119935</v>
      </c>
      <c r="R815" s="4">
        <f t="shared" si="411"/>
        <v>5570.1502832551514</v>
      </c>
      <c r="S815">
        <f t="shared" si="392"/>
        <v>5.5701502832551515E-6</v>
      </c>
      <c r="T815" s="41">
        <f t="shared" si="393"/>
        <v>1.7423422175862868E-4</v>
      </c>
      <c r="U815" s="42">
        <f t="shared" si="412"/>
        <v>9.9959131908155304E-3</v>
      </c>
      <c r="V815" s="42">
        <f t="shared" si="413"/>
        <v>0.44163991672939451</v>
      </c>
      <c r="W815" s="42">
        <f t="shared" si="414"/>
        <v>0.43896266628350389</v>
      </c>
      <c r="X815" s="42">
        <f t="shared" si="415"/>
        <v>2.6772504458906221E-3</v>
      </c>
      <c r="Y815" s="42">
        <f t="shared" si="389"/>
        <v>2.6056616367331861E-3</v>
      </c>
      <c r="Z815" s="10">
        <f t="shared" si="416"/>
        <v>14.954936007593725</v>
      </c>
      <c r="AA815">
        <f t="shared" si="394"/>
        <v>4935934.3702593371</v>
      </c>
      <c r="AB815" s="10">
        <f t="shared" si="395"/>
        <v>4.9359343702593375</v>
      </c>
      <c r="AC815" s="10">
        <f t="shared" si="396"/>
        <v>4.8349343702593375</v>
      </c>
      <c r="AD815" s="3">
        <f t="shared" si="397"/>
        <v>701.2232589208611</v>
      </c>
      <c r="AI815" s="94">
        <f t="shared" si="398"/>
        <v>0.43896266628350389</v>
      </c>
    </row>
    <row r="816" spans="2:35">
      <c r="B816" s="39">
        <f t="shared" si="399"/>
        <v>788</v>
      </c>
      <c r="C816" s="42">
        <f t="shared" si="400"/>
        <v>5.2344364508338597</v>
      </c>
      <c r="D816" s="10">
        <f t="shared" si="401"/>
        <v>0.30556354916544137</v>
      </c>
      <c r="E816" s="40">
        <f t="shared" si="402"/>
        <v>30.468872901669116</v>
      </c>
      <c r="F816" s="40">
        <f t="shared" si="403"/>
        <v>31.08</v>
      </c>
      <c r="G816" s="3">
        <f t="shared" si="404"/>
        <v>184.52450839333474</v>
      </c>
      <c r="H816" s="3">
        <f t="shared" si="405"/>
        <v>81.256230789298584</v>
      </c>
      <c r="I816">
        <f t="shared" si="390"/>
        <v>8.1256230789298584E-5</v>
      </c>
      <c r="J816" s="4">
        <f t="shared" si="406"/>
        <v>729.12612535229289</v>
      </c>
      <c r="K816" s="40">
        <f t="shared" si="407"/>
        <v>8.9731718819563877</v>
      </c>
      <c r="L816" s="40">
        <f t="shared" si="391"/>
        <v>0</v>
      </c>
      <c r="M816" s="10">
        <f t="shared" si="408"/>
        <v>4.9359343702593375</v>
      </c>
      <c r="N816" s="10">
        <f t="shared" si="387"/>
        <v>8.26</v>
      </c>
      <c r="O816" s="10">
        <f t="shared" si="388"/>
        <v>0.31900000000000001</v>
      </c>
      <c r="P816" s="10">
        <f t="shared" si="409"/>
        <v>13.745637244594485</v>
      </c>
      <c r="Q816" s="42">
        <f t="shared" si="410"/>
        <v>0.38112941465023298</v>
      </c>
      <c r="R816" s="4">
        <f t="shared" si="411"/>
        <v>5451.2435297234897</v>
      </c>
      <c r="S816">
        <f t="shared" si="392"/>
        <v>5.4512435297234901E-6</v>
      </c>
      <c r="T816" s="41">
        <f t="shared" si="393"/>
        <v>1.7435312851216033E-4</v>
      </c>
      <c r="U816" s="42">
        <f t="shared" si="412"/>
        <v>9.7825290762652874E-3</v>
      </c>
      <c r="V816" s="42">
        <f t="shared" si="413"/>
        <v>0.44155341649753893</v>
      </c>
      <c r="W816" s="42">
        <f t="shared" si="414"/>
        <v>0.43888096047703884</v>
      </c>
      <c r="X816" s="42">
        <f t="shared" si="415"/>
        <v>2.6724560205000913E-3</v>
      </c>
      <c r="Y816" s="42">
        <f t="shared" si="389"/>
        <v>2.6069531218407688E-3</v>
      </c>
      <c r="Z816" s="10">
        <f t="shared" si="416"/>
        <v>14.952144214945623</v>
      </c>
      <c r="AA816">
        <f t="shared" si="394"/>
        <v>4935031.7830318091</v>
      </c>
      <c r="AB816" s="10">
        <f t="shared" si="395"/>
        <v>4.9350317830318096</v>
      </c>
      <c r="AC816" s="10">
        <f t="shared" si="396"/>
        <v>4.8340317830318096</v>
      </c>
      <c r="AD816" s="3">
        <f t="shared" si="397"/>
        <v>701.09235431933416</v>
      </c>
      <c r="AI816" s="94">
        <f t="shared" si="398"/>
        <v>0.43888096047703884</v>
      </c>
    </row>
    <row r="817" spans="2:35">
      <c r="B817" s="39">
        <f t="shared" si="399"/>
        <v>789</v>
      </c>
      <c r="C817" s="42">
        <f t="shared" si="400"/>
        <v>5.2410791366851717</v>
      </c>
      <c r="D817" s="10">
        <f t="shared" si="401"/>
        <v>0.29892086331412848</v>
      </c>
      <c r="E817" s="40">
        <f t="shared" si="402"/>
        <v>30.482158273371741</v>
      </c>
      <c r="F817" s="40">
        <f t="shared" si="403"/>
        <v>31.08</v>
      </c>
      <c r="G817" s="3">
        <f t="shared" si="404"/>
        <v>184.47136690652425</v>
      </c>
      <c r="H817" s="3">
        <f t="shared" si="405"/>
        <v>81.256230789298584</v>
      </c>
      <c r="I817">
        <f t="shared" si="390"/>
        <v>8.1256230789298584E-5</v>
      </c>
      <c r="J817" s="4">
        <f t="shared" si="406"/>
        <v>729.76210709521547</v>
      </c>
      <c r="K817" s="40">
        <f t="shared" si="407"/>
        <v>8.9809987493454457</v>
      </c>
      <c r="L817" s="40">
        <f t="shared" si="391"/>
        <v>0</v>
      </c>
      <c r="M817" s="10">
        <f t="shared" si="408"/>
        <v>4.9350317830318096</v>
      </c>
      <c r="N817" s="10">
        <f t="shared" si="387"/>
        <v>8.26</v>
      </c>
      <c r="O817" s="10">
        <f t="shared" si="388"/>
        <v>0.31900000000000001</v>
      </c>
      <c r="P817" s="10">
        <f t="shared" si="409"/>
        <v>13.744835377464462</v>
      </c>
      <c r="Q817" s="42">
        <f t="shared" si="410"/>
        <v>0.38161270060229341</v>
      </c>
      <c r="R817" s="4">
        <f t="shared" si="411"/>
        <v>5332.3531965709808</v>
      </c>
      <c r="S817">
        <f t="shared" si="392"/>
        <v>5.3323531965709807E-6</v>
      </c>
      <c r="T817" s="41">
        <f t="shared" si="393"/>
        <v>1.7447201884531285E-4</v>
      </c>
      <c r="U817" s="42">
        <f t="shared" si="412"/>
        <v>9.5691744289064535E-3</v>
      </c>
      <c r="V817" s="42">
        <f t="shared" si="413"/>
        <v>0.44146668540482598</v>
      </c>
      <c r="W817" s="42">
        <f t="shared" si="414"/>
        <v>0.43879903002690324</v>
      </c>
      <c r="X817" s="42">
        <f t="shared" si="415"/>
        <v>2.6676553779227397E-3</v>
      </c>
      <c r="Y817" s="42">
        <f t="shared" si="389"/>
        <v>2.6082423622098574E-3</v>
      </c>
      <c r="Z817" s="10">
        <f t="shared" si="416"/>
        <v>14.94934476870087</v>
      </c>
      <c r="AA817">
        <f t="shared" si="394"/>
        <v>4934126.7213946627</v>
      </c>
      <c r="AB817" s="10">
        <f t="shared" si="395"/>
        <v>4.9341267213946631</v>
      </c>
      <c r="AC817" s="10">
        <f t="shared" si="396"/>
        <v>4.8331267213946632</v>
      </c>
      <c r="AD817" s="3">
        <f t="shared" si="397"/>
        <v>700.96109084766681</v>
      </c>
      <c r="AI817" s="94">
        <f t="shared" si="398"/>
        <v>0.43879903002690324</v>
      </c>
    </row>
    <row r="818" spans="2:35">
      <c r="B818" s="39">
        <f t="shared" si="399"/>
        <v>790</v>
      </c>
      <c r="C818" s="42">
        <f t="shared" si="400"/>
        <v>5.2477218225364837</v>
      </c>
      <c r="D818" s="10">
        <f t="shared" si="401"/>
        <v>0.29227817746281559</v>
      </c>
      <c r="E818" s="40">
        <f t="shared" si="402"/>
        <v>30.495443645074367</v>
      </c>
      <c r="F818" s="40">
        <f t="shared" si="403"/>
        <v>31.08</v>
      </c>
      <c r="G818" s="3">
        <f t="shared" si="404"/>
        <v>184.41822541971376</v>
      </c>
      <c r="H818" s="3">
        <f t="shared" si="405"/>
        <v>81.256230789298584</v>
      </c>
      <c r="I818">
        <f t="shared" si="390"/>
        <v>8.1256230789298584E-5</v>
      </c>
      <c r="J818" s="4">
        <f t="shared" si="406"/>
        <v>730.39836608541975</v>
      </c>
      <c r="K818" s="40">
        <f t="shared" si="407"/>
        <v>8.9888290287470856</v>
      </c>
      <c r="L818" s="40">
        <f t="shared" si="391"/>
        <v>0</v>
      </c>
      <c r="M818" s="10">
        <f t="shared" si="408"/>
        <v>4.9341267213946631</v>
      </c>
      <c r="N818" s="10">
        <f t="shared" si="387"/>
        <v>8.26</v>
      </c>
      <c r="O818" s="10">
        <f t="shared" si="388"/>
        <v>0.31900000000000001</v>
      </c>
      <c r="P818" s="10">
        <f t="shared" si="409"/>
        <v>13.744031211754756</v>
      </c>
      <c r="Q818" s="42">
        <f t="shared" si="410"/>
        <v>0.38209601483150085</v>
      </c>
      <c r="R818" s="4">
        <f t="shared" si="411"/>
        <v>5213.4793279975884</v>
      </c>
      <c r="S818">
        <f t="shared" si="392"/>
        <v>5.2134793279975882E-6</v>
      </c>
      <c r="T818" s="41">
        <f t="shared" si="393"/>
        <v>1.7459089271388623E-4</v>
      </c>
      <c r="U818" s="42">
        <f t="shared" si="412"/>
        <v>9.3558493280580714E-3</v>
      </c>
      <c r="V818" s="42">
        <f t="shared" si="413"/>
        <v>0.44137972349417587</v>
      </c>
      <c r="W818" s="42">
        <f t="shared" si="414"/>
        <v>0.43871687496745815</v>
      </c>
      <c r="X818" s="42">
        <f t="shared" si="415"/>
        <v>2.6628485267177204E-3</v>
      </c>
      <c r="Y818" s="42">
        <f t="shared" si="389"/>
        <v>2.6095293547930441E-3</v>
      </c>
      <c r="Z818" s="10">
        <f t="shared" si="416"/>
        <v>14.946537670034452</v>
      </c>
      <c r="AA818">
        <f t="shared" si="394"/>
        <v>4933219.1857277714</v>
      </c>
      <c r="AB818" s="10">
        <f t="shared" si="395"/>
        <v>4.9332191857277712</v>
      </c>
      <c r="AC818" s="10">
        <f t="shared" si="396"/>
        <v>4.8322191857277712</v>
      </c>
      <c r="AD818" s="3">
        <f t="shared" si="397"/>
        <v>700.82946856095305</v>
      </c>
      <c r="AI818" s="94">
        <f t="shared" si="398"/>
        <v>0.43871687496745815</v>
      </c>
    </row>
    <row r="819" spans="2:35">
      <c r="B819" s="39">
        <f t="shared" si="399"/>
        <v>791</v>
      </c>
      <c r="C819" s="42">
        <f t="shared" si="400"/>
        <v>5.2543645083877957</v>
      </c>
      <c r="D819" s="10">
        <f t="shared" si="401"/>
        <v>0.2856354916115027</v>
      </c>
      <c r="E819" s="40">
        <f t="shared" si="402"/>
        <v>30.508729016776993</v>
      </c>
      <c r="F819" s="40">
        <f t="shared" si="403"/>
        <v>31.08</v>
      </c>
      <c r="G819" s="3">
        <f t="shared" si="404"/>
        <v>184.36508393290327</v>
      </c>
      <c r="H819" s="3">
        <f t="shared" si="405"/>
        <v>81.256230789298584</v>
      </c>
      <c r="I819">
        <f t="shared" si="390"/>
        <v>8.1256230789298584E-5</v>
      </c>
      <c r="J819" s="4">
        <f t="shared" si="406"/>
        <v>731.03490232290562</v>
      </c>
      <c r="K819" s="40">
        <f t="shared" si="407"/>
        <v>8.9966627201613036</v>
      </c>
      <c r="L819" s="40">
        <f t="shared" si="391"/>
        <v>0</v>
      </c>
      <c r="M819" s="10">
        <f t="shared" si="408"/>
        <v>4.9332191857277712</v>
      </c>
      <c r="N819" s="10">
        <f t="shared" si="387"/>
        <v>8.26</v>
      </c>
      <c r="O819" s="10">
        <f t="shared" si="388"/>
        <v>0.31900000000000001</v>
      </c>
      <c r="P819" s="10">
        <f t="shared" si="409"/>
        <v>13.74322474694816</v>
      </c>
      <c r="Q819" s="42">
        <f t="shared" si="410"/>
        <v>0.38257935742202254</v>
      </c>
      <c r="R819" s="4">
        <f t="shared" si="411"/>
        <v>5094.6219682033452</v>
      </c>
      <c r="S819">
        <f t="shared" si="392"/>
        <v>5.094621968203345E-6</v>
      </c>
      <c r="T819" s="41">
        <f t="shared" si="393"/>
        <v>1.7470975007368049E-4</v>
      </c>
      <c r="U819" s="42">
        <f t="shared" si="412"/>
        <v>9.142553853039314E-3</v>
      </c>
      <c r="V819" s="42">
        <f t="shared" si="413"/>
        <v>0.44129253080830688</v>
      </c>
      <c r="W819" s="42">
        <f t="shared" si="414"/>
        <v>0.43863449533318583</v>
      </c>
      <c r="X819" s="42">
        <f t="shared" si="415"/>
        <v>2.6580354751210566E-3</v>
      </c>
      <c r="Y819" s="42">
        <f t="shared" si="389"/>
        <v>2.6108140965452878E-3</v>
      </c>
      <c r="Z819" s="10">
        <f t="shared" si="416"/>
        <v>14.943722920124532</v>
      </c>
      <c r="AA819">
        <f t="shared" si="394"/>
        <v>4932309.1764120348</v>
      </c>
      <c r="AB819" s="10">
        <f t="shared" si="395"/>
        <v>4.9323091764120344</v>
      </c>
      <c r="AC819" s="10">
        <f t="shared" si="396"/>
        <v>4.8313091764120344</v>
      </c>
      <c r="AD819" s="3">
        <f t="shared" si="397"/>
        <v>700.69748751443581</v>
      </c>
      <c r="AI819" s="94">
        <f t="shared" si="398"/>
        <v>0.43863449533318583</v>
      </c>
    </row>
    <row r="820" spans="2:35">
      <c r="B820" s="39">
        <f t="shared" si="399"/>
        <v>792</v>
      </c>
      <c r="C820" s="42">
        <f t="shared" si="400"/>
        <v>5.2610071942391077</v>
      </c>
      <c r="D820" s="10">
        <f t="shared" si="401"/>
        <v>0.27899280576018981</v>
      </c>
      <c r="E820" s="40">
        <f t="shared" si="402"/>
        <v>30.522014388479619</v>
      </c>
      <c r="F820" s="40">
        <f t="shared" si="403"/>
        <v>31.08</v>
      </c>
      <c r="G820" s="3">
        <f t="shared" si="404"/>
        <v>184.31194244609279</v>
      </c>
      <c r="H820" s="3">
        <f t="shared" si="405"/>
        <v>81.256230789298584</v>
      </c>
      <c r="I820">
        <f t="shared" si="390"/>
        <v>8.1256230789298584E-5</v>
      </c>
      <c r="J820" s="4">
        <f t="shared" si="406"/>
        <v>731.67171580767285</v>
      </c>
      <c r="K820" s="40">
        <f t="shared" si="407"/>
        <v>9.0044998235880982</v>
      </c>
      <c r="L820" s="40">
        <f t="shared" si="391"/>
        <v>0</v>
      </c>
      <c r="M820" s="10">
        <f t="shared" si="408"/>
        <v>4.9323091764120344</v>
      </c>
      <c r="N820" s="10">
        <f t="shared" si="387"/>
        <v>8.26</v>
      </c>
      <c r="O820" s="10">
        <f t="shared" si="388"/>
        <v>0.31900000000000001</v>
      </c>
      <c r="P820" s="10">
        <f t="shared" si="409"/>
        <v>13.742415982525776</v>
      </c>
      <c r="Q820" s="42">
        <f t="shared" si="410"/>
        <v>0.38306272845807315</v>
      </c>
      <c r="R820" s="4">
        <f t="shared" si="411"/>
        <v>4975.7811613882477</v>
      </c>
      <c r="S820">
        <f t="shared" si="392"/>
        <v>4.9757811613882473E-6</v>
      </c>
      <c r="T820" s="41">
        <f t="shared" si="393"/>
        <v>1.7482859088049557E-4</v>
      </c>
      <c r="U820" s="42">
        <f t="shared" si="412"/>
        <v>8.9292880831692793E-3</v>
      </c>
      <c r="V820" s="42">
        <f t="shared" si="413"/>
        <v>0.44120510739022056</v>
      </c>
      <c r="W820" s="42">
        <f t="shared" si="414"/>
        <v>0.43855189115866178</v>
      </c>
      <c r="X820" s="42">
        <f t="shared" si="415"/>
        <v>2.6532162315587859E-3</v>
      </c>
      <c r="Y820" s="42">
        <f t="shared" si="389"/>
        <v>2.6120965844240026E-3</v>
      </c>
      <c r="Z820" s="10">
        <f t="shared" si="416"/>
        <v>14.940900520152944</v>
      </c>
      <c r="AA820">
        <f t="shared" si="394"/>
        <v>4931396.6938295402</v>
      </c>
      <c r="AB820" s="10">
        <f t="shared" si="395"/>
        <v>4.9313966938295399</v>
      </c>
      <c r="AC820" s="10">
        <f t="shared" si="396"/>
        <v>4.83039669382954</v>
      </c>
      <c r="AD820" s="3">
        <f t="shared" si="397"/>
        <v>700.56514776353015</v>
      </c>
      <c r="AI820" s="94">
        <f t="shared" si="398"/>
        <v>0.43855189115866178</v>
      </c>
    </row>
    <row r="821" spans="2:35">
      <c r="B821" s="39">
        <f t="shared" si="399"/>
        <v>793</v>
      </c>
      <c r="C821" s="42">
        <f t="shared" si="400"/>
        <v>5.2676498800904197</v>
      </c>
      <c r="D821" s="10">
        <f t="shared" si="401"/>
        <v>0.27235011990887692</v>
      </c>
      <c r="E821" s="40">
        <f t="shared" si="402"/>
        <v>30.535299760182244</v>
      </c>
      <c r="F821" s="40">
        <f t="shared" si="403"/>
        <v>31.08</v>
      </c>
      <c r="G821" s="3">
        <f t="shared" si="404"/>
        <v>184.2588009592823</v>
      </c>
      <c r="H821" s="3">
        <f t="shared" si="405"/>
        <v>81.256230789298584</v>
      </c>
      <c r="I821">
        <f t="shared" si="390"/>
        <v>8.1256230789298584E-5</v>
      </c>
      <c r="J821" s="4">
        <f t="shared" si="406"/>
        <v>732.3088065397219</v>
      </c>
      <c r="K821" s="40">
        <f t="shared" si="407"/>
        <v>9.0123403390274746</v>
      </c>
      <c r="L821" s="40">
        <f t="shared" si="391"/>
        <v>0</v>
      </c>
      <c r="M821" s="10">
        <f t="shared" si="408"/>
        <v>4.9313966938295399</v>
      </c>
      <c r="N821" s="10">
        <f t="shared" si="387"/>
        <v>8.26</v>
      </c>
      <c r="O821" s="10">
        <f t="shared" si="388"/>
        <v>0.31900000000000001</v>
      </c>
      <c r="P821" s="10">
        <f t="shared" si="409"/>
        <v>13.74160491796715</v>
      </c>
      <c r="Q821" s="42">
        <f t="shared" si="410"/>
        <v>0.38354612802391475</v>
      </c>
      <c r="R821" s="4">
        <f t="shared" si="411"/>
        <v>4856.9569517522632</v>
      </c>
      <c r="S821">
        <f t="shared" si="392"/>
        <v>4.8569569517522631E-6</v>
      </c>
      <c r="T821" s="41">
        <f t="shared" si="393"/>
        <v>1.7494741509013157E-4</v>
      </c>
      <c r="U821" s="42">
        <f t="shared" si="412"/>
        <v>8.7160520977670238E-3</v>
      </c>
      <c r="V821" s="42">
        <f t="shared" si="413"/>
        <v>0.44111745328321683</v>
      </c>
      <c r="W821" s="42">
        <f t="shared" si="414"/>
        <v>0.43846906247856898</v>
      </c>
      <c r="X821" s="42">
        <f t="shared" si="415"/>
        <v>2.6483908046478488E-3</v>
      </c>
      <c r="Y821" s="42">
        <f t="shared" si="389"/>
        <v>2.6133768153891483E-3</v>
      </c>
      <c r="Z821" s="10">
        <f t="shared" si="416"/>
        <v>14.938070471305657</v>
      </c>
      <c r="AA821">
        <f t="shared" si="394"/>
        <v>4930481.7383637121</v>
      </c>
      <c r="AB821" s="10">
        <f t="shared" si="395"/>
        <v>4.9304817383637118</v>
      </c>
      <c r="AC821" s="10">
        <f t="shared" si="396"/>
        <v>4.8294817383637119</v>
      </c>
      <c r="AD821" s="3">
        <f t="shared" si="397"/>
        <v>700.43244936384508</v>
      </c>
      <c r="AI821" s="94">
        <f t="shared" si="398"/>
        <v>0.43846906247856898</v>
      </c>
    </row>
    <row r="822" spans="2:35">
      <c r="B822" s="39">
        <f t="shared" si="399"/>
        <v>794</v>
      </c>
      <c r="C822" s="42">
        <f t="shared" si="400"/>
        <v>5.2742925659417317</v>
      </c>
      <c r="D822" s="10">
        <f t="shared" si="401"/>
        <v>0.26570743405756403</v>
      </c>
      <c r="E822" s="40">
        <f t="shared" si="402"/>
        <v>30.54858513188487</v>
      </c>
      <c r="F822" s="40">
        <f t="shared" si="403"/>
        <v>31.08</v>
      </c>
      <c r="G822" s="3">
        <f t="shared" si="404"/>
        <v>184.20565947247181</v>
      </c>
      <c r="H822" s="3">
        <f t="shared" si="405"/>
        <v>81.256230789298584</v>
      </c>
      <c r="I822">
        <f t="shared" si="390"/>
        <v>8.1256230789298584E-5</v>
      </c>
      <c r="J822" s="4">
        <f t="shared" si="406"/>
        <v>732.94617451905231</v>
      </c>
      <c r="K822" s="40">
        <f t="shared" si="407"/>
        <v>9.0201842664794274</v>
      </c>
      <c r="L822" s="40">
        <f t="shared" si="391"/>
        <v>0</v>
      </c>
      <c r="M822" s="10">
        <f t="shared" si="408"/>
        <v>4.9304817383637118</v>
      </c>
      <c r="N822" s="10">
        <f t="shared" si="387"/>
        <v>8.26</v>
      </c>
      <c r="O822" s="10">
        <f t="shared" si="388"/>
        <v>0.31900000000000001</v>
      </c>
      <c r="P822" s="10">
        <f t="shared" si="409"/>
        <v>13.740791552750395</v>
      </c>
      <c r="Q822" s="42">
        <f t="shared" si="410"/>
        <v>0.38402955620385698</v>
      </c>
      <c r="R822" s="4">
        <f t="shared" si="411"/>
        <v>4738.1493834954217</v>
      </c>
      <c r="S822">
        <f t="shared" si="392"/>
        <v>4.7381493834954216E-6</v>
      </c>
      <c r="T822" s="41">
        <f t="shared" si="393"/>
        <v>1.7506622265838842E-4</v>
      </c>
      <c r="U822" s="42">
        <f t="shared" si="412"/>
        <v>8.5028459761517083E-3</v>
      </c>
      <c r="V822" s="42">
        <f t="shared" si="413"/>
        <v>0.44102956853030639</v>
      </c>
      <c r="W822" s="42">
        <f t="shared" si="414"/>
        <v>0.4383860093277121</v>
      </c>
      <c r="X822" s="42">
        <f t="shared" si="415"/>
        <v>2.6435592025942922E-3</v>
      </c>
      <c r="Y822" s="42">
        <f t="shared" si="389"/>
        <v>2.6146547864030279E-3</v>
      </c>
      <c r="Z822" s="10">
        <f t="shared" si="416"/>
        <v>14.935232774771615</v>
      </c>
      <c r="AA822">
        <f t="shared" si="394"/>
        <v>4929564.3103989353</v>
      </c>
      <c r="AB822" s="10">
        <f t="shared" si="395"/>
        <v>4.9295643103989351</v>
      </c>
      <c r="AC822" s="10">
        <f t="shared" si="396"/>
        <v>4.8285643103989351</v>
      </c>
      <c r="AD822" s="3">
        <f t="shared" si="397"/>
        <v>700.2993923711291</v>
      </c>
      <c r="AI822" s="94">
        <f t="shared" si="398"/>
        <v>0.4383860093277121</v>
      </c>
    </row>
    <row r="823" spans="2:35">
      <c r="B823" s="39">
        <f t="shared" si="399"/>
        <v>795</v>
      </c>
      <c r="C823" s="42">
        <f t="shared" si="400"/>
        <v>5.2809352517930437</v>
      </c>
      <c r="D823" s="10">
        <f t="shared" si="401"/>
        <v>0.25906474820625114</v>
      </c>
      <c r="E823" s="40">
        <f t="shared" si="402"/>
        <v>30.561870503587496</v>
      </c>
      <c r="F823" s="40">
        <f t="shared" si="403"/>
        <v>31.08</v>
      </c>
      <c r="G823" s="3">
        <f t="shared" si="404"/>
        <v>184.15251798566132</v>
      </c>
      <c r="H823" s="3">
        <f t="shared" si="405"/>
        <v>81.256230789298584</v>
      </c>
      <c r="I823">
        <f t="shared" si="390"/>
        <v>8.1256230789298584E-5</v>
      </c>
      <c r="J823" s="4">
        <f t="shared" si="406"/>
        <v>733.58381974566441</v>
      </c>
      <c r="K823" s="40">
        <f t="shared" si="407"/>
        <v>9.0280316059439603</v>
      </c>
      <c r="L823" s="40">
        <f t="shared" si="391"/>
        <v>0</v>
      </c>
      <c r="M823" s="10">
        <f t="shared" si="408"/>
        <v>4.9295643103989351</v>
      </c>
      <c r="N823" s="10">
        <f t="shared" si="387"/>
        <v>8.26</v>
      </c>
      <c r="O823" s="10">
        <f t="shared" si="388"/>
        <v>0.31900000000000001</v>
      </c>
      <c r="P823" s="10">
        <f t="shared" si="409"/>
        <v>13.73997588635188</v>
      </c>
      <c r="Q823" s="42">
        <f t="shared" si="410"/>
        <v>0.38451301308225733</v>
      </c>
      <c r="R823" s="4">
        <f t="shared" si="411"/>
        <v>4619.3585008177051</v>
      </c>
      <c r="S823">
        <f t="shared" si="392"/>
        <v>4.6193585008177053E-6</v>
      </c>
      <c r="T823" s="41">
        <f t="shared" si="393"/>
        <v>1.7518501354106612E-4</v>
      </c>
      <c r="U823" s="42">
        <f t="shared" si="412"/>
        <v>8.2896697976424134E-3</v>
      </c>
      <c r="V823" s="42">
        <f t="shared" si="413"/>
        <v>0.44094145317499411</v>
      </c>
      <c r="W823" s="42">
        <f t="shared" si="414"/>
        <v>0.43830273174098283</v>
      </c>
      <c r="X823" s="42">
        <f t="shared" si="415"/>
        <v>2.6387214340112819E-3</v>
      </c>
      <c r="Y823" s="42">
        <f t="shared" si="389"/>
        <v>2.6159304944304829E-3</v>
      </c>
      <c r="Z823" s="10">
        <f t="shared" si="416"/>
        <v>14.932387431743798</v>
      </c>
      <c r="AA823">
        <f t="shared" si="394"/>
        <v>4928644.4103209022</v>
      </c>
      <c r="AB823" s="10">
        <f t="shared" si="395"/>
        <v>4.9286444103209019</v>
      </c>
      <c r="AC823" s="10">
        <f t="shared" si="396"/>
        <v>4.827644410320902</v>
      </c>
      <c r="AD823" s="3">
        <f t="shared" si="397"/>
        <v>700.16597684132012</v>
      </c>
      <c r="AI823" s="94">
        <f t="shared" si="398"/>
        <v>0.43830273174098283</v>
      </c>
    </row>
    <row r="824" spans="2:35">
      <c r="B824" s="39">
        <f t="shared" si="399"/>
        <v>796</v>
      </c>
      <c r="C824" s="42">
        <f t="shared" si="400"/>
        <v>5.2875779376443557</v>
      </c>
      <c r="D824" s="10">
        <f t="shared" si="401"/>
        <v>0.25242206235493825</v>
      </c>
      <c r="E824" s="40">
        <f t="shared" si="402"/>
        <v>30.575155875290122</v>
      </c>
      <c r="F824" s="40">
        <f t="shared" si="403"/>
        <v>31.08</v>
      </c>
      <c r="G824" s="3">
        <f t="shared" si="404"/>
        <v>184.09937649885083</v>
      </c>
      <c r="H824" s="3">
        <f t="shared" si="405"/>
        <v>81.256230789298584</v>
      </c>
      <c r="I824">
        <f t="shared" si="390"/>
        <v>8.1256230789298584E-5</v>
      </c>
      <c r="J824" s="4">
        <f t="shared" si="406"/>
        <v>734.221742219558</v>
      </c>
      <c r="K824" s="40">
        <f t="shared" si="407"/>
        <v>9.0358823574210714</v>
      </c>
      <c r="L824" s="40">
        <f t="shared" si="391"/>
        <v>0</v>
      </c>
      <c r="M824" s="10">
        <f t="shared" si="408"/>
        <v>4.9286444103209019</v>
      </c>
      <c r="N824" s="10">
        <f t="shared" si="387"/>
        <v>8.26</v>
      </c>
      <c r="O824" s="10">
        <f t="shared" si="388"/>
        <v>0.31900000000000001</v>
      </c>
      <c r="P824" s="10">
        <f t="shared" si="409"/>
        <v>13.739157918246505</v>
      </c>
      <c r="Q824" s="42">
        <f t="shared" si="410"/>
        <v>0.38499649874352121</v>
      </c>
      <c r="R824" s="4">
        <f t="shared" si="411"/>
        <v>4500.584347919128</v>
      </c>
      <c r="S824">
        <f t="shared" si="392"/>
        <v>4.500584347919128E-6</v>
      </c>
      <c r="T824" s="41">
        <f t="shared" si="393"/>
        <v>1.7530378769396471E-4</v>
      </c>
      <c r="U824" s="42">
        <f t="shared" si="412"/>
        <v>8.0765236415582704E-3</v>
      </c>
      <c r="V824" s="42">
        <f t="shared" si="413"/>
        <v>0.44085310726062976</v>
      </c>
      <c r="W824" s="42">
        <f t="shared" si="414"/>
        <v>0.4382192297533915</v>
      </c>
      <c r="X824" s="42">
        <f t="shared" si="415"/>
        <v>2.6338775072382581E-3</v>
      </c>
      <c r="Y824" s="42">
        <f t="shared" si="389"/>
        <v>2.6172039364387579E-3</v>
      </c>
      <c r="Z824" s="10">
        <f t="shared" si="416"/>
        <v>14.929534443418429</v>
      </c>
      <c r="AA824">
        <f t="shared" si="394"/>
        <v>4927722.038516351</v>
      </c>
      <c r="AB824" s="10">
        <f t="shared" si="395"/>
        <v>4.9277220385163512</v>
      </c>
      <c r="AC824" s="10">
        <f t="shared" si="396"/>
        <v>4.8267220385163512</v>
      </c>
      <c r="AD824" s="3">
        <f t="shared" si="397"/>
        <v>700.0322028305078</v>
      </c>
      <c r="AI824" s="94">
        <f t="shared" si="398"/>
        <v>0.4382192297533915</v>
      </c>
    </row>
    <row r="825" spans="2:35">
      <c r="B825" s="39">
        <f t="shared" si="399"/>
        <v>797</v>
      </c>
      <c r="C825" s="42">
        <f t="shared" si="400"/>
        <v>5.2942206234956677</v>
      </c>
      <c r="D825" s="10">
        <f t="shared" si="401"/>
        <v>0.24577937650362536</v>
      </c>
      <c r="E825" s="40">
        <f t="shared" si="402"/>
        <v>30.588441246992748</v>
      </c>
      <c r="F825" s="40">
        <f t="shared" si="403"/>
        <v>31.08</v>
      </c>
      <c r="G825" s="3">
        <f t="shared" si="404"/>
        <v>184.04623501204034</v>
      </c>
      <c r="H825" s="3">
        <f t="shared" si="405"/>
        <v>81.256230789298584</v>
      </c>
      <c r="I825">
        <f t="shared" si="390"/>
        <v>8.1256230789298584E-5</v>
      </c>
      <c r="J825" s="4">
        <f t="shared" si="406"/>
        <v>734.85994194073317</v>
      </c>
      <c r="K825" s="40">
        <f t="shared" si="407"/>
        <v>9.0437365209107625</v>
      </c>
      <c r="L825" s="40">
        <f t="shared" si="391"/>
        <v>0</v>
      </c>
      <c r="M825" s="10">
        <f t="shared" si="408"/>
        <v>4.9277220385163512</v>
      </c>
      <c r="N825" s="10">
        <f t="shared" si="387"/>
        <v>8.26</v>
      </c>
      <c r="O825" s="10">
        <f t="shared" si="388"/>
        <v>0.31900000000000001</v>
      </c>
      <c r="P825" s="10">
        <f t="shared" si="409"/>
        <v>13.738337647907498</v>
      </c>
      <c r="Q825" s="42">
        <f t="shared" si="410"/>
        <v>0.38548001327210202</v>
      </c>
      <c r="R825" s="4">
        <f t="shared" si="411"/>
        <v>4381.8269689996732</v>
      </c>
      <c r="S825">
        <f t="shared" si="392"/>
        <v>4.3818269689996731E-6</v>
      </c>
      <c r="T825" s="41">
        <f t="shared" si="393"/>
        <v>1.7542254507288416E-4</v>
      </c>
      <c r="U825" s="42">
        <f t="shared" si="412"/>
        <v>7.8634075872183636E-3</v>
      </c>
      <c r="V825" s="42">
        <f t="shared" si="413"/>
        <v>0.4407645308310304</v>
      </c>
      <c r="W825" s="42">
        <f t="shared" si="414"/>
        <v>0.43813550340004359</v>
      </c>
      <c r="X825" s="42">
        <f t="shared" si="415"/>
        <v>2.6290274309868078E-3</v>
      </c>
      <c r="Y825" s="42">
        <f t="shared" si="389"/>
        <v>2.6184751093976774E-3</v>
      </c>
      <c r="Z825" s="10">
        <f t="shared" si="416"/>
        <v>14.926673810995956</v>
      </c>
      <c r="AA825">
        <f t="shared" si="394"/>
        <v>4926797.1953733861</v>
      </c>
      <c r="AB825" s="10">
        <f t="shared" si="395"/>
        <v>4.9267971953733865</v>
      </c>
      <c r="AC825" s="10">
        <f t="shared" si="396"/>
        <v>4.8257971953733865</v>
      </c>
      <c r="AD825" s="3">
        <f t="shared" si="397"/>
        <v>699.89807039497987</v>
      </c>
      <c r="AI825" s="94">
        <f t="shared" si="398"/>
        <v>0.43813550340004359</v>
      </c>
    </row>
    <row r="826" spans="2:35">
      <c r="B826" s="39">
        <f t="shared" si="399"/>
        <v>798</v>
      </c>
      <c r="C826" s="42">
        <f t="shared" si="400"/>
        <v>5.3008633093469797</v>
      </c>
      <c r="D826" s="10">
        <f t="shared" si="401"/>
        <v>0.23913669065231247</v>
      </c>
      <c r="E826" s="40">
        <f t="shared" si="402"/>
        <v>30.601726618695373</v>
      </c>
      <c r="F826" s="40">
        <f t="shared" si="403"/>
        <v>31.08</v>
      </c>
      <c r="G826" s="3">
        <f t="shared" si="404"/>
        <v>183.99309352522985</v>
      </c>
      <c r="H826" s="3">
        <f t="shared" si="405"/>
        <v>81.256230789298584</v>
      </c>
      <c r="I826">
        <f t="shared" si="390"/>
        <v>8.1256230789298584E-5</v>
      </c>
      <c r="J826" s="4">
        <f t="shared" si="406"/>
        <v>735.49841890918992</v>
      </c>
      <c r="K826" s="40">
        <f t="shared" si="407"/>
        <v>9.0515940964130319</v>
      </c>
      <c r="L826" s="40">
        <f t="shared" si="391"/>
        <v>0</v>
      </c>
      <c r="M826" s="10">
        <f t="shared" si="408"/>
        <v>4.9267971953733865</v>
      </c>
      <c r="N826" s="10">
        <f t="shared" si="387"/>
        <v>8.26</v>
      </c>
      <c r="O826" s="10">
        <f t="shared" si="388"/>
        <v>0.31900000000000001</v>
      </c>
      <c r="P826" s="10">
        <f t="shared" si="409"/>
        <v>13.737515074806662</v>
      </c>
      <c r="Q826" s="42">
        <f t="shared" si="410"/>
        <v>0.38596355675250149</v>
      </c>
      <c r="R826" s="4">
        <f t="shared" si="411"/>
        <v>4263.086408259338</v>
      </c>
      <c r="S826">
        <f t="shared" si="392"/>
        <v>4.2630864082593383E-6</v>
      </c>
      <c r="T826" s="41">
        <f t="shared" si="393"/>
        <v>1.7554128563362451E-4</v>
      </c>
      <c r="U826" s="42">
        <f t="shared" si="412"/>
        <v>7.6503217139417944E-3</v>
      </c>
      <c r="V826" s="42">
        <f t="shared" si="413"/>
        <v>0.44067572392979221</v>
      </c>
      <c r="W826" s="42">
        <f t="shared" si="414"/>
        <v>0.43805155271616836</v>
      </c>
      <c r="X826" s="42">
        <f t="shared" si="415"/>
        <v>2.6241712136238493E-3</v>
      </c>
      <c r="Y826" s="42">
        <f t="shared" si="389"/>
        <v>2.6197440102794772E-3</v>
      </c>
      <c r="Z826" s="10">
        <f t="shared" si="416"/>
        <v>14.923805535680044</v>
      </c>
      <c r="AA826">
        <f t="shared" si="394"/>
        <v>4925869.8812811542</v>
      </c>
      <c r="AB826" s="10">
        <f t="shared" si="395"/>
        <v>4.9258698812811543</v>
      </c>
      <c r="AC826" s="10">
        <f t="shared" si="396"/>
        <v>4.8248698812811543</v>
      </c>
      <c r="AD826" s="3">
        <f t="shared" si="397"/>
        <v>699.76357959117536</v>
      </c>
      <c r="AI826" s="94">
        <f t="shared" si="398"/>
        <v>0.43805155271616836</v>
      </c>
    </row>
    <row r="827" spans="2:35">
      <c r="B827" s="39">
        <f t="shared" si="399"/>
        <v>799</v>
      </c>
      <c r="C827" s="42">
        <f t="shared" si="400"/>
        <v>5.3075059951982917</v>
      </c>
      <c r="D827" s="10">
        <f t="shared" si="401"/>
        <v>0.23249400480099958</v>
      </c>
      <c r="E827" s="40">
        <f t="shared" si="402"/>
        <v>30.615011990397999</v>
      </c>
      <c r="F827" s="40">
        <f t="shared" si="403"/>
        <v>31.08</v>
      </c>
      <c r="G827" s="3">
        <f t="shared" si="404"/>
        <v>183.93995203841936</v>
      </c>
      <c r="H827" s="3">
        <f t="shared" si="405"/>
        <v>81.256230789298584</v>
      </c>
      <c r="I827">
        <f t="shared" si="390"/>
        <v>8.1256230789298584E-5</v>
      </c>
      <c r="J827" s="4">
        <f t="shared" si="406"/>
        <v>736.13717312492815</v>
      </c>
      <c r="K827" s="40">
        <f t="shared" si="407"/>
        <v>9.0594550839278796</v>
      </c>
      <c r="L827" s="40">
        <f t="shared" si="391"/>
        <v>0</v>
      </c>
      <c r="M827" s="10">
        <f t="shared" si="408"/>
        <v>4.9258698812811543</v>
      </c>
      <c r="N827" s="10">
        <f t="shared" si="387"/>
        <v>8.26</v>
      </c>
      <c r="O827" s="10">
        <f t="shared" si="388"/>
        <v>0.31900000000000001</v>
      </c>
      <c r="P827" s="10">
        <f t="shared" si="409"/>
        <v>13.73669019841412</v>
      </c>
      <c r="Q827" s="42">
        <f t="shared" si="410"/>
        <v>0.38644712926926966</v>
      </c>
      <c r="R827" s="4">
        <f t="shared" si="411"/>
        <v>4144.3627098981206</v>
      </c>
      <c r="S827">
        <f t="shared" si="392"/>
        <v>4.1443627098981207E-6</v>
      </c>
      <c r="T827" s="41">
        <f t="shared" si="393"/>
        <v>1.7566000933198571E-4</v>
      </c>
      <c r="U827" s="42">
        <f t="shared" si="412"/>
        <v>7.4372661010476716E-3</v>
      </c>
      <c r="V827" s="42">
        <f t="shared" si="413"/>
        <v>0.44058668660085032</v>
      </c>
      <c r="W827" s="42">
        <f t="shared" si="414"/>
        <v>0.43796737773708982</v>
      </c>
      <c r="X827" s="42">
        <f t="shared" si="415"/>
        <v>2.6193088637604944E-3</v>
      </c>
      <c r="Y827" s="42">
        <f t="shared" si="389"/>
        <v>2.6210106360589191E-3</v>
      </c>
      <c r="Z827" s="10">
        <f t="shared" si="416"/>
        <v>14.920929618678226</v>
      </c>
      <c r="AA827">
        <f t="shared" si="394"/>
        <v>4924940.0966300508</v>
      </c>
      <c r="AB827" s="10">
        <f t="shared" si="395"/>
        <v>4.9249400966300509</v>
      </c>
      <c r="AC827" s="10">
        <f t="shared" si="396"/>
        <v>4.823940096630051</v>
      </c>
      <c r="AD827" s="3">
        <f t="shared" si="397"/>
        <v>699.62873047571441</v>
      </c>
      <c r="AI827" s="94">
        <f t="shared" si="398"/>
        <v>0.43796737773708982</v>
      </c>
    </row>
    <row r="828" spans="2:35">
      <c r="B828" s="39">
        <f t="shared" si="399"/>
        <v>800</v>
      </c>
      <c r="C828" s="42">
        <f t="shared" si="400"/>
        <v>5.3141486810496037</v>
      </c>
      <c r="D828" s="10">
        <f t="shared" si="401"/>
        <v>0.22585131894968669</v>
      </c>
      <c r="E828" s="40">
        <f t="shared" si="402"/>
        <v>30.628297362100625</v>
      </c>
      <c r="F828" s="40">
        <f t="shared" si="403"/>
        <v>31.08</v>
      </c>
      <c r="G828" s="3">
        <f t="shared" si="404"/>
        <v>183.88681055160887</v>
      </c>
      <c r="H828" s="3">
        <f t="shared" si="405"/>
        <v>81.256230789298584</v>
      </c>
      <c r="I828">
        <f t="shared" si="390"/>
        <v>8.1256230789298584E-5</v>
      </c>
      <c r="J828" s="4">
        <f t="shared" si="406"/>
        <v>736.77620458794797</v>
      </c>
      <c r="K828" s="40">
        <f t="shared" si="407"/>
        <v>9.0673194834553055</v>
      </c>
      <c r="L828" s="40">
        <f t="shared" si="391"/>
        <v>0</v>
      </c>
      <c r="M828" s="10">
        <f t="shared" si="408"/>
        <v>4.9249400966300509</v>
      </c>
      <c r="N828" s="10">
        <f t="shared" si="387"/>
        <v>8.26</v>
      </c>
      <c r="O828" s="10">
        <f t="shared" si="388"/>
        <v>0.31900000000000001</v>
      </c>
      <c r="P828" s="10">
        <f t="shared" si="409"/>
        <v>13.735863018198476</v>
      </c>
      <c r="Q828" s="42">
        <f t="shared" si="410"/>
        <v>0.38693073090700519</v>
      </c>
      <c r="R828" s="4">
        <f t="shared" si="411"/>
        <v>4025.6559181160374</v>
      </c>
      <c r="S828">
        <f t="shared" si="392"/>
        <v>4.0256559181160374E-6</v>
      </c>
      <c r="T828" s="41">
        <f t="shared" si="393"/>
        <v>1.7577871612376779E-4</v>
      </c>
      <c r="U828" s="42">
        <f t="shared" si="412"/>
        <v>7.224240827855135E-3</v>
      </c>
      <c r="V828" s="42">
        <f t="shared" si="413"/>
        <v>0.44049741888805283</v>
      </c>
      <c r="W828" s="42">
        <f t="shared" si="414"/>
        <v>0.43788297849824537</v>
      </c>
      <c r="X828" s="42">
        <f t="shared" si="415"/>
        <v>2.6144403898074597E-3</v>
      </c>
      <c r="Y828" s="42">
        <f t="shared" si="389"/>
        <v>2.622274983713192E-3</v>
      </c>
      <c r="Z828" s="10">
        <f t="shared" si="416"/>
        <v>14.918046061201281</v>
      </c>
      <c r="AA828">
        <f t="shared" si="394"/>
        <v>4924007.8418115191</v>
      </c>
      <c r="AB828" s="10">
        <f t="shared" si="395"/>
        <v>4.9240078418115187</v>
      </c>
      <c r="AC828" s="10">
        <f t="shared" si="396"/>
        <v>4.8230078418115188</v>
      </c>
      <c r="AD828" s="3">
        <f t="shared" si="397"/>
        <v>699.49352310536904</v>
      </c>
      <c r="AI828" s="94">
        <f t="shared" si="398"/>
        <v>0.43788297849824537</v>
      </c>
    </row>
    <row r="829" spans="2:35">
      <c r="B829" s="39">
        <f t="shared" si="399"/>
        <v>801</v>
      </c>
      <c r="C829" s="42">
        <f t="shared" si="400"/>
        <v>5.3207913669009157</v>
      </c>
      <c r="D829" s="10">
        <f t="shared" si="401"/>
        <v>0.2192086330983738</v>
      </c>
      <c r="E829" s="40">
        <f t="shared" si="402"/>
        <v>30.641582733803251</v>
      </c>
      <c r="F829" s="40">
        <f t="shared" si="403"/>
        <v>31.08</v>
      </c>
      <c r="G829" s="3">
        <f t="shared" si="404"/>
        <v>183.83366906479839</v>
      </c>
      <c r="H829" s="3">
        <f t="shared" si="405"/>
        <v>81.256230789298584</v>
      </c>
      <c r="I829">
        <f t="shared" si="390"/>
        <v>8.1256230789298584E-5</v>
      </c>
      <c r="J829" s="4">
        <f t="shared" si="406"/>
        <v>737.41551329824938</v>
      </c>
      <c r="K829" s="40">
        <f t="shared" si="407"/>
        <v>9.0751872949953114</v>
      </c>
      <c r="L829" s="40">
        <f t="shared" si="391"/>
        <v>0</v>
      </c>
      <c r="M829" s="10">
        <f t="shared" si="408"/>
        <v>4.9240078418115187</v>
      </c>
      <c r="N829" s="10">
        <f t="shared" si="387"/>
        <v>8.26</v>
      </c>
      <c r="O829" s="10">
        <f t="shared" si="388"/>
        <v>0.31900000000000001</v>
      </c>
      <c r="P829" s="10">
        <f t="shared" si="409"/>
        <v>13.735033533626636</v>
      </c>
      <c r="Q829" s="42">
        <f t="shared" si="410"/>
        <v>0.38741436175035548</v>
      </c>
      <c r="R829" s="4">
        <f t="shared" si="411"/>
        <v>3906.9660771130675</v>
      </c>
      <c r="S829">
        <f t="shared" si="392"/>
        <v>3.9069660771130676E-6</v>
      </c>
      <c r="T829" s="41">
        <f t="shared" si="393"/>
        <v>1.7589740596477078E-4</v>
      </c>
      <c r="U829" s="42">
        <f t="shared" si="412"/>
        <v>7.0112459736832548E-3</v>
      </c>
      <c r="V829" s="42">
        <f t="shared" si="413"/>
        <v>0.44040792083562197</v>
      </c>
      <c r="W829" s="42">
        <f t="shared" si="414"/>
        <v>0.43779835503516729</v>
      </c>
      <c r="X829" s="42">
        <f t="shared" si="415"/>
        <v>2.6095658004546829E-3</v>
      </c>
      <c r="Y829" s="42">
        <f t="shared" si="389"/>
        <v>2.623537050222044E-3</v>
      </c>
      <c r="Z829" s="10">
        <f t="shared" si="416"/>
        <v>14.915154864463966</v>
      </c>
      <c r="AA829">
        <f t="shared" si="394"/>
        <v>4923073.1172182932</v>
      </c>
      <c r="AB829" s="10">
        <f t="shared" si="395"/>
        <v>4.9230731172182933</v>
      </c>
      <c r="AC829" s="10">
        <f t="shared" si="396"/>
        <v>4.8220731172182933</v>
      </c>
      <c r="AD829" s="3">
        <f t="shared" si="397"/>
        <v>699.3579575370984</v>
      </c>
      <c r="AI829" s="94">
        <f t="shared" si="398"/>
        <v>0.43779835503516729</v>
      </c>
    </row>
    <row r="830" spans="2:35">
      <c r="B830" s="39">
        <f t="shared" si="399"/>
        <v>802</v>
      </c>
      <c r="C830" s="42">
        <f t="shared" si="400"/>
        <v>5.3274340527522277</v>
      </c>
      <c r="D830" s="10">
        <f t="shared" si="401"/>
        <v>0.2125659472470609</v>
      </c>
      <c r="E830" s="40">
        <f t="shared" si="402"/>
        <v>30.654868105505876</v>
      </c>
      <c r="F830" s="40">
        <f t="shared" si="403"/>
        <v>31.08</v>
      </c>
      <c r="G830" s="3">
        <f t="shared" si="404"/>
        <v>183.7805275779879</v>
      </c>
      <c r="H830" s="3">
        <f t="shared" si="405"/>
        <v>81.256230789298584</v>
      </c>
      <c r="I830">
        <f t="shared" si="390"/>
        <v>8.1256230789298584E-5</v>
      </c>
      <c r="J830" s="4">
        <f t="shared" si="406"/>
        <v>738.05509925583237</v>
      </c>
      <c r="K830" s="40">
        <f t="shared" si="407"/>
        <v>9.0830585185478974</v>
      </c>
      <c r="L830" s="40">
        <f t="shared" si="391"/>
        <v>0</v>
      </c>
      <c r="M830" s="10">
        <f t="shared" si="408"/>
        <v>4.9230731172182933</v>
      </c>
      <c r="N830" s="10">
        <f t="shared" si="387"/>
        <v>8.26</v>
      </c>
      <c r="O830" s="10">
        <f t="shared" si="388"/>
        <v>0.31900000000000001</v>
      </c>
      <c r="P830" s="10">
        <f t="shared" si="409"/>
        <v>13.734201744164032</v>
      </c>
      <c r="Q830" s="42">
        <f t="shared" si="410"/>
        <v>0.38789802188401667</v>
      </c>
      <c r="R830" s="4">
        <f t="shared" si="411"/>
        <v>3788.2932310892115</v>
      </c>
      <c r="S830">
        <f t="shared" si="392"/>
        <v>3.7882932310892115E-6</v>
      </c>
      <c r="T830" s="41">
        <f t="shared" si="393"/>
        <v>1.7601607881079462E-4</v>
      </c>
      <c r="U830" s="42">
        <f t="shared" si="412"/>
        <v>6.7982816178511441E-3</v>
      </c>
      <c r="V830" s="42">
        <f t="shared" si="413"/>
        <v>0.44031819248781595</v>
      </c>
      <c r="W830" s="42">
        <f t="shared" si="414"/>
        <v>0.43771350738350523</v>
      </c>
      <c r="X830" s="42">
        <f t="shared" si="415"/>
        <v>2.6046851043107222E-3</v>
      </c>
      <c r="Y830" s="42">
        <f t="shared" si="389"/>
        <v>2.62479683256774E-3</v>
      </c>
      <c r="Z830" s="10">
        <f t="shared" si="416"/>
        <v>14.912256029684761</v>
      </c>
      <c r="AA830">
        <f t="shared" si="394"/>
        <v>4922135.9232443059</v>
      </c>
      <c r="AB830" s="10">
        <f t="shared" si="395"/>
        <v>4.9221359232443058</v>
      </c>
      <c r="AC830" s="10">
        <f t="shared" si="396"/>
        <v>4.8211359232443058</v>
      </c>
      <c r="AD830" s="3">
        <f t="shared" si="397"/>
        <v>699.22203382803571</v>
      </c>
      <c r="AI830" s="94">
        <f t="shared" si="398"/>
        <v>0.43771350738350523</v>
      </c>
    </row>
    <row r="831" spans="2:35">
      <c r="B831" s="39">
        <f t="shared" si="399"/>
        <v>803</v>
      </c>
      <c r="C831" s="42">
        <f t="shared" si="400"/>
        <v>5.3340767386035397</v>
      </c>
      <c r="D831" s="10">
        <f t="shared" si="401"/>
        <v>0.20592326139574801</v>
      </c>
      <c r="E831" s="40">
        <f t="shared" si="402"/>
        <v>30.668153477208502</v>
      </c>
      <c r="F831" s="40">
        <f t="shared" si="403"/>
        <v>31.08</v>
      </c>
      <c r="G831" s="3">
        <f t="shared" si="404"/>
        <v>183.72738609117741</v>
      </c>
      <c r="H831" s="3">
        <f t="shared" si="405"/>
        <v>81.256230789298584</v>
      </c>
      <c r="I831">
        <f t="shared" si="390"/>
        <v>8.1256230789298584E-5</v>
      </c>
      <c r="J831" s="4">
        <f t="shared" si="406"/>
        <v>738.69496246069696</v>
      </c>
      <c r="K831" s="40">
        <f t="shared" si="407"/>
        <v>9.0909331541130598</v>
      </c>
      <c r="L831" s="40">
        <f t="shared" si="391"/>
        <v>0</v>
      </c>
      <c r="M831" s="10">
        <f t="shared" si="408"/>
        <v>4.9221359232443058</v>
      </c>
      <c r="N831" s="10">
        <f t="shared" si="387"/>
        <v>8.26</v>
      </c>
      <c r="O831" s="10">
        <f t="shared" si="388"/>
        <v>0.31900000000000001</v>
      </c>
      <c r="P831" s="10">
        <f t="shared" si="409"/>
        <v>13.733367649274527</v>
      </c>
      <c r="Q831" s="42">
        <f t="shared" si="410"/>
        <v>0.38838171139273397</v>
      </c>
      <c r="R831" s="4">
        <f t="shared" si="411"/>
        <v>3669.6374242444658</v>
      </c>
      <c r="S831">
        <f t="shared" si="392"/>
        <v>3.6696374242444658E-6</v>
      </c>
      <c r="T831" s="41">
        <f t="shared" si="393"/>
        <v>1.7613473461763936E-4</v>
      </c>
      <c r="U831" s="42">
        <f t="shared" si="412"/>
        <v>6.5853478396779054E-3</v>
      </c>
      <c r="V831" s="42">
        <f t="shared" si="413"/>
        <v>0.44022823388896637</v>
      </c>
      <c r="W831" s="42">
        <f t="shared" si="414"/>
        <v>0.4376284355790177</v>
      </c>
      <c r="X831" s="42">
        <f t="shared" si="415"/>
        <v>2.5997983099486643E-3</v>
      </c>
      <c r="Y831" s="42">
        <f t="shared" si="389"/>
        <v>2.6260543277350432E-3</v>
      </c>
      <c r="Z831" s="10">
        <f t="shared" si="416"/>
        <v>14.909349558085697</v>
      </c>
      <c r="AA831">
        <f t="shared" si="394"/>
        <v>4921196.2602846408</v>
      </c>
      <c r="AB831" s="10">
        <f t="shared" si="395"/>
        <v>4.9211962602846411</v>
      </c>
      <c r="AC831" s="10">
        <f t="shared" si="396"/>
        <v>4.8201962602846411</v>
      </c>
      <c r="AD831" s="3">
        <f t="shared" si="397"/>
        <v>699.08575203548094</v>
      </c>
      <c r="AI831" s="94">
        <f t="shared" si="398"/>
        <v>0.4376284355790177</v>
      </c>
    </row>
    <row r="832" spans="2:35">
      <c r="B832" s="39">
        <f t="shared" si="399"/>
        <v>804</v>
      </c>
      <c r="C832" s="42">
        <f t="shared" si="400"/>
        <v>5.3407194244548517</v>
      </c>
      <c r="D832" s="10">
        <f t="shared" si="401"/>
        <v>0.19928057554443512</v>
      </c>
      <c r="E832" s="40">
        <f t="shared" si="402"/>
        <v>30.681438848911128</v>
      </c>
      <c r="F832" s="40">
        <f t="shared" si="403"/>
        <v>31.08</v>
      </c>
      <c r="G832" s="3">
        <f t="shared" si="404"/>
        <v>183.67424460436692</v>
      </c>
      <c r="H832" s="3">
        <f t="shared" si="405"/>
        <v>81.256230789298584</v>
      </c>
      <c r="I832">
        <f t="shared" si="390"/>
        <v>8.1256230789298584E-5</v>
      </c>
      <c r="J832" s="4">
        <f t="shared" si="406"/>
        <v>739.33510291284313</v>
      </c>
      <c r="K832" s="40">
        <f t="shared" si="407"/>
        <v>9.098811201690804</v>
      </c>
      <c r="L832" s="40">
        <f t="shared" si="391"/>
        <v>0</v>
      </c>
      <c r="M832" s="10">
        <f t="shared" si="408"/>
        <v>4.9211962602846411</v>
      </c>
      <c r="N832" s="10">
        <f t="shared" si="387"/>
        <v>8.26</v>
      </c>
      <c r="O832" s="10">
        <f t="shared" si="388"/>
        <v>0.31900000000000001</v>
      </c>
      <c r="P832" s="10">
        <f t="shared" si="409"/>
        <v>13.732531248420377</v>
      </c>
      <c r="Q832" s="42">
        <f t="shared" si="410"/>
        <v>0.38886543036130183</v>
      </c>
      <c r="R832" s="4">
        <f t="shared" si="411"/>
        <v>3550.9987007788463</v>
      </c>
      <c r="S832">
        <f t="shared" si="392"/>
        <v>3.5509987007788463E-6</v>
      </c>
      <c r="T832" s="41">
        <f t="shared" si="393"/>
        <v>1.7625337334110499E-4</v>
      </c>
      <c r="U832" s="42">
        <f t="shared" si="412"/>
        <v>6.3724447184826784E-3</v>
      </c>
      <c r="V832" s="42">
        <f t="shared" si="413"/>
        <v>0.44013804508342269</v>
      </c>
      <c r="W832" s="42">
        <f t="shared" si="414"/>
        <v>0.43754313965756747</v>
      </c>
      <c r="X832" s="42">
        <f t="shared" si="415"/>
        <v>2.5949054258552207E-3</v>
      </c>
      <c r="Y832" s="42">
        <f t="shared" si="389"/>
        <v>2.627309532711169E-3</v>
      </c>
      <c r="Z832" s="10">
        <f t="shared" si="416"/>
        <v>14.906435450892106</v>
      </c>
      <c r="AA832">
        <f t="shared" si="394"/>
        <v>4920254.1287354482</v>
      </c>
      <c r="AB832" s="10">
        <f t="shared" si="395"/>
        <v>4.920254128735448</v>
      </c>
      <c r="AC832" s="10">
        <f t="shared" si="396"/>
        <v>4.819254128735448</v>
      </c>
      <c r="AD832" s="3">
        <f t="shared" si="397"/>
        <v>698.94911221688881</v>
      </c>
      <c r="AI832" s="94">
        <f t="shared" si="398"/>
        <v>0.43754313965756747</v>
      </c>
    </row>
    <row r="833" spans="2:35">
      <c r="B833" s="39">
        <f t="shared" si="399"/>
        <v>805</v>
      </c>
      <c r="C833" s="42">
        <f t="shared" si="400"/>
        <v>5.3473621103061637</v>
      </c>
      <c r="D833" s="10">
        <f t="shared" si="401"/>
        <v>0.19263788969312223</v>
      </c>
      <c r="E833" s="40">
        <f t="shared" si="402"/>
        <v>30.694724220613754</v>
      </c>
      <c r="F833" s="40">
        <f t="shared" si="403"/>
        <v>31.08</v>
      </c>
      <c r="G833" s="3">
        <f t="shared" si="404"/>
        <v>183.62110311755643</v>
      </c>
      <c r="H833" s="3">
        <f t="shared" si="405"/>
        <v>81.256230789298584</v>
      </c>
      <c r="I833">
        <f t="shared" si="390"/>
        <v>8.1256230789298584E-5</v>
      </c>
      <c r="J833" s="4">
        <f t="shared" si="406"/>
        <v>739.97552061227077</v>
      </c>
      <c r="K833" s="40">
        <f t="shared" si="407"/>
        <v>9.1066926612811248</v>
      </c>
      <c r="L833" s="40">
        <f t="shared" si="391"/>
        <v>0</v>
      </c>
      <c r="M833" s="10">
        <f t="shared" si="408"/>
        <v>4.920254128735448</v>
      </c>
      <c r="N833" s="10">
        <f t="shared" si="387"/>
        <v>8.26</v>
      </c>
      <c r="O833" s="10">
        <f t="shared" si="388"/>
        <v>0.31900000000000001</v>
      </c>
      <c r="P833" s="10">
        <f t="shared" si="409"/>
        <v>13.731692541062147</v>
      </c>
      <c r="Q833" s="42">
        <f t="shared" si="410"/>
        <v>0.38934917887456399</v>
      </c>
      <c r="R833" s="4">
        <f t="shared" si="411"/>
        <v>3432.3771048923354</v>
      </c>
      <c r="S833">
        <f t="shared" si="392"/>
        <v>3.4323771048923356E-6</v>
      </c>
      <c r="T833" s="41">
        <f t="shared" si="393"/>
        <v>1.763719949369915E-4</v>
      </c>
      <c r="U833" s="42">
        <f t="shared" si="412"/>
        <v>6.1595723335845405E-3</v>
      </c>
      <c r="V833" s="42">
        <f t="shared" si="413"/>
        <v>0.44004762611595777</v>
      </c>
      <c r="W833" s="42">
        <f t="shared" si="414"/>
        <v>0.43745761965511432</v>
      </c>
      <c r="X833" s="42">
        <f t="shared" si="415"/>
        <v>2.5900064608434525E-3</v>
      </c>
      <c r="Y833" s="42">
        <f t="shared" si="389"/>
        <v>2.6285624444859412E-3</v>
      </c>
      <c r="Z833" s="10">
        <f t="shared" si="416"/>
        <v>14.903513709333442</v>
      </c>
      <c r="AA833">
        <f t="shared" si="394"/>
        <v>4919309.5289942101</v>
      </c>
      <c r="AB833" s="10">
        <f t="shared" si="395"/>
        <v>4.9193095289942104</v>
      </c>
      <c r="AC833" s="10">
        <f t="shared" si="396"/>
        <v>4.8183095289942104</v>
      </c>
      <c r="AD833" s="3">
        <f t="shared" si="397"/>
        <v>698.81211442990718</v>
      </c>
      <c r="AI833" s="94">
        <f t="shared" si="398"/>
        <v>0.43745761965511432</v>
      </c>
    </row>
    <row r="834" spans="2:35">
      <c r="B834" s="39">
        <f t="shared" si="399"/>
        <v>806</v>
      </c>
      <c r="C834" s="42">
        <f t="shared" si="400"/>
        <v>5.3540047961574757</v>
      </c>
      <c r="D834" s="10">
        <f t="shared" si="401"/>
        <v>0.18599520384180934</v>
      </c>
      <c r="E834" s="40">
        <f t="shared" si="402"/>
        <v>30.70800959231638</v>
      </c>
      <c r="F834" s="40">
        <f t="shared" si="403"/>
        <v>31.08</v>
      </c>
      <c r="G834" s="3">
        <f t="shared" si="404"/>
        <v>183.56796163074594</v>
      </c>
      <c r="H834" s="3">
        <f t="shared" si="405"/>
        <v>81.256230789298584</v>
      </c>
      <c r="I834">
        <f t="shared" si="390"/>
        <v>8.1256230789298584E-5</v>
      </c>
      <c r="J834" s="4">
        <f t="shared" si="406"/>
        <v>740.61621555897989</v>
      </c>
      <c r="K834" s="40">
        <f t="shared" si="407"/>
        <v>9.1145775328840237</v>
      </c>
      <c r="L834" s="40">
        <f t="shared" si="391"/>
        <v>0</v>
      </c>
      <c r="M834" s="10">
        <f t="shared" si="408"/>
        <v>4.9193095289942104</v>
      </c>
      <c r="N834" s="10">
        <f t="shared" si="387"/>
        <v>8.26</v>
      </c>
      <c r="O834" s="10">
        <f t="shared" si="388"/>
        <v>0.31900000000000001</v>
      </c>
      <c r="P834" s="10">
        <f t="shared" si="409"/>
        <v>13.730851526658958</v>
      </c>
      <c r="Q834" s="42">
        <f t="shared" si="410"/>
        <v>0.38983295701741372</v>
      </c>
      <c r="R834" s="4">
        <f t="shared" si="411"/>
        <v>3313.7726807849463</v>
      </c>
      <c r="S834">
        <f t="shared" si="392"/>
        <v>3.3137726807849462E-6</v>
      </c>
      <c r="T834" s="41">
        <f t="shared" si="393"/>
        <v>1.7649059936109888E-4</v>
      </c>
      <c r="U834" s="42">
        <f t="shared" si="412"/>
        <v>5.9467307643026254E-3</v>
      </c>
      <c r="V834" s="42">
        <f t="shared" si="413"/>
        <v>0.43995697703116532</v>
      </c>
      <c r="W834" s="42">
        <f t="shared" si="414"/>
        <v>0.43737187560773882</v>
      </c>
      <c r="X834" s="42">
        <f t="shared" si="415"/>
        <v>2.5851014234264946E-3</v>
      </c>
      <c r="Y834" s="42">
        <f t="shared" si="389"/>
        <v>2.6298130600516446E-3</v>
      </c>
      <c r="Z834" s="10">
        <f t="shared" si="416"/>
        <v>14.900584334642438</v>
      </c>
      <c r="AA834">
        <f t="shared" si="394"/>
        <v>4918362.46145947</v>
      </c>
      <c r="AB834" s="10">
        <f t="shared" si="395"/>
        <v>4.9183624614594699</v>
      </c>
      <c r="AC834" s="10">
        <f t="shared" si="396"/>
        <v>4.8173624614594699</v>
      </c>
      <c r="AD834" s="3">
        <f t="shared" si="397"/>
        <v>698.67475873233798</v>
      </c>
      <c r="AI834" s="94">
        <f t="shared" si="398"/>
        <v>0.43737187560773882</v>
      </c>
    </row>
    <row r="835" spans="2:35">
      <c r="B835" s="39">
        <f t="shared" si="399"/>
        <v>807</v>
      </c>
      <c r="C835" s="42">
        <f t="shared" si="400"/>
        <v>5.3606474820087877</v>
      </c>
      <c r="D835" s="10">
        <f t="shared" si="401"/>
        <v>0.17935251799049645</v>
      </c>
      <c r="E835" s="40">
        <f t="shared" si="402"/>
        <v>30.721294964019005</v>
      </c>
      <c r="F835" s="40">
        <f t="shared" si="403"/>
        <v>31.08</v>
      </c>
      <c r="G835" s="3">
        <f t="shared" si="404"/>
        <v>183.51482014393545</v>
      </c>
      <c r="H835" s="3">
        <f t="shared" si="405"/>
        <v>81.256230789298584</v>
      </c>
      <c r="I835">
        <f t="shared" si="390"/>
        <v>8.1256230789298584E-5</v>
      </c>
      <c r="J835" s="4">
        <f t="shared" si="406"/>
        <v>741.25718775297082</v>
      </c>
      <c r="K835" s="40">
        <f t="shared" si="407"/>
        <v>9.1224658164995045</v>
      </c>
      <c r="L835" s="40">
        <f t="shared" si="391"/>
        <v>0</v>
      </c>
      <c r="M835" s="10">
        <f t="shared" si="408"/>
        <v>4.9183624614594699</v>
      </c>
      <c r="N835" s="10">
        <f t="shared" si="387"/>
        <v>8.26</v>
      </c>
      <c r="O835" s="10">
        <f t="shared" si="388"/>
        <v>0.31900000000000001</v>
      </c>
      <c r="P835" s="10">
        <f t="shared" si="409"/>
        <v>13.730008204668231</v>
      </c>
      <c r="Q835" s="42">
        <f t="shared" si="410"/>
        <v>0.39031676487479383</v>
      </c>
      <c r="R835" s="4">
        <f t="shared" si="411"/>
        <v>3195.1854726566453</v>
      </c>
      <c r="S835">
        <f t="shared" si="392"/>
        <v>3.1951854726566451E-6</v>
      </c>
      <c r="T835" s="41">
        <f t="shared" si="393"/>
        <v>1.7660918656922718E-4</v>
      </c>
      <c r="U835" s="42">
        <f t="shared" si="412"/>
        <v>5.7339200899559828E-3</v>
      </c>
      <c r="V835" s="42">
        <f t="shared" si="413"/>
        <v>0.4398660978741471</v>
      </c>
      <c r="W835" s="42">
        <f t="shared" si="414"/>
        <v>0.43728590755161795</v>
      </c>
      <c r="X835" s="42">
        <f t="shared" si="415"/>
        <v>2.5801903225291523E-3</v>
      </c>
      <c r="Y835" s="42">
        <f t="shared" si="389"/>
        <v>2.6310613764032203E-3</v>
      </c>
      <c r="Z835" s="10">
        <f t="shared" si="416"/>
        <v>14.897647328056166</v>
      </c>
      <c r="AA835">
        <f t="shared" si="394"/>
        <v>4917412.9265311742</v>
      </c>
      <c r="AB835" s="10">
        <f t="shared" si="395"/>
        <v>4.9174129265311741</v>
      </c>
      <c r="AC835" s="10">
        <f t="shared" si="396"/>
        <v>4.8164129265311741</v>
      </c>
      <c r="AD835" s="3">
        <f t="shared" si="397"/>
        <v>698.53704518218626</v>
      </c>
      <c r="AI835" s="94">
        <f t="shared" si="398"/>
        <v>0.43728590755161795</v>
      </c>
    </row>
    <row r="836" spans="2:35">
      <c r="B836" s="39">
        <f t="shared" si="399"/>
        <v>808</v>
      </c>
      <c r="C836" s="42">
        <f t="shared" si="400"/>
        <v>5.3672901678600997</v>
      </c>
      <c r="D836" s="10">
        <f t="shared" si="401"/>
        <v>0.17270983213918356</v>
      </c>
      <c r="E836" s="40">
        <f t="shared" si="402"/>
        <v>30.734580335721631</v>
      </c>
      <c r="F836" s="40">
        <f t="shared" si="403"/>
        <v>31.08</v>
      </c>
      <c r="G836" s="3">
        <f t="shared" si="404"/>
        <v>183.46167865712496</v>
      </c>
      <c r="H836" s="3">
        <f t="shared" si="405"/>
        <v>81.256230789298584</v>
      </c>
      <c r="I836">
        <f t="shared" si="390"/>
        <v>8.1256230789298584E-5</v>
      </c>
      <c r="J836" s="4">
        <f t="shared" si="406"/>
        <v>741.89843719424312</v>
      </c>
      <c r="K836" s="40">
        <f t="shared" si="407"/>
        <v>9.13035751212756</v>
      </c>
      <c r="L836" s="40">
        <f t="shared" si="391"/>
        <v>0</v>
      </c>
      <c r="M836" s="10">
        <f t="shared" si="408"/>
        <v>4.9174129265311741</v>
      </c>
      <c r="N836" s="10">
        <f t="shared" si="387"/>
        <v>8.26</v>
      </c>
      <c r="O836" s="10">
        <f t="shared" si="388"/>
        <v>0.31900000000000001</v>
      </c>
      <c r="P836" s="10">
        <f t="shared" si="409"/>
        <v>13.729162574545992</v>
      </c>
      <c r="Q836" s="42">
        <f t="shared" si="410"/>
        <v>0.39080060253169707</v>
      </c>
      <c r="R836" s="4">
        <f t="shared" si="411"/>
        <v>3076.6155247074635</v>
      </c>
      <c r="S836">
        <f t="shared" si="392"/>
        <v>3.0766155247074634E-6</v>
      </c>
      <c r="T836" s="41">
        <f t="shared" si="393"/>
        <v>1.7672775651717638E-4</v>
      </c>
      <c r="U836" s="42">
        <f t="shared" si="412"/>
        <v>5.5211403898637783E-3</v>
      </c>
      <c r="V836" s="42">
        <f t="shared" si="413"/>
        <v>0.43977498868955672</v>
      </c>
      <c r="W836" s="42">
        <f t="shared" si="414"/>
        <v>0.43719971552305587</v>
      </c>
      <c r="X836" s="42">
        <f t="shared" si="415"/>
        <v>2.5752731665008577E-3</v>
      </c>
      <c r="Y836" s="42">
        <f t="shared" si="389"/>
        <v>2.632307390537986E-3</v>
      </c>
      <c r="Z836" s="10">
        <f t="shared" si="416"/>
        <v>14.894702690814439</v>
      </c>
      <c r="AA836">
        <f t="shared" si="394"/>
        <v>4916460.9246101538</v>
      </c>
      <c r="AB836" s="10">
        <f t="shared" si="395"/>
        <v>4.9164609246101536</v>
      </c>
      <c r="AC836" s="10">
        <f t="shared" si="396"/>
        <v>4.8154609246101536</v>
      </c>
      <c r="AD836" s="3">
        <f t="shared" si="397"/>
        <v>698.3989738375858</v>
      </c>
      <c r="AI836" s="94">
        <f t="shared" si="398"/>
        <v>0.43719971552305587</v>
      </c>
    </row>
    <row r="837" spans="2:35">
      <c r="B837" s="39">
        <f t="shared" si="399"/>
        <v>809</v>
      </c>
      <c r="C837" s="42">
        <f t="shared" si="400"/>
        <v>5.3739328537114117</v>
      </c>
      <c r="D837" s="10">
        <f t="shared" si="401"/>
        <v>0.16606714628787067</v>
      </c>
      <c r="E837" s="40">
        <f t="shared" si="402"/>
        <v>30.747865707424257</v>
      </c>
      <c r="F837" s="40">
        <f t="shared" si="403"/>
        <v>31.08</v>
      </c>
      <c r="G837" s="3">
        <f t="shared" si="404"/>
        <v>183.40853717031447</v>
      </c>
      <c r="H837" s="3">
        <f t="shared" si="405"/>
        <v>81.256230789298584</v>
      </c>
      <c r="I837">
        <f t="shared" si="390"/>
        <v>8.1256230789298584E-5</v>
      </c>
      <c r="J837" s="4">
        <f t="shared" si="406"/>
        <v>742.539963882797</v>
      </c>
      <c r="K837" s="40">
        <f t="shared" si="407"/>
        <v>9.1382526197681972</v>
      </c>
      <c r="L837" s="40">
        <f t="shared" si="391"/>
        <v>0</v>
      </c>
      <c r="M837" s="10">
        <f t="shared" si="408"/>
        <v>4.9164609246101536</v>
      </c>
      <c r="N837" s="10">
        <f t="shared" si="387"/>
        <v>8.26</v>
      </c>
      <c r="O837" s="10">
        <f t="shared" si="388"/>
        <v>0.31900000000000001</v>
      </c>
      <c r="P837" s="10">
        <f t="shared" si="409"/>
        <v>13.728314635746415</v>
      </c>
      <c r="Q837" s="42">
        <f t="shared" si="410"/>
        <v>0.39128447007316614</v>
      </c>
      <c r="R837" s="4">
        <f t="shared" si="411"/>
        <v>2958.0628811373986</v>
      </c>
      <c r="S837">
        <f t="shared" si="392"/>
        <v>2.9580628811373985E-6</v>
      </c>
      <c r="T837" s="41">
        <f t="shared" si="393"/>
        <v>1.7684630916074644E-4</v>
      </c>
      <c r="U837" s="42">
        <f t="shared" si="412"/>
        <v>5.3083917433451181E-3</v>
      </c>
      <c r="V837" s="42">
        <f t="shared" si="413"/>
        <v>0.43968364952263023</v>
      </c>
      <c r="W837" s="42">
        <f t="shared" si="414"/>
        <v>0.43711329955843731</v>
      </c>
      <c r="X837" s="42">
        <f t="shared" si="415"/>
        <v>2.5703499641929195E-3</v>
      </c>
      <c r="Y837" s="42">
        <f t="shared" si="389"/>
        <v>2.633551099455875E-3</v>
      </c>
      <c r="Z837" s="10">
        <f t="shared" si="416"/>
        <v>14.891750424161124</v>
      </c>
      <c r="AA837">
        <f t="shared" si="394"/>
        <v>4915506.4560985509</v>
      </c>
      <c r="AB837" s="10">
        <f t="shared" si="395"/>
        <v>4.9155064560985506</v>
      </c>
      <c r="AC837" s="10">
        <f t="shared" si="396"/>
        <v>4.8145064560985507</v>
      </c>
      <c r="AD837" s="3">
        <f t="shared" si="397"/>
        <v>698.26054475686021</v>
      </c>
      <c r="AI837" s="94">
        <f t="shared" si="398"/>
        <v>0.43711329955843731</v>
      </c>
    </row>
    <row r="838" spans="2:35">
      <c r="B838" s="39">
        <f t="shared" si="399"/>
        <v>810</v>
      </c>
      <c r="C838" s="42">
        <f t="shared" si="400"/>
        <v>5.3805755395627237</v>
      </c>
      <c r="D838" s="10">
        <f t="shared" si="401"/>
        <v>0.15942446043655778</v>
      </c>
      <c r="E838" s="40">
        <f t="shared" si="402"/>
        <v>30.761151079126883</v>
      </c>
      <c r="F838" s="40">
        <f t="shared" si="403"/>
        <v>31.08</v>
      </c>
      <c r="G838" s="3">
        <f t="shared" si="404"/>
        <v>183.35539568350399</v>
      </c>
      <c r="H838" s="3">
        <f t="shared" si="405"/>
        <v>81.256230789298584</v>
      </c>
      <c r="I838">
        <f t="shared" si="390"/>
        <v>8.1256230789298584E-5</v>
      </c>
      <c r="J838" s="4">
        <f t="shared" si="406"/>
        <v>743.18176781863247</v>
      </c>
      <c r="K838" s="40">
        <f t="shared" si="407"/>
        <v>9.1461511394214128</v>
      </c>
      <c r="L838" s="40">
        <f t="shared" si="391"/>
        <v>0</v>
      </c>
      <c r="M838" s="10">
        <f t="shared" si="408"/>
        <v>4.9155064560985506</v>
      </c>
      <c r="N838" s="10">
        <f t="shared" si="387"/>
        <v>8.26</v>
      </c>
      <c r="O838" s="10">
        <f t="shared" si="388"/>
        <v>0.31900000000000001</v>
      </c>
      <c r="P838" s="10">
        <f t="shared" si="409"/>
        <v>13.727464387722192</v>
      </c>
      <c r="Q838" s="42">
        <f t="shared" si="410"/>
        <v>0.39176836758429379</v>
      </c>
      <c r="R838" s="4">
        <f t="shared" si="411"/>
        <v>2839.5275861464161</v>
      </c>
      <c r="S838">
        <f t="shared" si="392"/>
        <v>2.839527586146416E-6</v>
      </c>
      <c r="T838" s="41">
        <f t="shared" si="393"/>
        <v>1.7696484445573743E-4</v>
      </c>
      <c r="U838" s="42">
        <f t="shared" si="412"/>
        <v>5.0956742297190508E-3</v>
      </c>
      <c r="V838" s="42">
        <f t="shared" si="413"/>
        <v>0.43959208041876641</v>
      </c>
      <c r="W838" s="42">
        <f t="shared" si="414"/>
        <v>0.4370266596942658</v>
      </c>
      <c r="X838" s="42">
        <f t="shared" si="415"/>
        <v>2.5654207245006111E-3</v>
      </c>
      <c r="Y838" s="42">
        <f t="shared" si="389"/>
        <v>2.6347925001594563E-3</v>
      </c>
      <c r="Z838" s="10">
        <f t="shared" si="416"/>
        <v>14.88879052934422</v>
      </c>
      <c r="AA838">
        <f t="shared" si="394"/>
        <v>4914549.5213998444</v>
      </c>
      <c r="AB838" s="10">
        <f t="shared" si="395"/>
        <v>4.9145495213998442</v>
      </c>
      <c r="AC838" s="10">
        <f t="shared" si="396"/>
        <v>4.8135495213998443</v>
      </c>
      <c r="AD838" s="3">
        <f t="shared" si="397"/>
        <v>698.12175799852707</v>
      </c>
      <c r="AI838" s="94">
        <f t="shared" si="398"/>
        <v>0.4370266596942658</v>
      </c>
    </row>
    <row r="839" spans="2:35">
      <c r="B839" s="39">
        <f t="shared" si="399"/>
        <v>811</v>
      </c>
      <c r="C839" s="42">
        <f t="shared" si="400"/>
        <v>5.3872182254140357</v>
      </c>
      <c r="D839" s="10">
        <f t="shared" si="401"/>
        <v>0.15278177458524489</v>
      </c>
      <c r="E839" s="40">
        <f t="shared" si="402"/>
        <v>30.774436450829509</v>
      </c>
      <c r="F839" s="40">
        <f t="shared" si="403"/>
        <v>31.08</v>
      </c>
      <c r="G839" s="3">
        <f t="shared" si="404"/>
        <v>183.3022541966935</v>
      </c>
      <c r="H839" s="3">
        <f t="shared" si="405"/>
        <v>81.256230789298584</v>
      </c>
      <c r="I839">
        <f t="shared" si="390"/>
        <v>8.1256230789298584E-5</v>
      </c>
      <c r="J839" s="4">
        <f t="shared" si="406"/>
        <v>743.82384900174952</v>
      </c>
      <c r="K839" s="40">
        <f t="shared" si="407"/>
        <v>9.1540530710872066</v>
      </c>
      <c r="L839" s="40">
        <f t="shared" si="391"/>
        <v>0</v>
      </c>
      <c r="M839" s="10">
        <f t="shared" si="408"/>
        <v>4.9145495213998442</v>
      </c>
      <c r="N839" s="10">
        <f t="shared" si="387"/>
        <v>8.26</v>
      </c>
      <c r="O839" s="10">
        <f t="shared" si="388"/>
        <v>0.31900000000000001</v>
      </c>
      <c r="P839" s="10">
        <f t="shared" si="409"/>
        <v>13.726611829924559</v>
      </c>
      <c r="Q839" s="42">
        <f t="shared" si="410"/>
        <v>0.39225229515022308</v>
      </c>
      <c r="R839" s="4">
        <f t="shared" si="411"/>
        <v>2721.0096839345479</v>
      </c>
      <c r="S839">
        <f t="shared" si="392"/>
        <v>2.7210096839345479E-6</v>
      </c>
      <c r="T839" s="41">
        <f t="shared" si="393"/>
        <v>1.7708336235794928E-4</v>
      </c>
      <c r="U839" s="42">
        <f t="shared" si="412"/>
        <v>4.8829879283047422E-3</v>
      </c>
      <c r="V839" s="42">
        <f t="shared" si="413"/>
        <v>0.43950028142307124</v>
      </c>
      <c r="W839" s="42">
        <f t="shared" si="414"/>
        <v>0.43693979596716637</v>
      </c>
      <c r="X839" s="42">
        <f t="shared" si="415"/>
        <v>2.5604854559048706E-3</v>
      </c>
      <c r="Y839" s="42">
        <f t="shared" si="389"/>
        <v>2.6360315896537295E-3</v>
      </c>
      <c r="Z839" s="10">
        <f t="shared" si="416"/>
        <v>14.885823007614684</v>
      </c>
      <c r="AA839">
        <f t="shared" si="394"/>
        <v>4913590.1209184686</v>
      </c>
      <c r="AB839" s="10">
        <f t="shared" si="395"/>
        <v>4.9135901209184683</v>
      </c>
      <c r="AC839" s="10">
        <f t="shared" si="396"/>
        <v>4.8125901209184683</v>
      </c>
      <c r="AD839" s="3">
        <f t="shared" si="397"/>
        <v>697.98261362124276</v>
      </c>
      <c r="AI839" s="94">
        <f t="shared" si="398"/>
        <v>0.43693979596716637</v>
      </c>
    </row>
    <row r="840" spans="2:35">
      <c r="B840" s="39">
        <f t="shared" si="399"/>
        <v>812</v>
      </c>
      <c r="C840" s="42">
        <f t="shared" si="400"/>
        <v>5.3938609112653477</v>
      </c>
      <c r="D840" s="10">
        <f t="shared" si="401"/>
        <v>0.146139088733932</v>
      </c>
      <c r="E840" s="40">
        <f t="shared" si="402"/>
        <v>30.787721822532134</v>
      </c>
      <c r="F840" s="40">
        <f t="shared" si="403"/>
        <v>31.08</v>
      </c>
      <c r="G840" s="3">
        <f t="shared" si="404"/>
        <v>183.24911270988301</v>
      </c>
      <c r="H840" s="3">
        <f t="shared" si="405"/>
        <v>81.256230789298584</v>
      </c>
      <c r="I840">
        <f t="shared" si="390"/>
        <v>8.1256230789298584E-5</v>
      </c>
      <c r="J840" s="4">
        <f t="shared" si="406"/>
        <v>744.46620743214805</v>
      </c>
      <c r="K840" s="40">
        <f t="shared" si="407"/>
        <v>9.1619584147655786</v>
      </c>
      <c r="L840" s="40">
        <f t="shared" si="391"/>
        <v>0</v>
      </c>
      <c r="M840" s="10">
        <f t="shared" si="408"/>
        <v>4.9135901209184683</v>
      </c>
      <c r="N840" s="10">
        <f t="shared" si="387"/>
        <v>8.26</v>
      </c>
      <c r="O840" s="10">
        <f t="shared" si="388"/>
        <v>0.31900000000000001</v>
      </c>
      <c r="P840" s="10">
        <f t="shared" si="409"/>
        <v>13.725756961802951</v>
      </c>
      <c r="Q840" s="42">
        <f t="shared" si="410"/>
        <v>0.39273625285614761</v>
      </c>
      <c r="R840" s="4">
        <f t="shared" si="411"/>
        <v>2602.5092187017754</v>
      </c>
      <c r="S840">
        <f t="shared" si="392"/>
        <v>2.6025092187017755E-6</v>
      </c>
      <c r="T840" s="41">
        <f t="shared" si="393"/>
        <v>1.7720186282318206E-4</v>
      </c>
      <c r="U840" s="42">
        <f t="shared" si="412"/>
        <v>4.6703329184212706E-3</v>
      </c>
      <c r="V840" s="42">
        <f t="shared" si="413"/>
        <v>0.43940825258114186</v>
      </c>
      <c r="W840" s="42">
        <f t="shared" si="414"/>
        <v>0.43685270841385049</v>
      </c>
      <c r="X840" s="42">
        <f t="shared" si="415"/>
        <v>2.5555441672913681E-3</v>
      </c>
      <c r="Y840" s="42">
        <f t="shared" si="389"/>
        <v>2.6372683649463205E-3</v>
      </c>
      <c r="Z840" s="10">
        <f t="shared" si="416"/>
        <v>14.882847860227491</v>
      </c>
      <c r="AA840">
        <f t="shared" si="394"/>
        <v>4912628.2550601577</v>
      </c>
      <c r="AB840" s="10">
        <f t="shared" si="395"/>
        <v>4.9126282550601577</v>
      </c>
      <c r="AC840" s="10">
        <f t="shared" si="396"/>
        <v>4.8116282550601577</v>
      </c>
      <c r="AD840" s="3">
        <f t="shared" si="397"/>
        <v>697.8431116838517</v>
      </c>
      <c r="AI840" s="94">
        <f t="shared" si="398"/>
        <v>0.43685270841385049</v>
      </c>
    </row>
    <row r="841" spans="2:35">
      <c r="B841" s="39">
        <f t="shared" si="399"/>
        <v>813</v>
      </c>
      <c r="C841" s="42">
        <f t="shared" si="400"/>
        <v>5.4005035971166597</v>
      </c>
      <c r="D841" s="10">
        <f t="shared" si="401"/>
        <v>0.13949640288261911</v>
      </c>
      <c r="E841" s="40">
        <f t="shared" si="402"/>
        <v>30.80100719423476</v>
      </c>
      <c r="F841" s="40">
        <f t="shared" si="403"/>
        <v>31.08</v>
      </c>
      <c r="G841" s="3">
        <f t="shared" si="404"/>
        <v>183.19597122307252</v>
      </c>
      <c r="H841" s="3">
        <f t="shared" si="405"/>
        <v>81.256230789298584</v>
      </c>
      <c r="I841">
        <f t="shared" si="390"/>
        <v>8.1256230789298584E-5</v>
      </c>
      <c r="J841" s="4">
        <f t="shared" si="406"/>
        <v>745.10884310982817</v>
      </c>
      <c r="K841" s="40">
        <f t="shared" si="407"/>
        <v>9.1698671704565307</v>
      </c>
      <c r="L841" s="40">
        <f t="shared" si="391"/>
        <v>0</v>
      </c>
      <c r="M841" s="10">
        <f t="shared" si="408"/>
        <v>4.9126282550601577</v>
      </c>
      <c r="N841" s="10">
        <f t="shared" si="387"/>
        <v>8.26</v>
      </c>
      <c r="O841" s="10">
        <f t="shared" si="388"/>
        <v>0.31900000000000001</v>
      </c>
      <c r="P841" s="10">
        <f t="shared" si="409"/>
        <v>13.724899782805311</v>
      </c>
      <c r="Q841" s="42">
        <f t="shared" si="410"/>
        <v>0.39322024078731155</v>
      </c>
      <c r="R841" s="4">
        <f t="shared" si="411"/>
        <v>2484.0262346481131</v>
      </c>
      <c r="S841">
        <f t="shared" si="392"/>
        <v>2.4840262346481131E-6</v>
      </c>
      <c r="T841" s="41">
        <f t="shared" si="393"/>
        <v>1.7732034580723573E-4</v>
      </c>
      <c r="U841" s="42">
        <f t="shared" si="412"/>
        <v>4.4577092793877705E-3</v>
      </c>
      <c r="V841" s="42">
        <f t="shared" si="413"/>
        <v>0.43931599393844672</v>
      </c>
      <c r="W841" s="42">
        <f t="shared" si="414"/>
        <v>0.43676539707114814</v>
      </c>
      <c r="X841" s="42">
        <f t="shared" si="415"/>
        <v>2.5505968672985824E-3</v>
      </c>
      <c r="Y841" s="42">
        <f t="shared" si="389"/>
        <v>2.6385028230473577E-3</v>
      </c>
      <c r="Z841" s="10">
        <f t="shared" si="416"/>
        <v>14.879865088440917</v>
      </c>
      <c r="AA841">
        <f t="shared" si="394"/>
        <v>4911663.9242317127</v>
      </c>
      <c r="AB841" s="10">
        <f t="shared" si="395"/>
        <v>4.9116639242317124</v>
      </c>
      <c r="AC841" s="10">
        <f t="shared" si="396"/>
        <v>4.8106639242317124</v>
      </c>
      <c r="AD841" s="3">
        <f t="shared" si="397"/>
        <v>697.7032522453535</v>
      </c>
      <c r="AI841" s="94">
        <f t="shared" si="398"/>
        <v>0.43676539707114814</v>
      </c>
    </row>
    <row r="842" spans="2:35">
      <c r="B842" s="39">
        <f t="shared" si="399"/>
        <v>814</v>
      </c>
      <c r="C842" s="42">
        <f t="shared" si="400"/>
        <v>5.4071462829679717</v>
      </c>
      <c r="D842" s="10">
        <f t="shared" si="401"/>
        <v>0.13285371703130622</v>
      </c>
      <c r="E842" s="40">
        <f t="shared" si="402"/>
        <v>30.814292565937386</v>
      </c>
      <c r="F842" s="40">
        <f t="shared" si="403"/>
        <v>31.08</v>
      </c>
      <c r="G842" s="3">
        <f t="shared" si="404"/>
        <v>183.14282973626203</v>
      </c>
      <c r="H842" s="3">
        <f t="shared" si="405"/>
        <v>81.256230789298584</v>
      </c>
      <c r="I842">
        <f t="shared" si="390"/>
        <v>8.1256230789298584E-5</v>
      </c>
      <c r="J842" s="4">
        <f t="shared" si="406"/>
        <v>745.75175603478988</v>
      </c>
      <c r="K842" s="40">
        <f t="shared" si="407"/>
        <v>9.177779338160061</v>
      </c>
      <c r="L842" s="40">
        <f t="shared" si="391"/>
        <v>0</v>
      </c>
      <c r="M842" s="10">
        <f t="shared" si="408"/>
        <v>4.9116639242317124</v>
      </c>
      <c r="N842" s="10">
        <f t="shared" si="387"/>
        <v>8.26</v>
      </c>
      <c r="O842" s="10">
        <f t="shared" si="388"/>
        <v>0.31900000000000001</v>
      </c>
      <c r="P842" s="10">
        <f t="shared" si="409"/>
        <v>13.72404029237787</v>
      </c>
      <c r="Q842" s="42">
        <f t="shared" si="410"/>
        <v>0.39370425902900974</v>
      </c>
      <c r="R842" s="4">
        <f t="shared" si="411"/>
        <v>2365.5607759735426</v>
      </c>
      <c r="S842">
        <f t="shared" si="392"/>
        <v>2.3655607759735428E-6</v>
      </c>
      <c r="T842" s="41">
        <f t="shared" si="393"/>
        <v>1.774388112659103E-4</v>
      </c>
      <c r="U842" s="42">
        <f t="shared" si="412"/>
        <v>4.2451170905233203E-3</v>
      </c>
      <c r="V842" s="42">
        <f t="shared" si="413"/>
        <v>0.4392235055409574</v>
      </c>
      <c r="W842" s="42">
        <f t="shared" si="414"/>
        <v>0.43667786197598557</v>
      </c>
      <c r="X842" s="42">
        <f t="shared" si="415"/>
        <v>2.5456435649718334E-3</v>
      </c>
      <c r="Y842" s="42">
        <f t="shared" si="389"/>
        <v>2.6397349609696657E-3</v>
      </c>
      <c r="Z842" s="10">
        <f t="shared" si="416"/>
        <v>14.876874693517594</v>
      </c>
      <c r="AA842">
        <f t="shared" si="394"/>
        <v>4910697.1288413433</v>
      </c>
      <c r="AB842" s="10">
        <f t="shared" si="395"/>
        <v>4.9106971288413437</v>
      </c>
      <c r="AC842" s="10">
        <f t="shared" si="396"/>
        <v>4.8096971288413437</v>
      </c>
      <c r="AD842" s="3">
        <f t="shared" si="397"/>
        <v>697.56303536495193</v>
      </c>
      <c r="AI842" s="94">
        <f t="shared" si="398"/>
        <v>0.43667786197598557</v>
      </c>
    </row>
    <row r="843" spans="2:35">
      <c r="B843" s="39">
        <f t="shared" si="399"/>
        <v>815</v>
      </c>
      <c r="C843" s="42">
        <f t="shared" si="400"/>
        <v>5.4137889688192837</v>
      </c>
      <c r="D843" s="10">
        <f t="shared" si="401"/>
        <v>0.12621103117999333</v>
      </c>
      <c r="E843" s="40">
        <f t="shared" si="402"/>
        <v>30.827577937640012</v>
      </c>
      <c r="F843" s="40">
        <f t="shared" si="403"/>
        <v>31.08</v>
      </c>
      <c r="G843" s="3">
        <f t="shared" si="404"/>
        <v>183.08968824945154</v>
      </c>
      <c r="H843" s="3">
        <f t="shared" si="405"/>
        <v>81.256230789298584</v>
      </c>
      <c r="I843">
        <f t="shared" si="390"/>
        <v>8.1256230789298584E-5</v>
      </c>
      <c r="J843" s="4">
        <f t="shared" si="406"/>
        <v>746.39494620703317</v>
      </c>
      <c r="K843" s="40">
        <f t="shared" si="407"/>
        <v>9.1856949178761695</v>
      </c>
      <c r="L843" s="40">
        <f t="shared" si="391"/>
        <v>0</v>
      </c>
      <c r="M843" s="10">
        <f t="shared" si="408"/>
        <v>4.9106971288413437</v>
      </c>
      <c r="N843" s="10">
        <f t="shared" si="387"/>
        <v>8.26</v>
      </c>
      <c r="O843" s="10">
        <f t="shared" si="388"/>
        <v>0.31900000000000001</v>
      </c>
      <c r="P843" s="10">
        <f t="shared" si="409"/>
        <v>13.723178489965463</v>
      </c>
      <c r="Q843" s="42">
        <f t="shared" si="410"/>
        <v>0.39418830766658808</v>
      </c>
      <c r="R843" s="4">
        <f t="shared" si="411"/>
        <v>2247.1128868780634</v>
      </c>
      <c r="S843">
        <f t="shared" si="392"/>
        <v>2.2471128868780636E-6</v>
      </c>
      <c r="T843" s="41">
        <f t="shared" si="393"/>
        <v>1.7755725915500576E-4</v>
      </c>
      <c r="U843" s="42">
        <f t="shared" si="412"/>
        <v>4.0325564311470283E-3</v>
      </c>
      <c r="V843" s="42">
        <f t="shared" si="413"/>
        <v>0.43913078743433348</v>
      </c>
      <c r="W843" s="42">
        <f t="shared" si="414"/>
        <v>0.43659010316541708</v>
      </c>
      <c r="X843" s="42">
        <f t="shared" si="415"/>
        <v>2.5406842689164044E-3</v>
      </c>
      <c r="Y843" s="42">
        <f t="shared" si="389"/>
        <v>2.6409647757285513E-3</v>
      </c>
      <c r="Z843" s="10">
        <f t="shared" si="416"/>
        <v>14.873876676723279</v>
      </c>
      <c r="AA843">
        <f t="shared" si="394"/>
        <v>4909727.8692982672</v>
      </c>
      <c r="AB843" s="10">
        <f t="shared" si="395"/>
        <v>4.9097278692982673</v>
      </c>
      <c r="AC843" s="10">
        <f t="shared" si="396"/>
        <v>4.8087278692982673</v>
      </c>
      <c r="AD843" s="3">
        <f t="shared" si="397"/>
        <v>697.42246110199665</v>
      </c>
      <c r="AI843" s="94">
        <f t="shared" si="398"/>
        <v>0.43659010316541708</v>
      </c>
    </row>
    <row r="844" spans="2:35">
      <c r="B844" s="39">
        <f t="shared" si="399"/>
        <v>816</v>
      </c>
      <c r="C844" s="42">
        <f t="shared" si="400"/>
        <v>5.4204316546705957</v>
      </c>
      <c r="D844" s="10">
        <f t="shared" si="401"/>
        <v>0.11956834532868044</v>
      </c>
      <c r="E844" s="40">
        <f t="shared" si="402"/>
        <v>30.840863309342637</v>
      </c>
      <c r="F844" s="40">
        <f t="shared" si="403"/>
        <v>31.08</v>
      </c>
      <c r="G844" s="3">
        <f t="shared" si="404"/>
        <v>183.03654676264105</v>
      </c>
      <c r="H844" s="3">
        <f t="shared" si="405"/>
        <v>81.256230789298584</v>
      </c>
      <c r="I844">
        <f t="shared" si="390"/>
        <v>8.1256230789298584E-5</v>
      </c>
      <c r="J844" s="4">
        <f t="shared" si="406"/>
        <v>747.03841362655794</v>
      </c>
      <c r="K844" s="40">
        <f t="shared" si="407"/>
        <v>9.1936139096048581</v>
      </c>
      <c r="L844" s="40">
        <f t="shared" si="391"/>
        <v>0</v>
      </c>
      <c r="M844" s="10">
        <f t="shared" si="408"/>
        <v>4.9097278692982673</v>
      </c>
      <c r="N844" s="10">
        <f t="shared" si="387"/>
        <v>8.26</v>
      </c>
      <c r="O844" s="10">
        <f t="shared" si="388"/>
        <v>0.31900000000000001</v>
      </c>
      <c r="P844" s="10">
        <f t="shared" si="409"/>
        <v>13.722314375011161</v>
      </c>
      <c r="Q844" s="42">
        <f t="shared" si="410"/>
        <v>0.39467238678544347</v>
      </c>
      <c r="R844" s="4">
        <f t="shared" si="411"/>
        <v>2128.6826115616727</v>
      </c>
      <c r="S844">
        <f t="shared" si="392"/>
        <v>2.1286826115616728E-6</v>
      </c>
      <c r="T844" s="41">
        <f t="shared" si="393"/>
        <v>1.7767568943032215E-4</v>
      </c>
      <c r="U844" s="42">
        <f t="shared" si="412"/>
        <v>3.8200273805779994E-3</v>
      </c>
      <c r="V844" s="42">
        <f t="shared" si="413"/>
        <v>0.43903783966462617</v>
      </c>
      <c r="W844" s="42">
        <f t="shared" si="414"/>
        <v>0.43650212067658878</v>
      </c>
      <c r="X844" s="42">
        <f t="shared" si="415"/>
        <v>2.5357189880373943E-3</v>
      </c>
      <c r="Y844" s="42">
        <f t="shared" si="389"/>
        <v>2.6421922643419453E-3</v>
      </c>
      <c r="Z844" s="10">
        <f t="shared" si="416"/>
        <v>14.870871039327614</v>
      </c>
      <c r="AA844">
        <f t="shared" si="394"/>
        <v>4908756.1460129609</v>
      </c>
      <c r="AB844" s="10">
        <f t="shared" si="395"/>
        <v>4.9087561460129612</v>
      </c>
      <c r="AC844" s="10">
        <f t="shared" si="396"/>
        <v>4.8077561460129612</v>
      </c>
      <c r="AD844" s="3">
        <f t="shared" si="397"/>
        <v>697.28152951602044</v>
      </c>
      <c r="AI844" s="94">
        <f t="shared" si="398"/>
        <v>0.43650212067658878</v>
      </c>
    </row>
    <row r="845" spans="2:35">
      <c r="B845" s="39">
        <f t="shared" si="399"/>
        <v>817</v>
      </c>
      <c r="C845" s="42">
        <f t="shared" si="400"/>
        <v>5.4270743405219077</v>
      </c>
      <c r="D845" s="10">
        <f t="shared" si="401"/>
        <v>0.11292565947736755</v>
      </c>
      <c r="E845" s="40">
        <f t="shared" si="402"/>
        <v>30.854148681045263</v>
      </c>
      <c r="F845" s="40">
        <f t="shared" si="403"/>
        <v>31.08</v>
      </c>
      <c r="G845" s="3">
        <f t="shared" si="404"/>
        <v>182.98340527583056</v>
      </c>
      <c r="H845" s="3">
        <f t="shared" si="405"/>
        <v>81.256230789298584</v>
      </c>
      <c r="I845">
        <f t="shared" si="390"/>
        <v>8.1256230789298584E-5</v>
      </c>
      <c r="J845" s="4">
        <f t="shared" si="406"/>
        <v>747.6821582933643</v>
      </c>
      <c r="K845" s="40">
        <f t="shared" si="407"/>
        <v>9.2015363133461232</v>
      </c>
      <c r="L845" s="40">
        <f t="shared" si="391"/>
        <v>0</v>
      </c>
      <c r="M845" s="10">
        <f t="shared" si="408"/>
        <v>4.9087561460129612</v>
      </c>
      <c r="N845" s="10">
        <f t="shared" si="387"/>
        <v>8.26</v>
      </c>
      <c r="O845" s="10">
        <f t="shared" si="388"/>
        <v>0.31900000000000001</v>
      </c>
      <c r="P845" s="10">
        <f t="shared" si="409"/>
        <v>13.721447946956495</v>
      </c>
      <c r="Q845" s="42">
        <f t="shared" si="410"/>
        <v>0.39515649647102408</v>
      </c>
      <c r="R845" s="4">
        <f t="shared" si="411"/>
        <v>2010.2699942243853</v>
      </c>
      <c r="S845">
        <f t="shared" si="392"/>
        <v>2.0102699942243852E-6</v>
      </c>
      <c r="T845" s="41">
        <f t="shared" si="393"/>
        <v>1.7779410204765944E-4</v>
      </c>
      <c r="U845" s="42">
        <f t="shared" si="412"/>
        <v>3.6075300181353707E-3</v>
      </c>
      <c r="V845" s="42">
        <f t="shared" si="413"/>
        <v>0.43894466227788087</v>
      </c>
      <c r="W845" s="42">
        <f t="shared" si="414"/>
        <v>0.43641391454676076</v>
      </c>
      <c r="X845" s="42">
        <f t="shared" si="415"/>
        <v>2.5307477311201088E-3</v>
      </c>
      <c r="Y845" s="42">
        <f t="shared" si="389"/>
        <v>2.6434174238303418E-3</v>
      </c>
      <c r="Z845" s="10">
        <f t="shared" si="416"/>
        <v>14.867857782603767</v>
      </c>
      <c r="AA845">
        <f t="shared" si="394"/>
        <v>4907781.9593970403</v>
      </c>
      <c r="AB845" s="10">
        <f t="shared" si="395"/>
        <v>4.90778195939704</v>
      </c>
      <c r="AC845" s="10">
        <f t="shared" si="396"/>
        <v>4.80678195939704</v>
      </c>
      <c r="AD845" s="3">
        <f t="shared" si="397"/>
        <v>697.14024066672084</v>
      </c>
      <c r="AI845" s="94">
        <f t="shared" si="398"/>
        <v>0.43641391454676076</v>
      </c>
    </row>
    <row r="846" spans="2:35">
      <c r="B846" s="39">
        <f t="shared" si="399"/>
        <v>818</v>
      </c>
      <c r="C846" s="42">
        <f t="shared" si="400"/>
        <v>5.4337170263732197</v>
      </c>
      <c r="D846" s="10">
        <f t="shared" si="401"/>
        <v>0.10628297362605466</v>
      </c>
      <c r="E846" s="40">
        <f t="shared" si="402"/>
        <v>30.867434052747889</v>
      </c>
      <c r="F846" s="40">
        <f t="shared" si="403"/>
        <v>31.08</v>
      </c>
      <c r="G846" s="3">
        <f t="shared" si="404"/>
        <v>182.93026378902007</v>
      </c>
      <c r="H846" s="3">
        <f t="shared" si="405"/>
        <v>81.256230789298584</v>
      </c>
      <c r="I846">
        <f t="shared" si="390"/>
        <v>8.1256230789298584E-5</v>
      </c>
      <c r="J846" s="4">
        <f t="shared" si="406"/>
        <v>748.32618020745235</v>
      </c>
      <c r="K846" s="40">
        <f t="shared" si="407"/>
        <v>9.2094621290999701</v>
      </c>
      <c r="L846" s="40">
        <f t="shared" si="391"/>
        <v>0</v>
      </c>
      <c r="M846" s="10">
        <f t="shared" si="408"/>
        <v>4.90778195939704</v>
      </c>
      <c r="N846" s="10">
        <f t="shared" si="387"/>
        <v>8.26</v>
      </c>
      <c r="O846" s="10">
        <f t="shared" si="388"/>
        <v>0.31900000000000001</v>
      </c>
      <c r="P846" s="10">
        <f t="shared" si="409"/>
        <v>13.720579205241346</v>
      </c>
      <c r="Q846" s="42">
        <f t="shared" si="410"/>
        <v>0.39564063680882955</v>
      </c>
      <c r="R846" s="4">
        <f t="shared" si="411"/>
        <v>1891.8750790661666</v>
      </c>
      <c r="S846">
        <f t="shared" si="392"/>
        <v>1.8918750790661666E-6</v>
      </c>
      <c r="T846" s="41">
        <f t="shared" si="393"/>
        <v>1.7791249696281767E-4</v>
      </c>
      <c r="U846" s="42">
        <f t="shared" si="412"/>
        <v>3.3950644231381887E-3</v>
      </c>
      <c r="V846" s="42">
        <f t="shared" si="413"/>
        <v>0.43885125532041658</v>
      </c>
      <c r="W846" s="42">
        <f t="shared" si="414"/>
        <v>0.43632548481329664</v>
      </c>
      <c r="X846" s="42">
        <f t="shared" si="415"/>
        <v>2.5257705071199399E-3</v>
      </c>
      <c r="Y846" s="42">
        <f t="shared" si="389"/>
        <v>2.6446402512168778E-3</v>
      </c>
      <c r="Z846" s="10">
        <f t="shared" si="416"/>
        <v>14.864836907828836</v>
      </c>
      <c r="AA846">
        <f t="shared" si="394"/>
        <v>4906805.3098633923</v>
      </c>
      <c r="AB846" s="10">
        <f t="shared" si="395"/>
        <v>4.9068053098633921</v>
      </c>
      <c r="AC846" s="10">
        <f t="shared" si="396"/>
        <v>4.8058053098633922</v>
      </c>
      <c r="AD846" s="3">
        <f t="shared" si="397"/>
        <v>696.99859461398</v>
      </c>
      <c r="AI846" s="94">
        <f t="shared" si="398"/>
        <v>0.43632548481329664</v>
      </c>
    </row>
    <row r="847" spans="2:35">
      <c r="B847" s="39">
        <f t="shared" si="399"/>
        <v>819</v>
      </c>
      <c r="C847" s="42">
        <f t="shared" si="400"/>
        <v>5.4403597122245317</v>
      </c>
      <c r="D847" s="10">
        <f t="shared" si="401"/>
        <v>9.9640287774741765E-2</v>
      </c>
      <c r="E847" s="40">
        <f t="shared" si="402"/>
        <v>30.880719424450515</v>
      </c>
      <c r="F847" s="40">
        <f t="shared" si="403"/>
        <v>31.08</v>
      </c>
      <c r="G847" s="3">
        <f t="shared" si="404"/>
        <v>182.87712230220959</v>
      </c>
      <c r="H847" s="3">
        <f t="shared" si="405"/>
        <v>81.256230789298584</v>
      </c>
      <c r="I847">
        <f t="shared" si="390"/>
        <v>8.1256230789298584E-5</v>
      </c>
      <c r="J847" s="4">
        <f t="shared" si="406"/>
        <v>748.97047936882177</v>
      </c>
      <c r="K847" s="40">
        <f t="shared" si="407"/>
        <v>9.2173913568663952</v>
      </c>
      <c r="L847" s="40">
        <f t="shared" si="391"/>
        <v>0</v>
      </c>
      <c r="M847" s="10">
        <f t="shared" si="408"/>
        <v>4.9068053098633921</v>
      </c>
      <c r="N847" s="10">
        <f t="shared" si="387"/>
        <v>8.26</v>
      </c>
      <c r="O847" s="10">
        <f t="shared" si="388"/>
        <v>0.31900000000000001</v>
      </c>
      <c r="P847" s="10">
        <f t="shared" si="409"/>
        <v>13.719708149304065</v>
      </c>
      <c r="Q847" s="42">
        <f t="shared" si="410"/>
        <v>0.39612480788441101</v>
      </c>
      <c r="R847" s="4">
        <f t="shared" si="411"/>
        <v>1773.4979102870645</v>
      </c>
      <c r="S847">
        <f t="shared" si="392"/>
        <v>1.7734979102870646E-6</v>
      </c>
      <c r="T847" s="41">
        <f t="shared" si="393"/>
        <v>1.7803087413159678E-4</v>
      </c>
      <c r="U847" s="42">
        <f t="shared" si="412"/>
        <v>3.1826306749056514E-3</v>
      </c>
      <c r="V847" s="42">
        <f t="shared" si="413"/>
        <v>0.43875761883837416</v>
      </c>
      <c r="W847" s="42">
        <f t="shared" si="414"/>
        <v>0.43623683151367509</v>
      </c>
      <c r="X847" s="42">
        <f t="shared" si="415"/>
        <v>2.5207873246990697E-3</v>
      </c>
      <c r="Y847" s="42">
        <f t="shared" si="389"/>
        <v>2.6458607435271893E-3</v>
      </c>
      <c r="Z847" s="10">
        <f t="shared" si="416"/>
        <v>14.861808416283028</v>
      </c>
      <c r="AA847">
        <f t="shared" si="394"/>
        <v>4905826.1978259059</v>
      </c>
      <c r="AB847" s="10">
        <f t="shared" si="395"/>
        <v>4.9058261978259061</v>
      </c>
      <c r="AC847" s="10">
        <f t="shared" si="396"/>
        <v>4.8048261978259061</v>
      </c>
      <c r="AD847" s="3">
        <f t="shared" si="397"/>
        <v>696.85659141782537</v>
      </c>
      <c r="AI847" s="94">
        <f t="shared" si="398"/>
        <v>0.43623683151367509</v>
      </c>
    </row>
    <row r="848" spans="2:35">
      <c r="B848" s="39">
        <f t="shared" si="399"/>
        <v>820</v>
      </c>
      <c r="C848" s="42">
        <f t="shared" si="400"/>
        <v>5.4470023980758437</v>
      </c>
      <c r="D848" s="10">
        <f t="shared" si="401"/>
        <v>9.2997601923428874E-2</v>
      </c>
      <c r="E848" s="40">
        <f t="shared" si="402"/>
        <v>30.894004796153141</v>
      </c>
      <c r="F848" s="40">
        <f t="shared" si="403"/>
        <v>31.08</v>
      </c>
      <c r="G848" s="3">
        <f t="shared" si="404"/>
        <v>182.8239808153991</v>
      </c>
      <c r="H848" s="3">
        <f t="shared" si="405"/>
        <v>81.256230789298584</v>
      </c>
      <c r="I848">
        <f t="shared" si="390"/>
        <v>8.1256230789298584E-5</v>
      </c>
      <c r="J848" s="4">
        <f t="shared" si="406"/>
        <v>749.61505577747289</v>
      </c>
      <c r="K848" s="40">
        <f t="shared" si="407"/>
        <v>9.2253239966453986</v>
      </c>
      <c r="L848" s="40">
        <f t="shared" si="391"/>
        <v>0</v>
      </c>
      <c r="M848" s="10">
        <f t="shared" si="408"/>
        <v>4.9058261978259061</v>
      </c>
      <c r="N848" s="10">
        <f t="shared" si="387"/>
        <v>8.26</v>
      </c>
      <c r="O848" s="10">
        <f t="shared" si="388"/>
        <v>0.31900000000000001</v>
      </c>
      <c r="P848" s="10">
        <f t="shared" si="409"/>
        <v>13.718834778581225</v>
      </c>
      <c r="Q848" s="42">
        <f t="shared" si="410"/>
        <v>0.39660900978337132</v>
      </c>
      <c r="R848" s="4">
        <f t="shared" si="411"/>
        <v>1655.1385320870281</v>
      </c>
      <c r="S848">
        <f t="shared" si="392"/>
        <v>1.655138532087028E-6</v>
      </c>
      <c r="T848" s="41">
        <f t="shared" si="393"/>
        <v>1.7814923350979682E-4</v>
      </c>
      <c r="U848" s="42">
        <f t="shared" si="412"/>
        <v>2.9702288527567763E-3</v>
      </c>
      <c r="V848" s="42">
        <f t="shared" si="413"/>
        <v>0.43866375287859943</v>
      </c>
      <c r="W848" s="42">
        <f t="shared" si="414"/>
        <v>0.4361479546854663</v>
      </c>
      <c r="X848" s="42">
        <f t="shared" si="415"/>
        <v>2.5157981931331341E-3</v>
      </c>
      <c r="Y848" s="42">
        <f t="shared" si="389"/>
        <v>2.6470788977897052E-3</v>
      </c>
      <c r="Z848" s="10">
        <f t="shared" si="416"/>
        <v>14.858772309251258</v>
      </c>
      <c r="AA848">
        <f t="shared" si="394"/>
        <v>4904844.6236999957</v>
      </c>
      <c r="AB848" s="10">
        <f t="shared" si="395"/>
        <v>4.9048446236999954</v>
      </c>
      <c r="AC848" s="10">
        <f t="shared" si="396"/>
        <v>4.8038446236999954</v>
      </c>
      <c r="AD848" s="3">
        <f t="shared" si="397"/>
        <v>696.71423113850551</v>
      </c>
      <c r="AI848" s="94">
        <f t="shared" si="398"/>
        <v>0.4361479546854663</v>
      </c>
    </row>
    <row r="849" spans="2:35">
      <c r="B849" s="39">
        <f t="shared" si="399"/>
        <v>821</v>
      </c>
      <c r="C849" s="42">
        <f t="shared" si="400"/>
        <v>5.4536450839271557</v>
      </c>
      <c r="D849" s="10">
        <f t="shared" si="401"/>
        <v>8.6354916072115984E-2</v>
      </c>
      <c r="E849" s="40">
        <f t="shared" si="402"/>
        <v>30.907290167855766</v>
      </c>
      <c r="F849" s="40">
        <f t="shared" si="403"/>
        <v>31.08</v>
      </c>
      <c r="G849" s="3">
        <f t="shared" si="404"/>
        <v>182.77083932858861</v>
      </c>
      <c r="H849" s="3">
        <f t="shared" si="405"/>
        <v>81.256230789298584</v>
      </c>
      <c r="I849">
        <f t="shared" si="390"/>
        <v>8.1256230789298584E-5</v>
      </c>
      <c r="J849" s="4">
        <f t="shared" si="406"/>
        <v>750.2599094334056</v>
      </c>
      <c r="K849" s="40">
        <f t="shared" si="407"/>
        <v>9.233260048436982</v>
      </c>
      <c r="L849" s="40">
        <f t="shared" si="391"/>
        <v>0</v>
      </c>
      <c r="M849" s="10">
        <f t="shared" si="408"/>
        <v>4.9048446236999954</v>
      </c>
      <c r="N849" s="10">
        <f t="shared" si="387"/>
        <v>8.26</v>
      </c>
      <c r="O849" s="10">
        <f t="shared" si="388"/>
        <v>0.31900000000000001</v>
      </c>
      <c r="P849" s="10">
        <f t="shared" si="409"/>
        <v>13.717959092508085</v>
      </c>
      <c r="Q849" s="42">
        <f t="shared" si="410"/>
        <v>0.3970932425913653</v>
      </c>
      <c r="R849" s="4">
        <f t="shared" si="411"/>
        <v>1536.7969886660878</v>
      </c>
      <c r="S849">
        <f t="shared" si="392"/>
        <v>1.5367969886660878E-6</v>
      </c>
      <c r="T849" s="41">
        <f t="shared" si="393"/>
        <v>1.7826757505321774E-4</v>
      </c>
      <c r="U849" s="42">
        <f t="shared" si="412"/>
        <v>2.7578590360107279E-3</v>
      </c>
      <c r="V849" s="42">
        <f t="shared" si="413"/>
        <v>0.43856965748733262</v>
      </c>
      <c r="W849" s="42">
        <f t="shared" si="414"/>
        <v>0.43605885436637837</v>
      </c>
      <c r="X849" s="42">
        <f t="shared" si="415"/>
        <v>2.5108031209542525E-3</v>
      </c>
      <c r="Y849" s="42">
        <f t="shared" si="389"/>
        <v>2.6482947110352847E-3</v>
      </c>
      <c r="Z849" s="10">
        <f t="shared" si="416"/>
        <v>14.855728588021105</v>
      </c>
      <c r="AA849">
        <f t="shared" si="394"/>
        <v>4903860.5879019368</v>
      </c>
      <c r="AB849" s="10">
        <f t="shared" si="395"/>
        <v>4.9038605879019368</v>
      </c>
      <c r="AC849" s="10">
        <f t="shared" si="396"/>
        <v>4.8028605879019368</v>
      </c>
      <c r="AD849" s="3">
        <f t="shared" si="397"/>
        <v>696.57151383639405</v>
      </c>
      <c r="AI849" s="94">
        <f t="shared" si="398"/>
        <v>0.43605885436637837</v>
      </c>
    </row>
    <row r="850" spans="2:35">
      <c r="B850" s="39">
        <f t="shared" si="399"/>
        <v>822</v>
      </c>
      <c r="C850" s="42">
        <f t="shared" si="400"/>
        <v>5.4602877697784677</v>
      </c>
      <c r="D850" s="10">
        <f t="shared" si="401"/>
        <v>7.9712230220803093E-2</v>
      </c>
      <c r="E850" s="40">
        <f t="shared" si="402"/>
        <v>30.920575539558392</v>
      </c>
      <c r="F850" s="40">
        <f t="shared" si="403"/>
        <v>31.08</v>
      </c>
      <c r="G850" s="3">
        <f t="shared" si="404"/>
        <v>182.71769784177812</v>
      </c>
      <c r="H850" s="3">
        <f t="shared" si="405"/>
        <v>81.256230789298584</v>
      </c>
      <c r="I850">
        <f t="shared" si="390"/>
        <v>8.1256230789298584E-5</v>
      </c>
      <c r="J850" s="4">
        <f t="shared" si="406"/>
        <v>750.90504033661978</v>
      </c>
      <c r="K850" s="40">
        <f t="shared" si="407"/>
        <v>9.2411995122411419</v>
      </c>
      <c r="L850" s="40">
        <f t="shared" si="391"/>
        <v>0</v>
      </c>
      <c r="M850" s="10">
        <f t="shared" si="408"/>
        <v>4.9038605879019368</v>
      </c>
      <c r="N850" s="10">
        <f t="shared" si="387"/>
        <v>8.26</v>
      </c>
      <c r="O850" s="10">
        <f t="shared" si="388"/>
        <v>0.31900000000000001</v>
      </c>
      <c r="P850" s="10">
        <f t="shared" si="409"/>
        <v>13.717081090518004</v>
      </c>
      <c r="Q850" s="42">
        <f t="shared" si="410"/>
        <v>0.39757750639409983</v>
      </c>
      <c r="R850" s="4">
        <f t="shared" si="411"/>
        <v>1418.4733242242257</v>
      </c>
      <c r="S850">
        <f t="shared" si="392"/>
        <v>1.4184733242242258E-6</v>
      </c>
      <c r="T850" s="41">
        <f t="shared" si="393"/>
        <v>1.783858987176596E-4</v>
      </c>
      <c r="U850" s="42">
        <f t="shared" si="412"/>
        <v>2.545521303986584E-3</v>
      </c>
      <c r="V850" s="42">
        <f t="shared" si="413"/>
        <v>0.4384753327114681</v>
      </c>
      <c r="W850" s="42">
        <f t="shared" si="414"/>
        <v>0.43596953059419807</v>
      </c>
      <c r="X850" s="42">
        <f t="shared" si="415"/>
        <v>2.5058021172700284E-3</v>
      </c>
      <c r="Y850" s="42">
        <f t="shared" si="389"/>
        <v>2.649508180297494E-3</v>
      </c>
      <c r="Z850" s="10">
        <f t="shared" si="416"/>
        <v>14.852677253884316</v>
      </c>
      <c r="AA850">
        <f t="shared" si="394"/>
        <v>4902874.0908493511</v>
      </c>
      <c r="AB850" s="10">
        <f t="shared" si="395"/>
        <v>4.9028740908493509</v>
      </c>
      <c r="AC850" s="10">
        <f t="shared" si="396"/>
        <v>4.8018740908493509</v>
      </c>
      <c r="AD850" s="3">
        <f t="shared" si="397"/>
        <v>696.42843957205957</v>
      </c>
      <c r="AI850" s="94">
        <f t="shared" si="398"/>
        <v>0.43596953059419807</v>
      </c>
    </row>
    <row r="851" spans="2:35">
      <c r="B851" s="39">
        <f t="shared" si="399"/>
        <v>823</v>
      </c>
      <c r="C851" s="42">
        <f t="shared" si="400"/>
        <v>5.4669304556297798</v>
      </c>
      <c r="D851" s="10">
        <f t="shared" si="401"/>
        <v>7.3069544369490202E-2</v>
      </c>
      <c r="E851" s="40">
        <f t="shared" si="402"/>
        <v>30.933860911261018</v>
      </c>
      <c r="F851" s="40">
        <f t="shared" si="403"/>
        <v>31.08</v>
      </c>
      <c r="G851" s="3">
        <f t="shared" si="404"/>
        <v>182.66455635496763</v>
      </c>
      <c r="H851" s="3">
        <f t="shared" si="405"/>
        <v>81.256230789298584</v>
      </c>
      <c r="I851">
        <f t="shared" si="390"/>
        <v>8.1256230789298584E-5</v>
      </c>
      <c r="J851" s="4">
        <f t="shared" si="406"/>
        <v>751.55044848711555</v>
      </c>
      <c r="K851" s="40">
        <f t="shared" si="407"/>
        <v>9.2491423880578818</v>
      </c>
      <c r="L851" s="40">
        <f t="shared" si="391"/>
        <v>0</v>
      </c>
      <c r="M851" s="10">
        <f t="shared" si="408"/>
        <v>4.9028740908493509</v>
      </c>
      <c r="N851" s="10">
        <f t="shared" si="387"/>
        <v>8.26</v>
      </c>
      <c r="O851" s="10">
        <f t="shared" si="388"/>
        <v>0.31900000000000001</v>
      </c>
      <c r="P851" s="10">
        <f t="shared" si="409"/>
        <v>13.716200772042864</v>
      </c>
      <c r="Q851" s="42">
        <f t="shared" si="410"/>
        <v>0.39806180127733393</v>
      </c>
      <c r="R851" s="4">
        <f t="shared" si="411"/>
        <v>1300.1675829614408</v>
      </c>
      <c r="S851">
        <f t="shared" si="392"/>
        <v>1.3001675829614408E-6</v>
      </c>
      <c r="T851" s="41">
        <f t="shared" si="393"/>
        <v>1.7850420445892241E-4</v>
      </c>
      <c r="U851" s="42">
        <f t="shared" si="412"/>
        <v>2.3332157360034535E-3</v>
      </c>
      <c r="V851" s="42">
        <f t="shared" si="413"/>
        <v>0.43838077859787855</v>
      </c>
      <c r="W851" s="42">
        <f t="shared" si="414"/>
        <v>0.43587998340683393</v>
      </c>
      <c r="X851" s="42">
        <f t="shared" si="415"/>
        <v>2.5007951910446247E-3</v>
      </c>
      <c r="Y851" s="42">
        <f t="shared" si="389"/>
        <v>2.6507193026125333E-3</v>
      </c>
      <c r="Z851" s="10">
        <f t="shared" si="416"/>
        <v>14.849618308136376</v>
      </c>
      <c r="AA851">
        <f t="shared" si="394"/>
        <v>4901885.1329610683</v>
      </c>
      <c r="AB851" s="10">
        <f t="shared" si="395"/>
        <v>4.901885132961068</v>
      </c>
      <c r="AC851" s="10">
        <f t="shared" si="396"/>
        <v>4.800885132961068</v>
      </c>
      <c r="AD851" s="3">
        <f t="shared" si="397"/>
        <v>696.28500840624633</v>
      </c>
      <c r="AI851" s="94">
        <f t="shared" si="398"/>
        <v>0.43587998340683393</v>
      </c>
    </row>
    <row r="852" spans="2:35">
      <c r="B852" s="39">
        <f t="shared" si="399"/>
        <v>824</v>
      </c>
      <c r="C852" s="42">
        <f t="shared" si="400"/>
        <v>5.4735731414810918</v>
      </c>
      <c r="D852" s="10">
        <f t="shared" si="401"/>
        <v>6.6426858518177312E-2</v>
      </c>
      <c r="E852" s="40">
        <f t="shared" si="402"/>
        <v>30.947146282963644</v>
      </c>
      <c r="F852" s="40">
        <f t="shared" si="403"/>
        <v>31.08</v>
      </c>
      <c r="G852" s="3">
        <f t="shared" si="404"/>
        <v>182.61141486815714</v>
      </c>
      <c r="H852" s="3">
        <f t="shared" si="405"/>
        <v>81.256230789298584</v>
      </c>
      <c r="I852">
        <f t="shared" si="390"/>
        <v>8.1256230789298584E-5</v>
      </c>
      <c r="J852" s="4">
        <f t="shared" si="406"/>
        <v>752.19613388489279</v>
      </c>
      <c r="K852" s="40">
        <f t="shared" si="407"/>
        <v>9.2570886758872</v>
      </c>
      <c r="L852" s="40">
        <f t="shared" si="391"/>
        <v>0</v>
      </c>
      <c r="M852" s="10">
        <f t="shared" si="408"/>
        <v>4.901885132961068</v>
      </c>
      <c r="N852" s="10">
        <f t="shared" si="387"/>
        <v>8.26</v>
      </c>
      <c r="O852" s="10">
        <f t="shared" si="388"/>
        <v>0.31900000000000001</v>
      </c>
      <c r="P852" s="10">
        <f t="shared" si="409"/>
        <v>13.715318136512943</v>
      </c>
      <c r="Q852" s="42">
        <f t="shared" si="410"/>
        <v>0.39854612732687905</v>
      </c>
      <c r="R852" s="4">
        <f t="shared" si="411"/>
        <v>1181.8798090777468</v>
      </c>
      <c r="S852">
        <f t="shared" si="392"/>
        <v>1.1818798090777468E-6</v>
      </c>
      <c r="T852" s="41">
        <f t="shared" si="393"/>
        <v>1.7862249223280608E-4</v>
      </c>
      <c r="U852" s="42">
        <f t="shared" si="412"/>
        <v>2.1209424113804703E-3</v>
      </c>
      <c r="V852" s="42">
        <f t="shared" si="413"/>
        <v>0.43828599519342087</v>
      </c>
      <c r="W852" s="42">
        <f t="shared" si="414"/>
        <v>0.43579021284230451</v>
      </c>
      <c r="X852" s="42">
        <f t="shared" si="415"/>
        <v>2.4957823511163602E-3</v>
      </c>
      <c r="Y852" s="42">
        <f t="shared" si="389"/>
        <v>2.651928075019174E-3</v>
      </c>
      <c r="Z852" s="10">
        <f t="shared" si="416"/>
        <v>14.846551752076142</v>
      </c>
      <c r="AA852">
        <f t="shared" si="394"/>
        <v>4900893.7146570096</v>
      </c>
      <c r="AB852" s="10">
        <f t="shared" si="395"/>
        <v>4.90089371465701</v>
      </c>
      <c r="AC852" s="10">
        <f t="shared" si="396"/>
        <v>4.79989371465701</v>
      </c>
      <c r="AD852" s="3">
        <f t="shared" si="397"/>
        <v>696.14122039985637</v>
      </c>
      <c r="AI852" s="94">
        <f t="shared" si="398"/>
        <v>0.43579021284230451</v>
      </c>
    </row>
    <row r="853" spans="2:35">
      <c r="B853" s="39">
        <f t="shared" si="399"/>
        <v>825</v>
      </c>
      <c r="C853" s="42">
        <f t="shared" si="400"/>
        <v>5.4802158273324038</v>
      </c>
      <c r="D853" s="10">
        <f t="shared" si="401"/>
        <v>5.9784172666864421E-2</v>
      </c>
      <c r="E853" s="40">
        <f t="shared" si="402"/>
        <v>30.960431654666269</v>
      </c>
      <c r="F853" s="40">
        <f t="shared" si="403"/>
        <v>31.08</v>
      </c>
      <c r="G853" s="3">
        <f t="shared" si="404"/>
        <v>182.55827338134665</v>
      </c>
      <c r="H853" s="3">
        <f t="shared" si="405"/>
        <v>81.256230789298584</v>
      </c>
      <c r="I853">
        <f t="shared" si="390"/>
        <v>8.1256230789298584E-5</v>
      </c>
      <c r="J853" s="4">
        <f t="shared" si="406"/>
        <v>752.84209652995173</v>
      </c>
      <c r="K853" s="40">
        <f t="shared" si="407"/>
        <v>9.2650383757290982</v>
      </c>
      <c r="L853" s="40">
        <f t="shared" si="391"/>
        <v>0</v>
      </c>
      <c r="M853" s="10">
        <f t="shared" si="408"/>
        <v>4.90089371465701</v>
      </c>
      <c r="N853" s="10">
        <f t="shared" si="387"/>
        <v>8.26</v>
      </c>
      <c r="O853" s="10">
        <f t="shared" si="388"/>
        <v>0.31900000000000001</v>
      </c>
      <c r="P853" s="10">
        <f t="shared" si="409"/>
        <v>13.714433183356817</v>
      </c>
      <c r="Q853" s="42">
        <f t="shared" si="410"/>
        <v>0.39903048462859919</v>
      </c>
      <c r="R853" s="4">
        <f t="shared" si="411"/>
        <v>1063.610046773126</v>
      </c>
      <c r="S853">
        <f t="shared" si="392"/>
        <v>1.063610046773126E-6</v>
      </c>
      <c r="T853" s="41">
        <f t="shared" si="393"/>
        <v>1.7874076199511071E-4</v>
      </c>
      <c r="U853" s="42">
        <f t="shared" si="412"/>
        <v>1.9087014094367129E-3</v>
      </c>
      <c r="V853" s="42">
        <f t="shared" si="413"/>
        <v>0.43819098254533934</v>
      </c>
      <c r="W853" s="42">
        <f t="shared" si="414"/>
        <v>0.43570021893872724</v>
      </c>
      <c r="X853" s="42">
        <f t="shared" si="415"/>
        <v>2.4907636066121008E-3</v>
      </c>
      <c r="Y853" s="42">
        <f t="shared" si="389"/>
        <v>2.6531344945588953E-3</v>
      </c>
      <c r="Z853" s="10">
        <f t="shared" si="416"/>
        <v>14.843477587006534</v>
      </c>
      <c r="AA853">
        <f t="shared" si="394"/>
        <v>4899899.8363584094</v>
      </c>
      <c r="AB853" s="10">
        <f t="shared" si="395"/>
        <v>4.8998998363584096</v>
      </c>
      <c r="AC853" s="10">
        <f t="shared" si="396"/>
        <v>4.7988998363584097</v>
      </c>
      <c r="AD853" s="3">
        <f t="shared" si="397"/>
        <v>695.99707561398247</v>
      </c>
      <c r="AI853" s="94">
        <f t="shared" si="398"/>
        <v>0.43570021893872724</v>
      </c>
    </row>
    <row r="854" spans="2:35">
      <c r="B854" s="39">
        <f t="shared" si="399"/>
        <v>826</v>
      </c>
      <c r="C854" s="42">
        <f t="shared" si="400"/>
        <v>5.4868585131837158</v>
      </c>
      <c r="D854" s="10">
        <f t="shared" si="401"/>
        <v>5.3141486815551531E-2</v>
      </c>
      <c r="E854" s="40">
        <f t="shared" si="402"/>
        <v>30.973717026368895</v>
      </c>
      <c r="F854" s="40">
        <f t="shared" si="403"/>
        <v>31.08</v>
      </c>
      <c r="G854" s="3">
        <f t="shared" si="404"/>
        <v>182.50513189453616</v>
      </c>
      <c r="H854" s="3">
        <f t="shared" si="405"/>
        <v>81.256230789298584</v>
      </c>
      <c r="I854">
        <f t="shared" si="390"/>
        <v>8.1256230789298584E-5</v>
      </c>
      <c r="J854" s="4">
        <f t="shared" si="406"/>
        <v>753.48833642229215</v>
      </c>
      <c r="K854" s="40">
        <f t="shared" si="407"/>
        <v>9.2729914875835746</v>
      </c>
      <c r="L854" s="40">
        <f t="shared" si="391"/>
        <v>0</v>
      </c>
      <c r="M854" s="10">
        <f t="shared" si="408"/>
        <v>4.8998998363584096</v>
      </c>
      <c r="N854" s="10">
        <f t="shared" si="387"/>
        <v>8.26</v>
      </c>
      <c r="O854" s="10">
        <f t="shared" si="388"/>
        <v>0.31900000000000001</v>
      </c>
      <c r="P854" s="10">
        <f t="shared" si="409"/>
        <v>13.713545912001548</v>
      </c>
      <c r="Q854" s="42">
        <f t="shared" si="410"/>
        <v>0.39951487326841106</v>
      </c>
      <c r="R854" s="4">
        <f t="shared" si="411"/>
        <v>945.35834024757662</v>
      </c>
      <c r="S854">
        <f t="shared" si="392"/>
        <v>9.4535834024757667E-7</v>
      </c>
      <c r="T854" s="41">
        <f t="shared" si="393"/>
        <v>1.7885901370163625E-4</v>
      </c>
      <c r="U854" s="42">
        <f t="shared" si="412"/>
        <v>1.6964928094912884E-3</v>
      </c>
      <c r="V854" s="42">
        <f t="shared" si="413"/>
        <v>0.43809574070077772</v>
      </c>
      <c r="W854" s="42">
        <f t="shared" si="414"/>
        <v>0.43561000173433861</v>
      </c>
      <c r="X854" s="42">
        <f t="shared" si="415"/>
        <v>2.4857389664391105E-3</v>
      </c>
      <c r="Y854" s="42">
        <f t="shared" si="389"/>
        <v>2.6543385582757759E-3</v>
      </c>
      <c r="Z854" s="10">
        <f t="shared" si="416"/>
        <v>14.840395814233952</v>
      </c>
      <c r="AA854">
        <f t="shared" si="394"/>
        <v>4898903.4984876281</v>
      </c>
      <c r="AB854" s="10">
        <f t="shared" si="395"/>
        <v>4.8989034984876279</v>
      </c>
      <c r="AC854" s="10">
        <f t="shared" si="396"/>
        <v>4.7979034984876279</v>
      </c>
      <c r="AD854" s="3">
        <f t="shared" si="397"/>
        <v>695.85257410988083</v>
      </c>
      <c r="AI854" s="94">
        <f t="shared" si="398"/>
        <v>0.43561000173433861</v>
      </c>
    </row>
    <row r="855" spans="2:35">
      <c r="B855" s="39">
        <f t="shared" si="399"/>
        <v>827</v>
      </c>
      <c r="C855" s="42">
        <f t="shared" si="400"/>
        <v>5.4935011990350278</v>
      </c>
      <c r="D855" s="10">
        <f t="shared" si="401"/>
        <v>4.649880096423864E-2</v>
      </c>
      <c r="E855" s="40">
        <f t="shared" si="402"/>
        <v>30.987002398071521</v>
      </c>
      <c r="F855" s="40">
        <f t="shared" si="403"/>
        <v>31.08</v>
      </c>
      <c r="G855" s="3">
        <f t="shared" si="404"/>
        <v>182.45199040772567</v>
      </c>
      <c r="H855" s="3">
        <f t="shared" si="405"/>
        <v>81.256230789298584</v>
      </c>
      <c r="I855">
        <f t="shared" si="390"/>
        <v>8.1256230789298584E-5</v>
      </c>
      <c r="J855" s="4">
        <f t="shared" si="406"/>
        <v>754.13485356191416</v>
      </c>
      <c r="K855" s="40">
        <f t="shared" si="407"/>
        <v>9.2809480114506293</v>
      </c>
      <c r="L855" s="40">
        <f t="shared" si="391"/>
        <v>0</v>
      </c>
      <c r="M855" s="10">
        <f t="shared" si="408"/>
        <v>4.8989034984876279</v>
      </c>
      <c r="N855" s="10">
        <f t="shared" si="387"/>
        <v>8.26</v>
      </c>
      <c r="O855" s="10">
        <f t="shared" si="388"/>
        <v>0.31900000000000001</v>
      </c>
      <c r="P855" s="10">
        <f t="shared" si="409"/>
        <v>13.712656321872517</v>
      </c>
      <c r="Q855" s="42">
        <f t="shared" si="410"/>
        <v>0.39999929333228423</v>
      </c>
      <c r="R855" s="4">
        <f t="shared" si="411"/>
        <v>827.12473370111343</v>
      </c>
      <c r="S855">
        <f t="shared" si="392"/>
        <v>8.2712473370111344E-7</v>
      </c>
      <c r="T855" s="41">
        <f t="shared" si="393"/>
        <v>1.7897724730818273E-4</v>
      </c>
      <c r="U855" s="42">
        <f t="shared" si="412"/>
        <v>1.484316690863333E-3</v>
      </c>
      <c r="V855" s="42">
        <f t="shared" si="413"/>
        <v>0.4380002697070513</v>
      </c>
      <c r="W855" s="42">
        <f t="shared" si="414"/>
        <v>0.43551956126747771</v>
      </c>
      <c r="X855" s="42">
        <f t="shared" si="415"/>
        <v>2.4807084395735979E-3</v>
      </c>
      <c r="Y855" s="42">
        <f t="shared" si="389"/>
        <v>2.655540263216525E-3</v>
      </c>
      <c r="Z855" s="10">
        <f t="shared" si="416"/>
        <v>14.837306435068383</v>
      </c>
      <c r="AA855">
        <f t="shared" si="394"/>
        <v>4897904.7014681827</v>
      </c>
      <c r="AB855" s="10">
        <f t="shared" si="395"/>
        <v>4.8979047014681827</v>
      </c>
      <c r="AC855" s="10">
        <f t="shared" si="396"/>
        <v>4.7969047014681827</v>
      </c>
      <c r="AD855" s="3">
        <f t="shared" si="397"/>
        <v>695.70771594897496</v>
      </c>
      <c r="AI855" s="94">
        <f t="shared" si="398"/>
        <v>0.43551956126747771</v>
      </c>
    </row>
    <row r="856" spans="2:35">
      <c r="B856" s="39">
        <f t="shared" si="399"/>
        <v>828</v>
      </c>
      <c r="C856" s="42">
        <f t="shared" si="400"/>
        <v>5.5001438848863398</v>
      </c>
      <c r="D856" s="10">
        <f t="shared" si="401"/>
        <v>3.985611511292575E-2</v>
      </c>
      <c r="E856" s="40">
        <f t="shared" si="402"/>
        <v>31.000287769774147</v>
      </c>
      <c r="F856" s="40">
        <f t="shared" si="403"/>
        <v>31.08</v>
      </c>
      <c r="G856" s="3">
        <f t="shared" si="404"/>
        <v>182.39884892091519</v>
      </c>
      <c r="H856" s="3">
        <f t="shared" si="405"/>
        <v>81.256230789298584</v>
      </c>
      <c r="I856">
        <f t="shared" si="390"/>
        <v>8.1256230789298584E-5</v>
      </c>
      <c r="J856" s="4">
        <f t="shared" si="406"/>
        <v>754.78164794881764</v>
      </c>
      <c r="K856" s="40">
        <f t="shared" si="407"/>
        <v>9.2889079473302623</v>
      </c>
      <c r="L856" s="40">
        <f t="shared" si="391"/>
        <v>0</v>
      </c>
      <c r="M856" s="10">
        <f t="shared" si="408"/>
        <v>4.8979047014681827</v>
      </c>
      <c r="N856" s="10">
        <f t="shared" si="387"/>
        <v>8.26</v>
      </c>
      <c r="O856" s="10">
        <f t="shared" si="388"/>
        <v>0.31900000000000001</v>
      </c>
      <c r="P856" s="10">
        <f t="shared" si="409"/>
        <v>13.711764412393453</v>
      </c>
      <c r="Q856" s="42">
        <f t="shared" si="410"/>
        <v>0.40048374490624128</v>
      </c>
      <c r="R856" s="4">
        <f t="shared" si="411"/>
        <v>708.90927133371815</v>
      </c>
      <c r="S856">
        <f t="shared" si="392"/>
        <v>7.0890927133371813E-7</v>
      </c>
      <c r="T856" s="41">
        <f t="shared" si="393"/>
        <v>1.7909546277055012E-4</v>
      </c>
      <c r="U856" s="42">
        <f t="shared" si="412"/>
        <v>1.2721731328719239E-3</v>
      </c>
      <c r="V856" s="42">
        <f t="shared" si="413"/>
        <v>0.43790456961177937</v>
      </c>
      <c r="W856" s="42">
        <f t="shared" si="414"/>
        <v>0.43542889757658831</v>
      </c>
      <c r="X856" s="42">
        <f t="shared" si="415"/>
        <v>2.4756720351910566E-3</v>
      </c>
      <c r="Y856" s="42">
        <f t="shared" si="389"/>
        <v>2.6567396064305746E-3</v>
      </c>
      <c r="Z856" s="10">
        <f t="shared" si="416"/>
        <v>14.8342094508239</v>
      </c>
      <c r="AA856">
        <f t="shared" si="394"/>
        <v>4896903.4457249157</v>
      </c>
      <c r="AB856" s="10">
        <f t="shared" si="395"/>
        <v>4.8969034457249156</v>
      </c>
      <c r="AC856" s="10">
        <f t="shared" si="396"/>
        <v>4.7959034457249157</v>
      </c>
      <c r="AD856" s="3">
        <f t="shared" si="397"/>
        <v>695.5625011928812</v>
      </c>
      <c r="AI856" s="94">
        <f t="shared" si="398"/>
        <v>0.43542889757658831</v>
      </c>
    </row>
    <row r="857" spans="2:35">
      <c r="B857" s="39">
        <f t="shared" si="399"/>
        <v>829</v>
      </c>
      <c r="C857" s="42">
        <f t="shared" si="400"/>
        <v>5.5067865707376518</v>
      </c>
      <c r="D857" s="10">
        <f t="shared" si="401"/>
        <v>3.3213429261612859E-2</v>
      </c>
      <c r="E857" s="40">
        <f t="shared" si="402"/>
        <v>31.013573141476773</v>
      </c>
      <c r="F857" s="40">
        <f t="shared" si="403"/>
        <v>31.08</v>
      </c>
      <c r="G857" s="3">
        <f t="shared" si="404"/>
        <v>182.3457074341047</v>
      </c>
      <c r="H857" s="3">
        <f t="shared" si="405"/>
        <v>81.256230789298584</v>
      </c>
      <c r="I857">
        <f t="shared" si="390"/>
        <v>8.1256230789298584E-5</v>
      </c>
      <c r="J857" s="4">
        <f t="shared" si="406"/>
        <v>755.42871958300282</v>
      </c>
      <c r="K857" s="40">
        <f t="shared" si="407"/>
        <v>9.296871295222477</v>
      </c>
      <c r="L857" s="40">
        <f t="shared" si="391"/>
        <v>0</v>
      </c>
      <c r="M857" s="10">
        <f t="shared" si="408"/>
        <v>4.8969034457249156</v>
      </c>
      <c r="N857" s="10">
        <f t="shared" si="387"/>
        <v>8.26</v>
      </c>
      <c r="O857" s="10">
        <f t="shared" si="388"/>
        <v>0.31900000000000001</v>
      </c>
      <c r="P857" s="10">
        <f t="shared" si="409"/>
        <v>13.710870182986575</v>
      </c>
      <c r="Q857" s="42">
        <f t="shared" si="410"/>
        <v>0.40096822807635801</v>
      </c>
      <c r="R857" s="4">
        <f t="shared" si="411"/>
        <v>590.71199734538914</v>
      </c>
      <c r="S857">
        <f t="shared" si="392"/>
        <v>5.9071199734538914E-7</v>
      </c>
      <c r="T857" s="41">
        <f t="shared" si="393"/>
        <v>1.7921366004453845E-4</v>
      </c>
      <c r="U857" s="42">
        <f t="shared" si="412"/>
        <v>1.060062214836168E-3</v>
      </c>
      <c r="V857" s="42">
        <f t="shared" si="413"/>
        <v>0.43780864046247198</v>
      </c>
      <c r="W857" s="42">
        <f t="shared" si="414"/>
        <v>0.43533801070023465</v>
      </c>
      <c r="X857" s="42">
        <f t="shared" si="415"/>
        <v>2.4706297622373308E-3</v>
      </c>
      <c r="Y857" s="42">
        <f t="shared" si="389"/>
        <v>2.6579365849699679E-3</v>
      </c>
      <c r="Z857" s="10">
        <f t="shared" si="416"/>
        <v>14.831104862818009</v>
      </c>
      <c r="AA857">
        <f t="shared" si="394"/>
        <v>4895899.7316837749</v>
      </c>
      <c r="AB857" s="10">
        <f t="shared" si="395"/>
        <v>4.8958997316837749</v>
      </c>
      <c r="AC857" s="10">
        <f t="shared" si="396"/>
        <v>4.7948997316837749</v>
      </c>
      <c r="AD857" s="3">
        <f t="shared" si="397"/>
        <v>695.4169299033756</v>
      </c>
      <c r="AI857" s="94">
        <f t="shared" si="398"/>
        <v>0.43533801070023465</v>
      </c>
    </row>
    <row r="858" spans="2:35">
      <c r="B858" s="39">
        <f t="shared" si="399"/>
        <v>830</v>
      </c>
      <c r="C858" s="42">
        <f t="shared" si="400"/>
        <v>5.5134292565889638</v>
      </c>
      <c r="D858" s="10">
        <f t="shared" si="401"/>
        <v>2.6570743410299968E-2</v>
      </c>
      <c r="E858" s="40">
        <f t="shared" si="402"/>
        <v>31.026858513179398</v>
      </c>
      <c r="F858" s="40">
        <f t="shared" si="403"/>
        <v>31.08</v>
      </c>
      <c r="G858" s="3">
        <f t="shared" si="404"/>
        <v>182.29256594729421</v>
      </c>
      <c r="H858" s="3">
        <f t="shared" si="405"/>
        <v>81.256230789298584</v>
      </c>
      <c r="I858">
        <f t="shared" si="390"/>
        <v>8.1256230789298584E-5</v>
      </c>
      <c r="J858" s="4">
        <f t="shared" si="406"/>
        <v>756.07606846446947</v>
      </c>
      <c r="K858" s="40">
        <f t="shared" si="407"/>
        <v>9.3048380551272682</v>
      </c>
      <c r="L858" s="40">
        <f t="shared" si="391"/>
        <v>0</v>
      </c>
      <c r="M858" s="10">
        <f t="shared" si="408"/>
        <v>4.8958997316837749</v>
      </c>
      <c r="N858" s="10">
        <f t="shared" si="387"/>
        <v>8.26</v>
      </c>
      <c r="O858" s="10">
        <f t="shared" si="388"/>
        <v>0.31900000000000001</v>
      </c>
      <c r="P858" s="10">
        <f t="shared" si="409"/>
        <v>13.7099736330724</v>
      </c>
      <c r="Q858" s="42">
        <f t="shared" si="410"/>
        <v>0.40145274292876354</v>
      </c>
      <c r="R858" s="4">
        <f t="shared" si="411"/>
        <v>472.53295593612478</v>
      </c>
      <c r="S858">
        <f t="shared" si="392"/>
        <v>4.7253295593612476E-7</v>
      </c>
      <c r="T858" s="41">
        <f t="shared" si="393"/>
        <v>1.7933183908594772E-4</v>
      </c>
      <c r="U858" s="42">
        <f t="shared" si="412"/>
        <v>8.4798401607517264E-4</v>
      </c>
      <c r="V858" s="42">
        <f t="shared" si="413"/>
        <v>0.43771248230692289</v>
      </c>
      <c r="W858" s="42">
        <f t="shared" si="414"/>
        <v>0.43524690067708105</v>
      </c>
      <c r="X858" s="42">
        <f t="shared" si="415"/>
        <v>2.4655816298418398E-3</v>
      </c>
      <c r="Y858" s="42">
        <f t="shared" si="389"/>
        <v>2.6591311958894443E-3</v>
      </c>
      <c r="Z858" s="10">
        <f t="shared" si="416"/>
        <v>14.827992672372094</v>
      </c>
      <c r="AA858">
        <f t="shared" si="394"/>
        <v>4894893.5597719653</v>
      </c>
      <c r="AB858" s="10">
        <f t="shared" si="395"/>
        <v>4.8948935597719654</v>
      </c>
      <c r="AC858" s="10">
        <f t="shared" si="396"/>
        <v>4.7938935597719654</v>
      </c>
      <c r="AD858" s="3">
        <f t="shared" si="397"/>
        <v>695.27100214241705</v>
      </c>
      <c r="AI858" s="94">
        <f t="shared" si="398"/>
        <v>0.43524690067708105</v>
      </c>
    </row>
    <row r="859" spans="2:35">
      <c r="B859" s="39">
        <f t="shared" si="399"/>
        <v>831</v>
      </c>
      <c r="C859" s="42">
        <f t="shared" si="400"/>
        <v>5.5200719424402758</v>
      </c>
      <c r="D859" s="10">
        <f t="shared" si="401"/>
        <v>1.9928057558987078E-2</v>
      </c>
      <c r="E859" s="40">
        <f t="shared" si="402"/>
        <v>31.040143884882024</v>
      </c>
      <c r="F859" s="40">
        <f t="shared" si="403"/>
        <v>31.08</v>
      </c>
      <c r="G859" s="3">
        <f t="shared" si="404"/>
        <v>182.23942446048372</v>
      </c>
      <c r="H859" s="3">
        <f t="shared" si="405"/>
        <v>81.256230789298584</v>
      </c>
      <c r="I859">
        <f t="shared" si="390"/>
        <v>8.1256230789298584E-5</v>
      </c>
      <c r="J859" s="4">
        <f t="shared" si="406"/>
        <v>756.72369459321772</v>
      </c>
      <c r="K859" s="40">
        <f t="shared" si="407"/>
        <v>9.3128082270446377</v>
      </c>
      <c r="L859" s="40">
        <f t="shared" si="391"/>
        <v>0</v>
      </c>
      <c r="M859" s="10">
        <f t="shared" si="408"/>
        <v>4.8948935597719654</v>
      </c>
      <c r="N859" s="10">
        <f t="shared" si="387"/>
        <v>8.26</v>
      </c>
      <c r="O859" s="10">
        <f t="shared" si="388"/>
        <v>0.31900000000000001</v>
      </c>
      <c r="P859" s="10">
        <f t="shared" si="409"/>
        <v>13.709074762069866</v>
      </c>
      <c r="Q859" s="42">
        <f t="shared" si="410"/>
        <v>0.40193728954964059</v>
      </c>
      <c r="R859" s="4">
        <f t="shared" si="411"/>
        <v>354.37219130593951</v>
      </c>
      <c r="S859">
        <f t="shared" si="392"/>
        <v>3.5437219130593954E-7</v>
      </c>
      <c r="T859" s="41">
        <f t="shared" si="393"/>
        <v>1.7944999985057788E-4</v>
      </c>
      <c r="U859" s="42">
        <f t="shared" si="412"/>
        <v>6.3593861590807363E-4</v>
      </c>
      <c r="V859" s="42">
        <f t="shared" si="413"/>
        <v>0.43761609519284089</v>
      </c>
      <c r="W859" s="42">
        <f t="shared" si="414"/>
        <v>0.43515556754590634</v>
      </c>
      <c r="X859" s="42">
        <f t="shared" si="415"/>
        <v>2.4605276469345516E-3</v>
      </c>
      <c r="Y859" s="42">
        <f t="shared" si="389"/>
        <v>2.6603234362463412E-3</v>
      </c>
      <c r="Z859" s="10">
        <f t="shared" si="416"/>
        <v>14.824872880810839</v>
      </c>
      <c r="AA859">
        <f t="shared" si="394"/>
        <v>4893884.9304177575</v>
      </c>
      <c r="AB859" s="10">
        <f t="shared" si="395"/>
        <v>4.8938849304177579</v>
      </c>
      <c r="AC859" s="10">
        <f t="shared" si="396"/>
        <v>4.7928849304177579</v>
      </c>
      <c r="AD859" s="3">
        <f t="shared" si="397"/>
        <v>695.12471797211856</v>
      </c>
      <c r="AI859" s="94">
        <f t="shared" si="398"/>
        <v>0.43515556754590634</v>
      </c>
    </row>
    <row r="860" spans="2:35">
      <c r="B860" s="39">
        <f t="shared" si="399"/>
        <v>832</v>
      </c>
      <c r="C860" s="42">
        <f t="shared" si="400"/>
        <v>5.5267146282915878</v>
      </c>
      <c r="D860" s="10">
        <f t="shared" si="401"/>
        <v>1.3285371707674187E-2</v>
      </c>
      <c r="E860" s="40">
        <f t="shared" si="402"/>
        <v>31.05342925658465</v>
      </c>
      <c r="F860" s="40">
        <f t="shared" si="403"/>
        <v>31.08</v>
      </c>
      <c r="G860" s="3">
        <f t="shared" si="404"/>
        <v>182.18628297367323</v>
      </c>
      <c r="H860" s="3">
        <f t="shared" si="405"/>
        <v>81.256230789298584</v>
      </c>
      <c r="I860">
        <f t="shared" si="390"/>
        <v>8.1256230789298584E-5</v>
      </c>
      <c r="J860" s="4">
        <f t="shared" si="406"/>
        <v>757.37159796924755</v>
      </c>
      <c r="K860" s="40">
        <f t="shared" si="407"/>
        <v>9.320781810974589</v>
      </c>
      <c r="L860" s="40">
        <f t="shared" si="391"/>
        <v>0</v>
      </c>
      <c r="M860" s="10">
        <f t="shared" si="408"/>
        <v>4.8938849304177579</v>
      </c>
      <c r="N860" s="10">
        <f t="shared" si="387"/>
        <v>8.26</v>
      </c>
      <c r="O860" s="10">
        <f t="shared" si="388"/>
        <v>0.31900000000000001</v>
      </c>
      <c r="P860" s="10">
        <f t="shared" si="409"/>
        <v>13.708173569396175</v>
      </c>
      <c r="Q860" s="42">
        <f t="shared" si="410"/>
        <v>0.40242186802522556</v>
      </c>
      <c r="R860" s="4">
        <f t="shared" si="411"/>
        <v>236.22974765481524</v>
      </c>
      <c r="S860">
        <f t="shared" si="392"/>
        <v>2.3622974765481523E-7</v>
      </c>
      <c r="T860" s="41">
        <f t="shared" si="393"/>
        <v>1.7956814229422901E-4</v>
      </c>
      <c r="U860" s="42">
        <f t="shared" si="412"/>
        <v>4.2392609365394867E-4</v>
      </c>
      <c r="V860" s="42">
        <f t="shared" si="413"/>
        <v>0.43751947916833828</v>
      </c>
      <c r="W860" s="42">
        <f t="shared" si="414"/>
        <v>0.43506401134558581</v>
      </c>
      <c r="X860" s="42">
        <f t="shared" si="415"/>
        <v>2.4554678227524662E-3</v>
      </c>
      <c r="Y860" s="42">
        <f t="shared" si="389"/>
        <v>2.6615133031007384E-3</v>
      </c>
      <c r="Z860" s="10">
        <f t="shared" si="416"/>
        <v>14.821745489462996</v>
      </c>
      <c r="AA860">
        <f t="shared" si="394"/>
        <v>4892873.844050738</v>
      </c>
      <c r="AB860" s="10">
        <f t="shared" si="395"/>
        <v>4.8928738440507384</v>
      </c>
      <c r="AC860" s="10">
        <f t="shared" si="396"/>
        <v>4.7918738440507385</v>
      </c>
      <c r="AD860" s="3">
        <f t="shared" si="397"/>
        <v>694.9780774547844</v>
      </c>
      <c r="AI860" s="94">
        <f t="shared" si="398"/>
        <v>0.43506401134558581</v>
      </c>
    </row>
    <row r="861" spans="2:35">
      <c r="B861" s="39">
        <f t="shared" si="399"/>
        <v>833</v>
      </c>
      <c r="C861" s="42">
        <f t="shared" si="400"/>
        <v>5.5333573141428998</v>
      </c>
      <c r="D861" s="10">
        <f t="shared" si="401"/>
        <v>6.6426858563612967E-3</v>
      </c>
      <c r="E861" s="40">
        <f t="shared" si="402"/>
        <v>31.066714628287276</v>
      </c>
      <c r="F861" s="40">
        <f t="shared" si="403"/>
        <v>31.08</v>
      </c>
      <c r="G861" s="3">
        <f t="shared" si="404"/>
        <v>182.13314148686274</v>
      </c>
      <c r="H861" s="3">
        <f t="shared" si="405"/>
        <v>81.256230789298584</v>
      </c>
      <c r="I861">
        <f t="shared" si="390"/>
        <v>8.1256230789298584E-5</v>
      </c>
      <c r="J861" s="4">
        <f t="shared" si="406"/>
        <v>758.01977859255896</v>
      </c>
      <c r="K861" s="40">
        <f t="shared" si="407"/>
        <v>9.3287588069171168</v>
      </c>
      <c r="L861" s="40">
        <f t="shared" si="391"/>
        <v>0</v>
      </c>
      <c r="M861" s="10">
        <f t="shared" si="408"/>
        <v>4.8928738440507384</v>
      </c>
      <c r="N861" s="10">
        <f t="shared" si="387"/>
        <v>8.26</v>
      </c>
      <c r="O861" s="10">
        <f t="shared" si="388"/>
        <v>0.31900000000000001</v>
      </c>
      <c r="P861" s="10">
        <f t="shared" si="409"/>
        <v>13.707270054466996</v>
      </c>
      <c r="Q861" s="42">
        <f t="shared" si="410"/>
        <v>0.40290647844180866</v>
      </c>
      <c r="R861" s="4">
        <f t="shared" si="411"/>
        <v>118.10566918275039</v>
      </c>
      <c r="S861">
        <f t="shared" si="392"/>
        <v>1.1810566918275039E-7</v>
      </c>
      <c r="T861" s="41">
        <f t="shared" si="393"/>
        <v>1.7968626637270108E-4</v>
      </c>
      <c r="U861" s="42">
        <f t="shared" si="412"/>
        <v>2.1194652863190471E-4</v>
      </c>
      <c r="V861" s="42">
        <f t="shared" si="413"/>
        <v>0.43742263428152106</v>
      </c>
      <c r="W861" s="42">
        <f t="shared" si="414"/>
        <v>0.43497223211511438</v>
      </c>
      <c r="X861" s="42">
        <f t="shared" si="415"/>
        <v>2.4504021664066844E-3</v>
      </c>
      <c r="Y861" s="42">
        <f t="shared" si="389"/>
        <v>2.6627007935153971E-3</v>
      </c>
      <c r="Z861" s="10">
        <f t="shared" si="416"/>
        <v>14.818610499661032</v>
      </c>
      <c r="AA861">
        <f t="shared" si="394"/>
        <v>4891860.3011016911</v>
      </c>
      <c r="AB861" s="10">
        <f t="shared" si="395"/>
        <v>4.8918603011016915</v>
      </c>
      <c r="AC861" s="10">
        <f t="shared" si="396"/>
        <v>4.7908603011016915</v>
      </c>
      <c r="AD861" s="3">
        <f t="shared" si="397"/>
        <v>694.83108065289207</v>
      </c>
      <c r="AI861" s="94">
        <f t="shared" si="398"/>
        <v>0.43497223211511438</v>
      </c>
    </row>
    <row r="862" spans="2:35">
      <c r="B862" s="39">
        <f t="shared" si="399"/>
        <v>834</v>
      </c>
      <c r="C862" s="42">
        <f t="shared" si="400"/>
        <v>5.5399999999942118</v>
      </c>
      <c r="D862" s="10">
        <f t="shared" si="401"/>
        <v>5.0484061375755118E-12</v>
      </c>
      <c r="E862" s="40">
        <f t="shared" si="402"/>
        <v>31.079999999989901</v>
      </c>
      <c r="F862" s="40">
        <f t="shared" si="403"/>
        <v>31.08</v>
      </c>
      <c r="G862" s="3">
        <f t="shared" si="404"/>
        <v>182.08000000005225</v>
      </c>
      <c r="H862" s="3">
        <f t="shared" si="405"/>
        <v>81.256230789298584</v>
      </c>
      <c r="I862">
        <f t="shared" si="390"/>
        <v>8.1256230789298584E-5</v>
      </c>
      <c r="J862" s="4">
        <f t="shared" si="406"/>
        <v>758.66823646315186</v>
      </c>
      <c r="K862" s="40">
        <f t="shared" si="407"/>
        <v>9.3367392148722228</v>
      </c>
      <c r="L862" s="40">
        <f t="shared" si="391"/>
        <v>0</v>
      </c>
      <c r="M862" s="10">
        <f t="shared" si="408"/>
        <v>4.8918603011016915</v>
      </c>
      <c r="N862" s="10">
        <f t="shared" si="387"/>
        <v>8.26</v>
      </c>
      <c r="O862" s="10">
        <f t="shared" si="388"/>
        <v>0.31900000000000001</v>
      </c>
      <c r="P862" s="10">
        <f t="shared" si="409"/>
        <v>13.706364216696372</v>
      </c>
      <c r="Q862" s="42">
        <f t="shared" si="410"/>
        <v>0.40339112088573409</v>
      </c>
      <c r="R862" s="4">
        <f t="shared" si="411"/>
        <v>8.9759424554630046E-8</v>
      </c>
      <c r="S862">
        <f t="shared" si="392"/>
        <v>8.9759424554630046E-17</v>
      </c>
      <c r="T862" s="41">
        <f t="shared" si="393"/>
        <v>1.7980437204179406E-4</v>
      </c>
      <c r="U862" s="42">
        <f t="shared" si="412"/>
        <v>1.6107777533451134E-13</v>
      </c>
      <c r="V862" s="42">
        <f t="shared" si="413"/>
        <v>0.43732556058057026</v>
      </c>
      <c r="W862" s="42">
        <f t="shared" si="414"/>
        <v>0.43488022989359532</v>
      </c>
      <c r="X862" s="42">
        <f t="shared" si="415"/>
        <v>2.4453306869749447E-3</v>
      </c>
      <c r="Y862" s="42">
        <f>IF((X862*(Q862-Q861)+Y861)&lt;0,0,X862*(Q862-Q861)+Y861)</f>
        <v>2.6638859045557384E-3</v>
      </c>
      <c r="Z862" s="10">
        <f t="shared" si="416"/>
        <v>14.815467912740964</v>
      </c>
      <c r="AA862">
        <f t="shared" si="394"/>
        <v>4890844.3020025548</v>
      </c>
      <c r="AB862" s="10">
        <f t="shared" si="395"/>
        <v>4.8908443020025549</v>
      </c>
      <c r="AC862" s="10">
        <f t="shared" si="396"/>
        <v>4.789844302002555</v>
      </c>
      <c r="AD862" s="3">
        <f t="shared" si="397"/>
        <v>694.683727629087</v>
      </c>
      <c r="AI862" s="94">
        <f t="shared" si="398"/>
        <v>0.43488022989359532</v>
      </c>
    </row>
    <row r="863" spans="2:35">
      <c r="H863" s="3"/>
      <c r="J863" s="4"/>
      <c r="K863" s="40"/>
      <c r="L863" s="40"/>
      <c r="N863" s="10"/>
      <c r="P863" s="115">
        <f>AVERAGE(P28:P862)</f>
        <v>13.762200677444994</v>
      </c>
      <c r="Q863" s="42">
        <f>Q862+tbinc</f>
        <v>0.40380591126550303</v>
      </c>
      <c r="R863" s="4"/>
      <c r="T863" s="41"/>
      <c r="U863" s="42"/>
      <c r="W863" s="41"/>
      <c r="AB863" s="10">
        <f>pbout*EXP(-rat*to*astarf*(Q863-tbout)/vc*1000000000/cstar)</f>
        <v>4.5706921334845294</v>
      </c>
      <c r="AC863" s="10">
        <f t="shared" ref="AC863:AC909" si="417">AB863-patm</f>
        <v>4.4696921334845294</v>
      </c>
      <c r="AD863" s="3">
        <f t="shared" ref="AD863:AD909" si="418">AC863*1000000/6895</f>
        <v>648.2512158788295</v>
      </c>
      <c r="AI863" s="94">
        <f t="shared" ref="AI863:AI909" si="419">($M863-patm)*1000000*$I863/SQRT(rat*to)*SQRT(k)*(2/(k+1))^((k+1)/2/(k-1))</f>
        <v>0</v>
      </c>
    </row>
    <row r="864" spans="2:35">
      <c r="B864" s="20"/>
      <c r="C864" s="56" t="s">
        <v>147</v>
      </c>
      <c r="D864" s="20">
        <f>two-twebout</f>
        <v>5.5399999999949507</v>
      </c>
      <c r="H864" s="3"/>
      <c r="J864" s="4"/>
      <c r="K864" s="40"/>
      <c r="L864" s="40"/>
      <c r="N864" s="10"/>
      <c r="P864" s="10"/>
      <c r="Q864" s="42">
        <f>Q863+tbinc</f>
        <v>0.40422070164527196</v>
      </c>
      <c r="R864" s="4"/>
      <c r="T864" s="41"/>
      <c r="U864" s="42"/>
      <c r="W864" s="41"/>
      <c r="AB864" s="10">
        <f t="shared" ref="AB864:AB909" si="420">pbout*EXP(-rat*to*astarf*(Q864-tbout)/vc*1000000000/cstar)</f>
        <v>4.2714969623022867</v>
      </c>
      <c r="AC864" s="10">
        <f t="shared" si="417"/>
        <v>4.1704969623022867</v>
      </c>
      <c r="AD864" s="3">
        <f t="shared" si="418"/>
        <v>604.85815261817061</v>
      </c>
      <c r="AI864" s="94">
        <f t="shared" si="419"/>
        <v>0</v>
      </c>
    </row>
    <row r="865" spans="4:35">
      <c r="D865">
        <f>two</f>
        <v>5.5399999999999991</v>
      </c>
      <c r="Q865" s="42">
        <f t="shared" ref="Q865:Q910" si="421">Q864+tbinc</f>
        <v>0.4046354920250409</v>
      </c>
      <c r="AB865" s="10">
        <f t="shared" si="420"/>
        <v>3.9918869541204072</v>
      </c>
      <c r="AC865" s="10">
        <f t="shared" si="417"/>
        <v>3.8908869541204072</v>
      </c>
      <c r="AD865" s="3">
        <f t="shared" si="418"/>
        <v>564.3055771023071</v>
      </c>
      <c r="AI865" s="94">
        <f t="shared" si="419"/>
        <v>0</v>
      </c>
    </row>
    <row r="866" spans="4:35">
      <c r="Q866" s="42">
        <f t="shared" si="421"/>
        <v>0.40505028240480984</v>
      </c>
      <c r="AB866" s="10">
        <f t="shared" si="420"/>
        <v>3.7305800741779844</v>
      </c>
      <c r="AC866" s="10">
        <f t="shared" si="417"/>
        <v>3.6295800741779845</v>
      </c>
      <c r="AD866" s="3">
        <f t="shared" si="418"/>
        <v>526.40755245511014</v>
      </c>
      <c r="AI866" s="94">
        <f t="shared" si="419"/>
        <v>0</v>
      </c>
    </row>
    <row r="867" spans="4:35">
      <c r="Q867" s="42">
        <f t="shared" si="421"/>
        <v>0.40546507278457877</v>
      </c>
      <c r="AB867" s="10">
        <f t="shared" si="420"/>
        <v>3.4863782090543713</v>
      </c>
      <c r="AC867" s="10">
        <f t="shared" si="417"/>
        <v>3.3853782090543714</v>
      </c>
      <c r="AD867" s="3">
        <f t="shared" si="418"/>
        <v>490.99031313333887</v>
      </c>
      <c r="AI867" s="94">
        <f t="shared" si="419"/>
        <v>0</v>
      </c>
    </row>
    <row r="868" spans="4:35">
      <c r="Q868" s="42">
        <f t="shared" si="421"/>
        <v>0.40587986316434771</v>
      </c>
      <c r="AB868" s="10">
        <f t="shared" si="420"/>
        <v>3.2581616732211351</v>
      </c>
      <c r="AC868" s="10">
        <f t="shared" si="417"/>
        <v>3.1571616732211352</v>
      </c>
      <c r="AD868" s="3">
        <f t="shared" si="418"/>
        <v>457.89146819740898</v>
      </c>
      <c r="AI868" s="94">
        <f t="shared" si="419"/>
        <v>0</v>
      </c>
    </row>
    <row r="869" spans="4:35">
      <c r="Q869" s="42">
        <f t="shared" si="421"/>
        <v>0.40629465354411665</v>
      </c>
      <c r="AB869" s="10">
        <f t="shared" si="420"/>
        <v>3.0448840751923116</v>
      </c>
      <c r="AC869" s="10">
        <f t="shared" si="417"/>
        <v>2.9438840751923117</v>
      </c>
      <c r="AD869" s="3">
        <f t="shared" si="418"/>
        <v>426.95925673565074</v>
      </c>
      <c r="AI869" s="94">
        <f t="shared" si="419"/>
        <v>0</v>
      </c>
    </row>
    <row r="870" spans="4:35">
      <c r="Q870" s="42">
        <f t="shared" si="421"/>
        <v>0.40670944392388558</v>
      </c>
      <c r="AB870" s="10">
        <f t="shared" si="420"/>
        <v>2.8455675197338439</v>
      </c>
      <c r="AC870" s="10">
        <f t="shared" si="417"/>
        <v>2.7445675197338439</v>
      </c>
      <c r="AD870" s="3">
        <f t="shared" si="418"/>
        <v>398.05185202811367</v>
      </c>
      <c r="AI870" s="94">
        <f t="shared" si="419"/>
        <v>0</v>
      </c>
    </row>
    <row r="871" spans="4:35">
      <c r="Q871" s="42">
        <f t="shared" si="421"/>
        <v>0.40712423430365452</v>
      </c>
      <c r="AB871" s="10">
        <f t="shared" si="420"/>
        <v>2.6592981241339402</v>
      </c>
      <c r="AC871" s="10">
        <f t="shared" si="417"/>
        <v>2.5582981241339402</v>
      </c>
      <c r="AD871" s="3">
        <f t="shared" si="418"/>
        <v>371.03671125945471</v>
      </c>
      <c r="AI871" s="94">
        <f t="shared" si="419"/>
        <v>0</v>
      </c>
    </row>
    <row r="872" spans="4:35">
      <c r="Q872" s="42">
        <f t="shared" si="421"/>
        <v>0.40753902468342346</v>
      </c>
      <c r="AB872" s="10">
        <f t="shared" si="420"/>
        <v>2.4852218279760758</v>
      </c>
      <c r="AC872" s="10">
        <f t="shared" si="417"/>
        <v>2.3842218279760758</v>
      </c>
      <c r="AD872" s="3">
        <f t="shared" si="418"/>
        <v>345.78996779928588</v>
      </c>
      <c r="AI872" s="94">
        <f t="shared" si="419"/>
        <v>0</v>
      </c>
    </row>
    <row r="873" spans="4:35">
      <c r="Q873" s="42">
        <f t="shared" si="421"/>
        <v>0.40795381506319239</v>
      </c>
      <c r="AB873" s="10">
        <f t="shared" si="420"/>
        <v>2.3225404772021228</v>
      </c>
      <c r="AC873" s="10">
        <f t="shared" si="417"/>
        <v>2.2215404772021228</v>
      </c>
      <c r="AD873" s="3">
        <f t="shared" si="418"/>
        <v>322.19586326354209</v>
      </c>
      <c r="AI873" s="94">
        <f t="shared" si="419"/>
        <v>0</v>
      </c>
    </row>
    <row r="874" spans="4:35">
      <c r="Q874" s="42">
        <f t="shared" si="421"/>
        <v>0.40836860544296133</v>
      </c>
      <c r="AB874" s="10">
        <f t="shared" si="420"/>
        <v>2.1705081645106934</v>
      </c>
      <c r="AC874" s="10">
        <f t="shared" si="417"/>
        <v>2.0695081645106934</v>
      </c>
      <c r="AD874" s="3">
        <f t="shared" si="418"/>
        <v>300.14621675281995</v>
      </c>
      <c r="AI874" s="94">
        <f t="shared" si="419"/>
        <v>0</v>
      </c>
    </row>
    <row r="875" spans="4:35">
      <c r="Q875" s="42">
        <f t="shared" si="421"/>
        <v>0.40878339582273027</v>
      </c>
      <c r="AB875" s="10">
        <f t="shared" si="420"/>
        <v>2.0284278093111516</v>
      </c>
      <c r="AC875" s="10">
        <f t="shared" si="417"/>
        <v>1.9274278093111517</v>
      </c>
      <c r="AD875" s="3">
        <f t="shared" si="418"/>
        <v>279.53992883410467</v>
      </c>
      <c r="AI875" s="94">
        <f t="shared" si="419"/>
        <v>0</v>
      </c>
    </row>
    <row r="876" spans="4:35">
      <c r="Q876" s="42">
        <f t="shared" si="421"/>
        <v>0.4091981862024992</v>
      </c>
      <c r="AB876" s="10">
        <f t="shared" si="420"/>
        <v>1.8956479615520778</v>
      </c>
      <c r="AC876" s="10">
        <f t="shared" si="417"/>
        <v>1.7946479615520778</v>
      </c>
      <c r="AD876" s="3">
        <f t="shared" si="418"/>
        <v>260.28251799159943</v>
      </c>
      <c r="AI876" s="94">
        <f t="shared" si="419"/>
        <v>0</v>
      </c>
    </row>
    <row r="877" spans="4:35">
      <c r="Q877" s="42">
        <f t="shared" si="421"/>
        <v>0.40961297658226814</v>
      </c>
      <c r="AB877" s="10">
        <f t="shared" si="420"/>
        <v>1.7715598147694909</v>
      </c>
      <c r="AC877" s="10">
        <f t="shared" si="417"/>
        <v>1.6705598147694909</v>
      </c>
      <c r="AD877" s="3">
        <f t="shared" si="418"/>
        <v>242.28568742124597</v>
      </c>
      <c r="AI877" s="94">
        <f t="shared" si="419"/>
        <v>0</v>
      </c>
    </row>
    <row r="878" spans="4:35">
      <c r="Q878" s="42">
        <f t="shared" si="421"/>
        <v>0.41002776696203708</v>
      </c>
      <c r="AB878" s="10">
        <f t="shared" si="420"/>
        <v>1.6555944146594084</v>
      </c>
      <c r="AC878" s="10">
        <f t="shared" si="417"/>
        <v>1.5545944146594084</v>
      </c>
      <c r="AD878" s="3">
        <f t="shared" si="418"/>
        <v>225.46692018265531</v>
      </c>
      <c r="AI878" s="94">
        <f t="shared" si="419"/>
        <v>0</v>
      </c>
    </row>
    <row r="879" spans="4:35">
      <c r="Q879" s="42">
        <f t="shared" si="421"/>
        <v>0.41044255734180601</v>
      </c>
      <c r="AB879" s="10">
        <f t="shared" si="420"/>
        <v>1.5472200503758193</v>
      </c>
      <c r="AC879" s="10">
        <f t="shared" si="417"/>
        <v>1.4462200503758194</v>
      </c>
      <c r="AD879" s="3">
        <f t="shared" si="418"/>
        <v>209.74910085218556</v>
      </c>
      <c r="AI879" s="94">
        <f t="shared" si="419"/>
        <v>0</v>
      </c>
    </row>
    <row r="880" spans="4:35">
      <c r="Q880" s="42">
        <f t="shared" si="421"/>
        <v>0.41085734772157495</v>
      </c>
      <c r="AB880" s="10">
        <f t="shared" si="420"/>
        <v>1.4459398165929591</v>
      </c>
      <c r="AC880" s="10">
        <f t="shared" si="417"/>
        <v>1.3449398165929591</v>
      </c>
      <c r="AD880" s="3">
        <f t="shared" si="418"/>
        <v>195.06016194241613</v>
      </c>
      <c r="AI880" s="94">
        <f t="shared" si="419"/>
        <v>0</v>
      </c>
    </row>
    <row r="881" spans="17:35">
      <c r="Q881" s="42">
        <f t="shared" si="421"/>
        <v>0.41127213810134389</v>
      </c>
      <c r="AB881" s="10">
        <f t="shared" si="420"/>
        <v>1.3512893351537427</v>
      </c>
      <c r="AC881" s="10">
        <f t="shared" si="417"/>
        <v>1.2502893351537427</v>
      </c>
      <c r="AD881" s="3">
        <f t="shared" si="418"/>
        <v>181.33275346682274</v>
      </c>
      <c r="AI881" s="94">
        <f t="shared" si="419"/>
        <v>0</v>
      </c>
    </row>
    <row r="882" spans="17:35">
      <c r="Q882" s="42">
        <f t="shared" si="421"/>
        <v>0.41168692848111282</v>
      </c>
      <c r="AB882" s="10">
        <f t="shared" si="420"/>
        <v>1.2628346258579228</v>
      </c>
      <c r="AC882" s="10">
        <f t="shared" si="417"/>
        <v>1.1618346258579229</v>
      </c>
      <c r="AD882" s="3">
        <f t="shared" si="418"/>
        <v>168.50393413457911</v>
      </c>
      <c r="AI882" s="94">
        <f t="shared" si="419"/>
        <v>0</v>
      </c>
    </row>
    <row r="883" spans="17:35">
      <c r="Q883" s="42">
        <f t="shared" si="421"/>
        <v>0.41210171886088176</v>
      </c>
      <c r="AB883" s="10">
        <f t="shared" si="420"/>
        <v>1.1801701166273753</v>
      </c>
      <c r="AC883" s="10">
        <f t="shared" si="417"/>
        <v>1.0791701166273753</v>
      </c>
      <c r="AD883" s="3">
        <f t="shared" si="418"/>
        <v>156.51488275959034</v>
      </c>
      <c r="AI883" s="94">
        <f t="shared" si="419"/>
        <v>0</v>
      </c>
    </row>
    <row r="884" spans="17:35">
      <c r="Q884" s="42">
        <f t="shared" si="421"/>
        <v>0.4125165092406507</v>
      </c>
      <c r="AB884" s="10">
        <f t="shared" si="420"/>
        <v>1.1029167839249376</v>
      </c>
      <c r="AC884" s="10">
        <f t="shared" si="417"/>
        <v>1.0019167839249377</v>
      </c>
      <c r="AD884" s="3">
        <f t="shared" si="418"/>
        <v>145.31062856054209</v>
      </c>
      <c r="AI884" s="94">
        <f t="shared" si="419"/>
        <v>0</v>
      </c>
    </row>
    <row r="885" spans="17:35">
      <c r="Q885" s="42">
        <f t="shared" si="421"/>
        <v>0.41293129962041963</v>
      </c>
      <c r="AB885" s="10">
        <f t="shared" si="420"/>
        <v>1.0307204149004896</v>
      </c>
      <c r="AC885" s="10">
        <f t="shared" si="417"/>
        <v>0.92972041490048962</v>
      </c>
      <c r="AD885" s="3">
        <f t="shared" si="418"/>
        <v>134.83979911537196</v>
      </c>
      <c r="AI885" s="94">
        <f t="shared" si="419"/>
        <v>0</v>
      </c>
    </row>
    <row r="886" spans="17:35">
      <c r="Q886" s="42">
        <f t="shared" si="421"/>
        <v>0.41334609000018857</v>
      </c>
      <c r="AB886" s="10">
        <f t="shared" si="420"/>
        <v>0.96324998329605749</v>
      </c>
      <c r="AC886" s="10">
        <f t="shared" si="417"/>
        <v>0.86224998329605751</v>
      </c>
      <c r="AD886" s="3">
        <f t="shared" si="418"/>
        <v>125.05438481451161</v>
      </c>
      <c r="AI886" s="94">
        <f t="shared" si="419"/>
        <v>0</v>
      </c>
    </row>
    <row r="887" spans="17:35">
      <c r="Q887" s="42">
        <f t="shared" si="421"/>
        <v>0.41376088037995751</v>
      </c>
      <c r="AB887" s="10">
        <f t="shared" si="420"/>
        <v>0.90019613166334111</v>
      </c>
      <c r="AC887" s="10">
        <f t="shared" si="417"/>
        <v>0.79919613166334114</v>
      </c>
      <c r="AD887" s="3">
        <f t="shared" si="418"/>
        <v>115.90951873289937</v>
      </c>
      <c r="AI887" s="94">
        <f t="shared" si="419"/>
        <v>0</v>
      </c>
    </row>
    <row r="888" spans="17:35">
      <c r="Q888" s="42">
        <f t="shared" si="421"/>
        <v>0.41417567075972644</v>
      </c>
      <c r="AB888" s="10">
        <f t="shared" si="420"/>
        <v>0.84126975293450845</v>
      </c>
      <c r="AC888" s="10">
        <f t="shared" si="417"/>
        <v>0.74026975293450847</v>
      </c>
      <c r="AD888" s="3">
        <f t="shared" si="418"/>
        <v>107.36327091145881</v>
      </c>
      <c r="AI888" s="94">
        <f t="shared" si="419"/>
        <v>0</v>
      </c>
    </row>
    <row r="889" spans="17:35">
      <c r="Q889" s="42">
        <f t="shared" si="421"/>
        <v>0.41459046113949538</v>
      </c>
      <c r="AB889" s="10">
        <f t="shared" si="420"/>
        <v>0.78620066484263662</v>
      </c>
      <c r="AC889" s="10">
        <f t="shared" si="417"/>
        <v>0.68520066484263664</v>
      </c>
      <c r="AD889" s="3">
        <f t="shared" si="418"/>
        <v>99.376456104805897</v>
      </c>
      <c r="AI889" s="94">
        <f t="shared" si="419"/>
        <v>0</v>
      </c>
    </row>
    <row r="890" spans="17:35">
      <c r="Q890" s="42">
        <f t="shared" si="421"/>
        <v>0.41500525151926432</v>
      </c>
      <c r="AB890" s="10">
        <f t="shared" si="420"/>
        <v>0.73473637111391943</v>
      </c>
      <c r="AC890" s="10">
        <f t="shared" si="417"/>
        <v>0.63373637111391945</v>
      </c>
      <c r="AD890" s="3">
        <f t="shared" si="418"/>
        <v>91.912454113693897</v>
      </c>
      <c r="AI890" s="94">
        <f t="shared" si="419"/>
        <v>0</v>
      </c>
    </row>
    <row r="891" spans="17:35">
      <c r="Q891" s="42">
        <f t="shared" si="421"/>
        <v>0.41542004189903325</v>
      </c>
      <c r="AB891" s="10">
        <f t="shared" si="420"/>
        <v>0.68664090375159248</v>
      </c>
      <c r="AC891" s="10">
        <f t="shared" si="417"/>
        <v>0.5856409037515925</v>
      </c>
      <c r="AD891" s="3">
        <f t="shared" si="418"/>
        <v>84.937041878403548</v>
      </c>
      <c r="AI891" s="94">
        <f t="shared" si="419"/>
        <v>0</v>
      </c>
    </row>
    <row r="892" spans="17:35">
      <c r="Q892" s="42">
        <f t="shared" si="421"/>
        <v>0.41583483227880219</v>
      </c>
      <c r="AB892" s="10">
        <f t="shared" si="420"/>
        <v>0.64169374110336863</v>
      </c>
      <c r="AC892" s="10">
        <f t="shared" si="417"/>
        <v>0.54069374110336865</v>
      </c>
      <c r="AD892" s="3">
        <f t="shared" si="418"/>
        <v>78.418236563215189</v>
      </c>
      <c r="AI892" s="94">
        <f t="shared" si="419"/>
        <v>0</v>
      </c>
    </row>
    <row r="893" spans="17:35">
      <c r="Q893" s="42">
        <f t="shared" si="421"/>
        <v>0.41624962265857113</v>
      </c>
      <c r="AB893" s="10">
        <f t="shared" si="420"/>
        <v>0.59968879675161912</v>
      </c>
      <c r="AC893" s="10">
        <f t="shared" si="417"/>
        <v>0.49868879675161915</v>
      </c>
      <c r="AD893" s="3">
        <f t="shared" si="418"/>
        <v>72.326148912490083</v>
      </c>
      <c r="AI893" s="94">
        <f t="shared" si="419"/>
        <v>0</v>
      </c>
    </row>
    <row r="894" spans="17:35">
      <c r="Q894" s="42">
        <f t="shared" si="421"/>
        <v>0.41666441303834006</v>
      </c>
      <c r="AB894" s="10">
        <f t="shared" si="420"/>
        <v>0.56043347459029313</v>
      </c>
      <c r="AC894" s="10">
        <f t="shared" si="417"/>
        <v>0.45943347459029316</v>
      </c>
      <c r="AD894" s="3">
        <f t="shared" si="418"/>
        <v>66.632846205988855</v>
      </c>
      <c r="AI894" s="94">
        <f t="shared" si="419"/>
        <v>0</v>
      </c>
    </row>
    <row r="895" spans="17:35">
      <c r="Q895" s="42">
        <f t="shared" si="421"/>
        <v>0.417079203418109</v>
      </c>
      <c r="AB895" s="10">
        <f t="shared" si="420"/>
        <v>0.52374778575601366</v>
      </c>
      <c r="AC895" s="10">
        <f t="shared" si="417"/>
        <v>0.42274778575601368</v>
      </c>
      <c r="AD895" s="3">
        <f t="shared" si="418"/>
        <v>61.312224185063627</v>
      </c>
      <c r="AI895" s="94">
        <f t="shared" si="419"/>
        <v>0</v>
      </c>
    </row>
    <row r="896" spans="17:35">
      <c r="Q896" s="42">
        <f t="shared" si="421"/>
        <v>0.41749399379787794</v>
      </c>
      <c r="AB896" s="10">
        <f t="shared" si="420"/>
        <v>0.4894635233644169</v>
      </c>
      <c r="AC896" s="10">
        <f t="shared" si="417"/>
        <v>0.38846352336441692</v>
      </c>
      <c r="AD896" s="3">
        <f t="shared" si="418"/>
        <v>56.339887362497016</v>
      </c>
      <c r="AI896" s="94">
        <f t="shared" si="419"/>
        <v>0</v>
      </c>
    </row>
    <row r="897" spans="15:35">
      <c r="Q897" s="42">
        <f t="shared" si="421"/>
        <v>0.41790878417764687</v>
      </c>
      <c r="AB897" s="10">
        <f t="shared" si="420"/>
        <v>0.45742349126782578</v>
      </c>
      <c r="AC897" s="10">
        <f t="shared" si="417"/>
        <v>0.3564234912678258</v>
      </c>
      <c r="AD897" s="3">
        <f t="shared" si="418"/>
        <v>51.693037167197367</v>
      </c>
      <c r="AI897" s="94">
        <f t="shared" si="419"/>
        <v>0</v>
      </c>
    </row>
    <row r="898" spans="15:35">
      <c r="Q898" s="42">
        <f t="shared" si="421"/>
        <v>0.41832357455741581</v>
      </c>
      <c r="AB898" s="10">
        <f t="shared" si="420"/>
        <v>0.42748078329805478</v>
      </c>
      <c r="AC898" s="10">
        <f t="shared" si="417"/>
        <v>0.32648078329805474</v>
      </c>
      <c r="AD898" s="3">
        <f t="shared" si="418"/>
        <v>47.35036741088539</v>
      </c>
      <c r="AI898" s="94">
        <f t="shared" si="419"/>
        <v>0</v>
      </c>
    </row>
    <row r="899" spans="15:35">
      <c r="Q899" s="42">
        <f t="shared" si="421"/>
        <v>0.41873836493718475</v>
      </c>
      <c r="AB899" s="10">
        <f t="shared" si="420"/>
        <v>0.39949810968961091</v>
      </c>
      <c r="AC899" s="10">
        <f t="shared" si="417"/>
        <v>0.29849810968961088</v>
      </c>
      <c r="AD899" s="3">
        <f t="shared" si="418"/>
        <v>43.291966597478009</v>
      </c>
      <c r="AI899" s="94">
        <f t="shared" si="419"/>
        <v>0</v>
      </c>
    </row>
    <row r="900" spans="15:35">
      <c r="Q900" s="42">
        <f t="shared" si="421"/>
        <v>0.41915315531695369</v>
      </c>
      <c r="AB900" s="10">
        <f t="shared" si="420"/>
        <v>0.37334716759488651</v>
      </c>
      <c r="AC900" s="10">
        <f t="shared" si="417"/>
        <v>0.27234716759488653</v>
      </c>
      <c r="AD900" s="3">
        <f t="shared" si="418"/>
        <v>39.499226627249676</v>
      </c>
      <c r="AI900" s="94">
        <f t="shared" si="419"/>
        <v>0</v>
      </c>
    </row>
    <row r="901" spans="15:35">
      <c r="Q901" s="42">
        <f t="shared" si="421"/>
        <v>0.41956794569672262</v>
      </c>
      <c r="AB901" s="10">
        <f t="shared" si="420"/>
        <v>0.34890805280510995</v>
      </c>
      <c r="AC901" s="10">
        <f t="shared" si="417"/>
        <v>0.24790805280510994</v>
      </c>
      <c r="AD901" s="3">
        <f t="shared" si="418"/>
        <v>35.954757477173303</v>
      </c>
      <c r="AI901" s="94">
        <f t="shared" si="419"/>
        <v>0</v>
      </c>
    </row>
    <row r="902" spans="15:35">
      <c r="Q902" s="42">
        <f t="shared" si="421"/>
        <v>0.41998273607649156</v>
      </c>
      <c r="AB902" s="10">
        <f t="shared" si="420"/>
        <v>0.32606870997973691</v>
      </c>
      <c r="AC902" s="10">
        <f t="shared" si="417"/>
        <v>0.22506870997973691</v>
      </c>
      <c r="AD902" s="3">
        <f t="shared" si="418"/>
        <v>32.64230746624176</v>
      </c>
      <c r="AI902" s="94">
        <f t="shared" si="419"/>
        <v>0</v>
      </c>
    </row>
    <row r="903" spans="15:35">
      <c r="Q903" s="42">
        <f t="shared" si="421"/>
        <v>0.4203975264562605</v>
      </c>
      <c r="AB903" s="10">
        <f t="shared" si="420"/>
        <v>0.3047244188635499</v>
      </c>
      <c r="AC903" s="10">
        <f t="shared" si="417"/>
        <v>0.20372441886354989</v>
      </c>
      <c r="AD903" s="3">
        <f t="shared" si="418"/>
        <v>29.546688740181274</v>
      </c>
      <c r="AI903" s="94">
        <f t="shared" si="419"/>
        <v>0</v>
      </c>
    </row>
    <row r="904" spans="15:35">
      <c r="Q904" s="42">
        <f t="shared" si="421"/>
        <v>0.42081231683602943</v>
      </c>
      <c r="AB904" s="10">
        <f t="shared" si="420"/>
        <v>0.28477731413571894</v>
      </c>
      <c r="AC904" s="10">
        <f t="shared" si="417"/>
        <v>0.18377731413571893</v>
      </c>
      <c r="AD904" s="3">
        <f t="shared" si="418"/>
        <v>26.653707633896875</v>
      </c>
      <c r="AI904" s="94">
        <f t="shared" si="419"/>
        <v>0</v>
      </c>
    </row>
    <row r="905" spans="15:35">
      <c r="Q905" s="42">
        <f t="shared" si="421"/>
        <v>0.42122710721579837</v>
      </c>
      <c r="AB905" s="10">
        <f t="shared" si="420"/>
        <v>0.26613593668930152</v>
      </c>
      <c r="AC905" s="10">
        <f t="shared" si="417"/>
        <v>0.16513593668930152</v>
      </c>
      <c r="AD905" s="3">
        <f t="shared" si="418"/>
        <v>23.950099592356999</v>
      </c>
      <c r="AI905" s="94">
        <f t="shared" si="419"/>
        <v>0</v>
      </c>
    </row>
    <row r="906" spans="15:35">
      <c r="Q906" s="42">
        <f t="shared" si="421"/>
        <v>0.42164189759556731</v>
      </c>
      <c r="AB906" s="10">
        <f t="shared" si="420"/>
        <v>0.24871481428375514</v>
      </c>
      <c r="AC906" s="10">
        <f t="shared" si="417"/>
        <v>0.14771481428375513</v>
      </c>
      <c r="AD906" s="3">
        <f t="shared" si="418"/>
        <v>21.423468351523589</v>
      </c>
      <c r="AI906" s="94">
        <f t="shared" si="419"/>
        <v>0</v>
      </c>
    </row>
    <row r="907" spans="15:35">
      <c r="Q907" s="42">
        <f t="shared" si="421"/>
        <v>0.42205668797533624</v>
      </c>
      <c r="Z907" s="2" t="s">
        <v>151</v>
      </c>
      <c r="AA907">
        <v>0.02</v>
      </c>
      <c r="AB907" s="10">
        <f t="shared" si="420"/>
        <v>0.23243406964772179</v>
      </c>
      <c r="AC907" s="10">
        <f t="shared" si="417"/>
        <v>0.13143406964772178</v>
      </c>
      <c r="AD907" s="3">
        <f t="shared" si="418"/>
        <v>19.062229100467263</v>
      </c>
      <c r="AI907" s="94">
        <f t="shared" si="419"/>
        <v>0</v>
      </c>
    </row>
    <row r="908" spans="15:35">
      <c r="Q908" s="42">
        <f t="shared" si="421"/>
        <v>0.42247147835510518</v>
      </c>
      <c r="Z908" s="2" t="s">
        <v>152</v>
      </c>
      <c r="AA908">
        <f>pmaxperc/100*pmax+patm</f>
        <v>0.1019993826050575</v>
      </c>
      <c r="AB908" s="10">
        <f t="shared" si="420"/>
        <v>0.21721905423520521</v>
      </c>
      <c r="AC908" s="10">
        <f t="shared" si="417"/>
        <v>0.1162190542352052</v>
      </c>
      <c r="AD908" s="3">
        <f t="shared" si="418"/>
        <v>16.855555364061669</v>
      </c>
      <c r="AI908" s="94">
        <f t="shared" si="419"/>
        <v>0</v>
      </c>
    </row>
    <row r="909" spans="15:35">
      <c r="O909" t="s">
        <v>155</v>
      </c>
      <c r="P909">
        <f>tbinc</f>
        <v>4.1479037976894969E-4</v>
      </c>
      <c r="Q909" s="42">
        <f t="shared" si="421"/>
        <v>0.42288626873487412</v>
      </c>
      <c r="Z909" s="7" t="s">
        <v>154</v>
      </c>
      <c r="AA909" s="10">
        <f>AA908-pfinal+0.101</f>
        <v>-6.2335082270936759E-7</v>
      </c>
      <c r="AB909" s="10">
        <f t="shared" si="420"/>
        <v>0.20300000595588022</v>
      </c>
      <c r="AC909" s="10">
        <f t="shared" si="417"/>
        <v>0.10200000595588021</v>
      </c>
      <c r="AD909" s="3">
        <f t="shared" si="418"/>
        <v>14.79332936270924</v>
      </c>
      <c r="AI909" s="94">
        <f t="shared" si="419"/>
        <v>0</v>
      </c>
    </row>
    <row r="910" spans="15:35">
      <c r="Q910" s="42">
        <f t="shared" si="421"/>
        <v>0.42330105911464305</v>
      </c>
      <c r="AC910" s="57">
        <v>0</v>
      </c>
      <c r="AD910" s="57">
        <v>0</v>
      </c>
    </row>
  </sheetData>
  <sheetProtection password="C7BC" sheet="1"/>
  <customSheetViews>
    <customSheetView guid="{136183A0-5E83-4B15-A2A6-F3C23DCC406A}" showGridLines="0" printArea="1">
      <selection activeCell="G53" sqref="G53"/>
      <pageMargins left="0.57999999999999996" right="0.36" top="1" bottom="1" header="0.5" footer="0.5"/>
      <pageSetup orientation="landscape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pageMargins left="0.57999999999999996" right="0.36" top="1" bottom="1" header="0.5" footer="0.5"/>
  <pageSetup orientation="landscape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5" name="Button 1">
              <controlPr defaultSize="0" print="0" autoFill="0" autoPict="0" macro="[0]!Macro2">
                <anchor moveWithCells="1" sizeWithCells="1">
                  <from>
                    <xdr:col>4</xdr:col>
                    <xdr:colOff>213360</xdr:colOff>
                    <xdr:row>21</xdr:row>
                    <xdr:rowOff>22860</xdr:rowOff>
                  </from>
                  <to>
                    <xdr:col>5</xdr:col>
                    <xdr:colOff>601980</xdr:colOff>
                    <xdr:row>23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6" name="Button 2">
              <controlPr defaultSize="0" print="0" autoFill="0" autoPict="0" macro="[0]!Macro3">
                <anchor moveWithCells="1" sizeWithCells="1">
                  <from>
                    <xdr:col>7</xdr:col>
                    <xdr:colOff>304800</xdr:colOff>
                    <xdr:row>21</xdr:row>
                    <xdr:rowOff>38100</xdr:rowOff>
                  </from>
                  <to>
                    <xdr:col>8</xdr:col>
                    <xdr:colOff>617220</xdr:colOff>
                    <xdr:row>23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rgb="FFFFFF00"/>
    <pageSetUpPr autoPageBreaks="0"/>
  </sheetPr>
  <dimension ref="B1:Q911"/>
  <sheetViews>
    <sheetView showGridLines="0" zoomScale="70" zoomScaleNormal="70" workbookViewId="0">
      <selection activeCell="O30" sqref="O30"/>
    </sheetView>
  </sheetViews>
  <sheetFormatPr baseColWidth="10" defaultColWidth="8.88671875" defaultRowHeight="13.2"/>
  <cols>
    <col min="1" max="1" width="4.6640625" customWidth="1"/>
    <col min="2" max="2" width="9.109375" customWidth="1"/>
    <col min="3" max="3" width="10.109375" bestFit="1" customWidth="1"/>
    <col min="4" max="4" width="9.6640625" customWidth="1"/>
    <col min="5" max="5" width="9.88671875" customWidth="1"/>
    <col min="6" max="6" width="11.44140625" bestFit="1" customWidth="1"/>
  </cols>
  <sheetData>
    <row r="1" spans="2:5">
      <c r="B1" s="76" t="s">
        <v>183</v>
      </c>
    </row>
    <row r="3" spans="2:5">
      <c r="B3" s="2" t="s">
        <v>110</v>
      </c>
      <c r="C3">
        <f>k</f>
        <v>1.133</v>
      </c>
      <c r="D3" s="55"/>
      <c r="E3" t="s">
        <v>313</v>
      </c>
    </row>
    <row r="4" spans="2:5">
      <c r="B4" s="7" t="s">
        <v>177</v>
      </c>
      <c r="C4" s="85">
        <v>0.75</v>
      </c>
      <c r="D4" s="1" t="str">
        <f>IF(etanoz&gt;1,"Invalid","")</f>
        <v/>
      </c>
      <c r="E4" t="s">
        <v>178</v>
      </c>
    </row>
    <row r="5" spans="2:5">
      <c r="B5" s="2" t="s">
        <v>55</v>
      </c>
      <c r="C5" s="85">
        <v>4.5</v>
      </c>
      <c r="D5" s="55"/>
      <c r="E5" t="s">
        <v>282</v>
      </c>
    </row>
    <row r="6" spans="2:5">
      <c r="B6" s="2" t="s">
        <v>126</v>
      </c>
      <c r="C6" s="8">
        <f>patm</f>
        <v>0.10100000000000001</v>
      </c>
      <c r="D6" s="55" t="s">
        <v>127</v>
      </c>
      <c r="E6" t="s">
        <v>128</v>
      </c>
    </row>
    <row r="7" spans="2:5" ht="15.6">
      <c r="B7" s="2" t="s">
        <v>286</v>
      </c>
      <c r="C7" s="3">
        <f>at</f>
        <v>81.256230789298584</v>
      </c>
      <c r="D7" s="55" t="s">
        <v>15</v>
      </c>
      <c r="E7" t="s">
        <v>37</v>
      </c>
    </row>
    <row r="8" spans="2:5" ht="15.6">
      <c r="B8" s="2" t="s">
        <v>165</v>
      </c>
      <c r="C8" s="3">
        <f>exprat*at</f>
        <v>365.65303855184362</v>
      </c>
      <c r="D8" s="55" t="s">
        <v>15</v>
      </c>
      <c r="E8" t="s">
        <v>166</v>
      </c>
    </row>
    <row r="9" spans="2:5">
      <c r="B9" s="2" t="s">
        <v>285</v>
      </c>
      <c r="C9" s="83">
        <v>2.5992897854448858</v>
      </c>
      <c r="D9" s="314">
        <f>exprat-1/me*((1+(k-1)/2*me^2)/(1+(k-1)/2))^((k+1)/2/(k-1))</f>
        <v>-2.6937303136520541E-5</v>
      </c>
      <c r="E9" t="s">
        <v>283</v>
      </c>
    </row>
    <row r="10" spans="2:5">
      <c r="B10" s="2" t="s">
        <v>287</v>
      </c>
      <c r="C10" s="83">
        <v>2.5992897854448858</v>
      </c>
      <c r="D10" s="314">
        <f>expratfinal-1/mef*((1+(k-1)/2*mef^2)/(1+(k-1)/2))^((k+1)/2/(k-1))</f>
        <v>-2.6937303136520541E-5</v>
      </c>
      <c r="E10" t="s">
        <v>284</v>
      </c>
    </row>
    <row r="11" spans="2:5">
      <c r="B11" s="2" t="s">
        <v>203</v>
      </c>
      <c r="C11" s="40">
        <f>SQRT(4*aexit/PI())</f>
        <v>21.576930002592544</v>
      </c>
      <c r="D11" s="55" t="s">
        <v>36</v>
      </c>
      <c r="E11" t="s">
        <v>204</v>
      </c>
    </row>
    <row r="12" spans="2:5">
      <c r="B12" s="2" t="s">
        <v>167</v>
      </c>
      <c r="C12" s="10">
        <f>MAX(H28:H909)</f>
        <v>8.0701391977149175</v>
      </c>
      <c r="D12" s="55"/>
      <c r="E12" t="s">
        <v>170</v>
      </c>
    </row>
    <row r="13" spans="2:5">
      <c r="B13" s="2" t="s">
        <v>167</v>
      </c>
      <c r="C13" s="10">
        <f>AVERAGE(H28:H909)</f>
        <v>7.6604926903994333</v>
      </c>
      <c r="D13" s="55"/>
      <c r="E13" t="s">
        <v>188</v>
      </c>
    </row>
    <row r="14" spans="2:5">
      <c r="B14" s="2" t="s">
        <v>290</v>
      </c>
      <c r="C14" s="10">
        <f>2*ravg*tbout/do</f>
        <v>0.35724257124381892</v>
      </c>
      <c r="E14" t="s">
        <v>289</v>
      </c>
    </row>
    <row r="15" spans="2:5">
      <c r="B15" s="2" t="s">
        <v>171</v>
      </c>
      <c r="C15" s="10">
        <f>MAX(I28:I910)</f>
        <v>1.1963976203507145</v>
      </c>
      <c r="D15" s="55"/>
      <c r="E15" t="s">
        <v>172</v>
      </c>
    </row>
    <row r="16" spans="2:5">
      <c r="B16" s="71" t="s">
        <v>194</v>
      </c>
      <c r="C16" s="65">
        <f>MAX(J28:J910)</f>
        <v>495.59239714220945</v>
      </c>
      <c r="D16" s="72" t="s">
        <v>168</v>
      </c>
      <c r="E16" t="s">
        <v>175</v>
      </c>
    </row>
    <row r="17" spans="2:17">
      <c r="B17" s="73" t="s">
        <v>195</v>
      </c>
      <c r="C17" s="65">
        <f>itsum</f>
        <v>196.84854263804402</v>
      </c>
      <c r="D17" s="74" t="s">
        <v>174</v>
      </c>
      <c r="E17" t="s">
        <v>176</v>
      </c>
    </row>
    <row r="18" spans="2:17">
      <c r="B18" s="73" t="s">
        <v>196</v>
      </c>
      <c r="C18" s="66">
        <f>itsum/9.806/mgrain</f>
        <v>111.15469180721014</v>
      </c>
      <c r="D18" s="74" t="s">
        <v>169</v>
      </c>
      <c r="E18" t="s">
        <v>180</v>
      </c>
      <c r="H18" s="39"/>
    </row>
    <row r="19" spans="2:17">
      <c r="B19" s="71" t="s">
        <v>181</v>
      </c>
      <c r="C19" s="91" t="str">
        <f>VLOOKUP(itsum,motorclass,2)</f>
        <v>H</v>
      </c>
      <c r="D19" s="74"/>
      <c r="E19" t="s">
        <v>182</v>
      </c>
      <c r="H19" s="39"/>
    </row>
    <row r="20" spans="2:17">
      <c r="H20" s="39"/>
    </row>
    <row r="21" spans="2:17">
      <c r="J21" s="131" t="s">
        <v>185</v>
      </c>
      <c r="K21" s="132">
        <f>fmax</f>
        <v>495.59239714220945</v>
      </c>
      <c r="L21" s="133" t="s">
        <v>168</v>
      </c>
      <c r="O21" s="131" t="s">
        <v>185</v>
      </c>
      <c r="P21" s="132">
        <f>fmax/4.4482</f>
        <v>111.41414440497492</v>
      </c>
      <c r="Q21" s="133" t="s">
        <v>187</v>
      </c>
    </row>
    <row r="22" spans="2:17">
      <c r="G22" s="110">
        <f>D9</f>
        <v>-2.6937303136520541E-5</v>
      </c>
      <c r="J22" s="134" t="s">
        <v>186</v>
      </c>
      <c r="K22" s="135">
        <f>itot/tthr</f>
        <v>465.48813993640681</v>
      </c>
      <c r="L22" s="136" t="s">
        <v>168</v>
      </c>
      <c r="O22" s="134" t="s">
        <v>186</v>
      </c>
      <c r="P22" s="135">
        <f>itot/tthr/4.4482</f>
        <v>104.64640527323564</v>
      </c>
      <c r="Q22" s="136" t="s">
        <v>187</v>
      </c>
    </row>
    <row r="23" spans="2:17">
      <c r="J23" s="137" t="s">
        <v>158</v>
      </c>
      <c r="K23" s="138">
        <f>tthr</f>
        <v>0.42288626873487412</v>
      </c>
      <c r="L23" s="139" t="s">
        <v>169</v>
      </c>
      <c r="O23" s="137" t="s">
        <v>158</v>
      </c>
      <c r="P23" s="138">
        <f>tthr</f>
        <v>0.42288626873487412</v>
      </c>
      <c r="Q23" s="139" t="s">
        <v>169</v>
      </c>
    </row>
    <row r="25" spans="2:17">
      <c r="C25" s="13" t="str">
        <f>Pressure!AB25</f>
        <v>Po</v>
      </c>
      <c r="D25" s="13" t="s">
        <v>96</v>
      </c>
      <c r="E25" s="13" t="s">
        <v>98</v>
      </c>
      <c r="F25" s="13" t="s">
        <v>281</v>
      </c>
      <c r="G25" s="13" t="s">
        <v>163</v>
      </c>
      <c r="H25" s="13" t="s">
        <v>167</v>
      </c>
      <c r="I25" s="13" t="s">
        <v>179</v>
      </c>
      <c r="J25" s="13" t="s">
        <v>68</v>
      </c>
      <c r="K25" s="13" t="s">
        <v>68</v>
      </c>
      <c r="L25" s="13" t="s">
        <v>90</v>
      </c>
      <c r="M25" s="68" t="s">
        <v>173</v>
      </c>
      <c r="N25" s="13" t="s">
        <v>288</v>
      </c>
    </row>
    <row r="26" spans="2:17" ht="16.2" thickBot="1">
      <c r="C26" s="15" t="s">
        <v>164</v>
      </c>
      <c r="D26" s="15" t="s">
        <v>97</v>
      </c>
      <c r="E26" s="15" t="s">
        <v>15</v>
      </c>
      <c r="F26" s="15"/>
      <c r="G26" s="15" t="s">
        <v>164</v>
      </c>
      <c r="H26" s="15"/>
      <c r="I26" s="15"/>
      <c r="J26" s="15" t="s">
        <v>168</v>
      </c>
      <c r="K26" s="15" t="s">
        <v>184</v>
      </c>
      <c r="L26" s="15" t="s">
        <v>169</v>
      </c>
      <c r="M26" s="15" t="s">
        <v>174</v>
      </c>
      <c r="N26" s="15"/>
    </row>
    <row r="27" spans="2:17">
      <c r="J27" s="39"/>
    </row>
    <row r="28" spans="2:17">
      <c r="C28" s="4">
        <f>Pressure!AB28*1000000</f>
        <v>101000</v>
      </c>
      <c r="D28" s="78">
        <f>Pressure!I28</f>
        <v>8.1256230789298584E-5</v>
      </c>
      <c r="E28" s="40">
        <f>Pressure!H28</f>
        <v>81.256230789298584</v>
      </c>
      <c r="F28" s="10">
        <f>aexit/E28</f>
        <v>4.5</v>
      </c>
      <c r="G28" s="4">
        <f t="shared" ref="G28:G91" si="0">IF(C28/(1+(k-1)/2*N28^2)^(k/(k-1))&lt;patm*1000000,patm*1000000,C28/(1+(k-1)/2*N28^2)^(k/(k-1)))</f>
        <v>101000</v>
      </c>
      <c r="H28" s="42">
        <v>1</v>
      </c>
      <c r="I28" s="10">
        <f>etanoz</f>
        <v>0.75</v>
      </c>
      <c r="J28" s="4">
        <v>0</v>
      </c>
      <c r="K28">
        <f>J28/4.4482</f>
        <v>0</v>
      </c>
      <c r="L28" s="42">
        <f>Pressure!Q28</f>
        <v>0</v>
      </c>
      <c r="M28" s="10">
        <v>0</v>
      </c>
      <c r="N28" s="10">
        <f>me</f>
        <v>2.5992897854448858</v>
      </c>
    </row>
    <row r="29" spans="2:17">
      <c r="C29" s="4">
        <f>Pressure!AB29*1000000</f>
        <v>965381.75450539822</v>
      </c>
      <c r="D29" s="78">
        <f>Pressure!I29</f>
        <v>8.1256230789298584E-5</v>
      </c>
      <c r="E29" s="40">
        <f>Pressure!H29</f>
        <v>81.256230789298584</v>
      </c>
      <c r="F29" s="10">
        <f t="shared" ref="F29:F92" si="1">aexit/E29</f>
        <v>4.5</v>
      </c>
      <c r="G29" s="4">
        <f t="shared" si="0"/>
        <v>101000</v>
      </c>
      <c r="H29" s="42">
        <f t="shared" ref="H29:H92" si="2">1/(((k+1)/2)^(1/(k-1))*(patm*1000000/C29)^(1/k)*SQRT((k+1)/(k-1)*(1-(patm*1000000/C29)^((k-1)/k))))</f>
        <v>2.3389053294536835</v>
      </c>
      <c r="I29" s="10">
        <f t="shared" ref="I29:I92" si="3">etanoz*SQRT(2*k^2/(k-1)*(2/(k+1))^((k+1)/(k-1))*(1-(G29/C29)^((k-1)/k)))+(G29-patm*1000000)/C29*(aexit/E29)</f>
        <v>0.94874012702261856</v>
      </c>
      <c r="J29" s="4">
        <f t="shared" ref="J29:J92" si="4">I29*D29*C29</f>
        <v>74.422289939615084</v>
      </c>
      <c r="K29" s="4">
        <f t="shared" ref="K29:K92" si="5">J29/4.4482</f>
        <v>16.730877644803535</v>
      </c>
      <c r="L29" s="42">
        <f>Pressure!Q29</f>
        <v>1.6710334693929663E-3</v>
      </c>
      <c r="M29" s="10">
        <f t="shared" ref="M29:M39" si="6">(J29+J28)/2*(L29-L28)</f>
        <v>6.218106867898212E-2</v>
      </c>
      <c r="N29" s="10">
        <f>N28-1/834*(me-mef)</f>
        <v>2.5992897854448858</v>
      </c>
    </row>
    <row r="30" spans="2:17">
      <c r="C30" s="4">
        <f>Pressure!AB30*1000000</f>
        <v>1567506.4047761168</v>
      </c>
      <c r="D30" s="78">
        <f>Pressure!I30</f>
        <v>8.1256230789298584E-5</v>
      </c>
      <c r="E30" s="40">
        <f>Pressure!H30</f>
        <v>81.256230789298584</v>
      </c>
      <c r="F30" s="10">
        <f t="shared" si="1"/>
        <v>4.5</v>
      </c>
      <c r="G30" s="4">
        <f t="shared" si="0"/>
        <v>101000</v>
      </c>
      <c r="H30" s="42">
        <f t="shared" si="2"/>
        <v>3.2995065691433356</v>
      </c>
      <c r="I30" s="10">
        <f t="shared" si="3"/>
        <v>1.0315965702822902</v>
      </c>
      <c r="J30" s="4">
        <f t="shared" si="4"/>
        <v>131.39410667341579</v>
      </c>
      <c r="K30" s="4">
        <f t="shared" si="5"/>
        <v>29.538713788367382</v>
      </c>
      <c r="L30" s="42">
        <f>Pressure!Q30</f>
        <v>2.4843220196037958E-3</v>
      </c>
      <c r="M30" s="10">
        <f t="shared" si="6"/>
        <v>8.369405940551447E-2</v>
      </c>
      <c r="N30" s="10">
        <f t="shared" ref="N30:N93" si="7">N29-1/834*(me-mef)</f>
        <v>2.5992897854448858</v>
      </c>
    </row>
    <row r="31" spans="2:17">
      <c r="C31" s="4">
        <f>Pressure!AB31*1000000</f>
        <v>2050313.0715625337</v>
      </c>
      <c r="D31" s="78">
        <f>Pressure!I31</f>
        <v>8.1256230789298584E-5</v>
      </c>
      <c r="E31" s="40">
        <f>Pressure!H31</f>
        <v>81.256230789298584</v>
      </c>
      <c r="F31" s="10">
        <f t="shared" si="1"/>
        <v>4.5</v>
      </c>
      <c r="G31" s="4">
        <f t="shared" si="0"/>
        <v>101000</v>
      </c>
      <c r="H31" s="42">
        <f t="shared" si="2"/>
        <v>4.0208321820506727</v>
      </c>
      <c r="I31" s="10">
        <f t="shared" si="3"/>
        <v>1.0729145702743486</v>
      </c>
      <c r="J31" s="4">
        <f t="shared" si="4"/>
        <v>178.74833146579368</v>
      </c>
      <c r="K31" s="4">
        <f t="shared" si="5"/>
        <v>40.184418745963242</v>
      </c>
      <c r="L31" s="42">
        <f>Pressure!Q31</f>
        <v>3.1810959485757606E-3</v>
      </c>
      <c r="M31" s="10">
        <f t="shared" si="6"/>
        <v>0.10804958258160077</v>
      </c>
      <c r="N31" s="10">
        <f t="shared" si="7"/>
        <v>2.5992897854448858</v>
      </c>
    </row>
    <row r="32" spans="2:17">
      <c r="C32" s="4">
        <f>Pressure!AB32*1000000</f>
        <v>2448940.6523559927</v>
      </c>
      <c r="D32" s="78">
        <f>Pressure!I32</f>
        <v>8.1256230789298584E-5</v>
      </c>
      <c r="E32" s="40">
        <f>Pressure!H32</f>
        <v>81.256230789298584</v>
      </c>
      <c r="F32" s="10">
        <f t="shared" si="1"/>
        <v>4.5</v>
      </c>
      <c r="G32" s="4">
        <f t="shared" si="0"/>
        <v>103780.95799932627</v>
      </c>
      <c r="H32" s="42">
        <f t="shared" si="2"/>
        <v>4.5929692974612761</v>
      </c>
      <c r="I32" s="10">
        <f t="shared" si="3"/>
        <v>1.0999612992943135</v>
      </c>
      <c r="J32" s="4">
        <f t="shared" si="4"/>
        <v>218.88315440214103</v>
      </c>
      <c r="K32" s="4">
        <f t="shared" si="5"/>
        <v>49.207129715871822</v>
      </c>
      <c r="L32" s="42">
        <f>Pressure!Q32</f>
        <v>3.8206732307621274E-3</v>
      </c>
      <c r="M32" s="10">
        <f t="shared" si="6"/>
        <v>0.12715803252157021</v>
      </c>
      <c r="N32" s="10">
        <f t="shared" si="7"/>
        <v>2.5992897854448858</v>
      </c>
    </row>
    <row r="33" spans="3:14">
      <c r="C33" s="4">
        <f>Pressure!AB33*1000000</f>
        <v>2783153.7706790362</v>
      </c>
      <c r="D33" s="78">
        <f>Pressure!I33</f>
        <v>8.1256230789298584E-5</v>
      </c>
      <c r="E33" s="40">
        <f>Pressure!H33</f>
        <v>81.256230789298584</v>
      </c>
      <c r="F33" s="10">
        <f t="shared" si="1"/>
        <v>4.5</v>
      </c>
      <c r="G33" s="4">
        <f t="shared" si="0"/>
        <v>117944.20755057168</v>
      </c>
      <c r="H33" s="42">
        <f t="shared" si="2"/>
        <v>5.0595843644737384</v>
      </c>
      <c r="I33" s="10">
        <f t="shared" si="3"/>
        <v>1.1222478017483419</v>
      </c>
      <c r="J33" s="4">
        <f t="shared" si="4"/>
        <v>253.79475251089133</v>
      </c>
      <c r="K33" s="4">
        <f t="shared" si="5"/>
        <v>57.055607326759436</v>
      </c>
      <c r="L33" s="42">
        <f>Pressure!Q33</f>
        <v>4.425010811441232E-3</v>
      </c>
      <c r="M33" s="10">
        <f t="shared" si="6"/>
        <v>0.14282851135214247</v>
      </c>
      <c r="N33" s="10">
        <f t="shared" si="7"/>
        <v>2.5992897854448858</v>
      </c>
    </row>
    <row r="34" spans="3:14">
      <c r="C34" s="4">
        <f>Pressure!AB34*1000000</f>
        <v>3066116.1696999124</v>
      </c>
      <c r="D34" s="78">
        <f>Pressure!I34</f>
        <v>8.1256230789298584E-5</v>
      </c>
      <c r="E34" s="40">
        <f>Pressure!H34</f>
        <v>81.256230789298584</v>
      </c>
      <c r="F34" s="10">
        <f t="shared" si="1"/>
        <v>4.5</v>
      </c>
      <c r="G34" s="4">
        <f t="shared" si="0"/>
        <v>129935.55932952256</v>
      </c>
      <c r="H34" s="42">
        <f t="shared" si="2"/>
        <v>5.4467008675156867</v>
      </c>
      <c r="I34" s="10">
        <f t="shared" si="3"/>
        <v>1.1373186191851619</v>
      </c>
      <c r="J34" s="4">
        <f t="shared" si="4"/>
        <v>283.35274713441828</v>
      </c>
      <c r="K34" s="4">
        <f t="shared" si="5"/>
        <v>63.700541147974079</v>
      </c>
      <c r="L34" s="42">
        <f>Pressure!Q34</f>
        <v>5.0051821890309094E-3</v>
      </c>
      <c r="M34" s="10">
        <f t="shared" si="6"/>
        <v>0.15581880241903501</v>
      </c>
      <c r="N34" s="10">
        <f t="shared" si="7"/>
        <v>2.5992897854448858</v>
      </c>
    </row>
    <row r="35" spans="3:14">
      <c r="C35" s="4">
        <f>Pressure!AB35*1000000</f>
        <v>3307342.2258353224</v>
      </c>
      <c r="D35" s="78">
        <f>Pressure!I35</f>
        <v>8.1256230789298584E-5</v>
      </c>
      <c r="E35" s="40">
        <f>Pressure!H35</f>
        <v>81.256230789298584</v>
      </c>
      <c r="F35" s="10">
        <f t="shared" si="1"/>
        <v>4.5</v>
      </c>
      <c r="G35" s="4">
        <f t="shared" si="0"/>
        <v>140158.21261270752</v>
      </c>
      <c r="H35" s="42">
        <f t="shared" si="2"/>
        <v>5.7716194495439259</v>
      </c>
      <c r="I35" s="10">
        <f t="shared" si="3"/>
        <v>1.1481302289764492</v>
      </c>
      <c r="J35" s="4">
        <f t="shared" si="4"/>
        <v>308.55100137235672</v>
      </c>
      <c r="K35" s="4">
        <f t="shared" si="5"/>
        <v>69.365361578246649</v>
      </c>
      <c r="L35" s="42">
        <f>Pressure!Q35</f>
        <v>5.5677072839621635E-3</v>
      </c>
      <c r="M35" s="10">
        <f t="shared" si="6"/>
        <v>0.16648035615946938</v>
      </c>
      <c r="N35" s="10">
        <f t="shared" si="7"/>
        <v>2.5992897854448858</v>
      </c>
    </row>
    <row r="36" spans="3:14">
      <c r="C36" s="4">
        <f>Pressure!AB36*1000000</f>
        <v>3514049.4580838224</v>
      </c>
      <c r="D36" s="78">
        <f>Pressure!I36</f>
        <v>8.1256230789298584E-5</v>
      </c>
      <c r="E36" s="40">
        <f>Pressure!H36</f>
        <v>81.256230789298584</v>
      </c>
      <c r="F36" s="10">
        <f t="shared" si="1"/>
        <v>4.5</v>
      </c>
      <c r="G36" s="4">
        <f t="shared" si="0"/>
        <v>148918.03068649402</v>
      </c>
      <c r="H36" s="42">
        <f t="shared" si="2"/>
        <v>6.0466445979776466</v>
      </c>
      <c r="I36" s="10">
        <f t="shared" si="3"/>
        <v>1.1562137868915432</v>
      </c>
      <c r="J36" s="4">
        <f t="shared" si="4"/>
        <v>330.14345068925167</v>
      </c>
      <c r="K36" s="4">
        <f t="shared" si="5"/>
        <v>74.219560876141287</v>
      </c>
      <c r="L36" s="42">
        <f>Pressure!Q36</f>
        <v>6.1168052341769906E-3</v>
      </c>
      <c r="M36" s="10">
        <f t="shared" si="6"/>
        <v>0.17535290722030566</v>
      </c>
      <c r="N36" s="10">
        <f t="shared" si="7"/>
        <v>2.5992897854448858</v>
      </c>
    </row>
    <row r="37" spans="3:14">
      <c r="C37" s="4">
        <f>Pressure!AB37*1000000</f>
        <v>3691890.013085912</v>
      </c>
      <c r="D37" s="78">
        <f>Pressure!I37</f>
        <v>8.1256230789298584E-5</v>
      </c>
      <c r="E37" s="40">
        <f>Pressure!H37</f>
        <v>81.256230789298584</v>
      </c>
      <c r="F37" s="10">
        <f t="shared" si="1"/>
        <v>4.5</v>
      </c>
      <c r="G37" s="4">
        <f t="shared" si="0"/>
        <v>156454.53964659999</v>
      </c>
      <c r="H37" s="42">
        <f t="shared" si="2"/>
        <v>6.2809343129384363</v>
      </c>
      <c r="I37" s="10">
        <f t="shared" si="3"/>
        <v>1.1624440741163728</v>
      </c>
      <c r="J37" s="4">
        <f t="shared" si="4"/>
        <v>348.72051317807012</v>
      </c>
      <c r="K37" s="4">
        <f t="shared" si="5"/>
        <v>78.395870954109554</v>
      </c>
      <c r="L37" s="42">
        <f>Pressure!Q37</f>
        <v>6.655386144892853E-3</v>
      </c>
      <c r="M37" s="10">
        <f t="shared" si="6"/>
        <v>0.18281158595592123</v>
      </c>
      <c r="N37" s="10">
        <f t="shared" si="7"/>
        <v>2.5992897854448858</v>
      </c>
    </row>
    <row r="38" spans="3:14">
      <c r="C38" s="4">
        <f>Pressure!AB38*1000000</f>
        <v>3845390.3432481349</v>
      </c>
      <c r="D38" s="78">
        <f>Pressure!I38</f>
        <v>8.1256230789298584E-5</v>
      </c>
      <c r="E38" s="40">
        <f>Pressure!H38</f>
        <v>81.256230789298584</v>
      </c>
      <c r="F38" s="10">
        <f t="shared" si="1"/>
        <v>4.5</v>
      </c>
      <c r="G38" s="4">
        <f t="shared" si="0"/>
        <v>162959.56103293804</v>
      </c>
      <c r="H38" s="42">
        <f t="shared" si="2"/>
        <v>6.4815292158812685</v>
      </c>
      <c r="I38" s="10">
        <f t="shared" si="3"/>
        <v>1.1673582875623592</v>
      </c>
      <c r="J38" s="4">
        <f t="shared" si="4"/>
        <v>364.75501793680968</v>
      </c>
      <c r="K38" s="4">
        <f t="shared" si="5"/>
        <v>82.00058853846717</v>
      </c>
      <c r="L38" s="42">
        <f>Pressure!Q38</f>
        <v>7.1855514631596886E-3</v>
      </c>
      <c r="M38" s="10">
        <f t="shared" si="6"/>
        <v>0.18912999101455991</v>
      </c>
      <c r="N38" s="10">
        <f t="shared" si="7"/>
        <v>2.5992897854448858</v>
      </c>
    </row>
    <row r="39" spans="3:14">
      <c r="C39" s="4">
        <f>Pressure!AB39*1000000</f>
        <v>3978235.6667789943</v>
      </c>
      <c r="D39" s="78">
        <f>Pressure!I39</f>
        <v>8.1256230789298584E-5</v>
      </c>
      <c r="E39" s="40">
        <f>Pressure!H39</f>
        <v>81.256230789298584</v>
      </c>
      <c r="F39" s="10">
        <f t="shared" si="1"/>
        <v>4.5</v>
      </c>
      <c r="G39" s="4">
        <f t="shared" si="0"/>
        <v>168589.26664809842</v>
      </c>
      <c r="H39" s="42">
        <f t="shared" si="2"/>
        <v>6.6539739384183081</v>
      </c>
      <c r="I39" s="10">
        <f t="shared" si="3"/>
        <v>1.171305124829749</v>
      </c>
      <c r="J39" s="4">
        <f t="shared" si="4"/>
        <v>378.63191950490864</v>
      </c>
      <c r="K39" s="4">
        <f t="shared" si="5"/>
        <v>85.120255272898845</v>
      </c>
      <c r="L39" s="42">
        <f>Pressure!Q39</f>
        <v>7.7088718685779109E-3</v>
      </c>
      <c r="M39" s="10">
        <f t="shared" si="6"/>
        <v>0.19451477674230536</v>
      </c>
      <c r="N39" s="10">
        <f t="shared" si="7"/>
        <v>2.5992897854448858</v>
      </c>
    </row>
    <row r="40" spans="3:14">
      <c r="C40" s="4">
        <f>Pressure!AB40*1000000</f>
        <v>4093464.2578991791</v>
      </c>
      <c r="D40" s="78">
        <f>Pressure!I40</f>
        <v>8.1256230789298584E-5</v>
      </c>
      <c r="E40" s="40">
        <f>Pressure!H40</f>
        <v>81.256230789298584</v>
      </c>
      <c r="F40" s="10">
        <f t="shared" si="1"/>
        <v>4.5</v>
      </c>
      <c r="G40" s="4">
        <f t="shared" si="0"/>
        <v>173472.41216812594</v>
      </c>
      <c r="H40" s="42">
        <f t="shared" si="2"/>
        <v>6.8027161832163312</v>
      </c>
      <c r="I40" s="10">
        <f t="shared" si="3"/>
        <v>1.1745210995778823</v>
      </c>
      <c r="J40" s="4">
        <f t="shared" si="4"/>
        <v>390.66859324174578</v>
      </c>
      <c r="K40" s="4">
        <f t="shared" si="5"/>
        <v>87.826220323219687</v>
      </c>
      <c r="L40" s="42">
        <f>Pressure!Q40</f>
        <v>8.2265530704858526E-3</v>
      </c>
      <c r="M40" s="10">
        <f t="shared" ref="M40:M103" si="8">(J40+J39)/2*(L40-L39)</f>
        <v>0.19912620703354192</v>
      </c>
      <c r="N40" s="10">
        <f t="shared" si="7"/>
        <v>2.5992897854448858</v>
      </c>
    </row>
    <row r="41" spans="3:14">
      <c r="C41" s="4">
        <f>Pressure!AB41*1000000</f>
        <v>4193605.7720055901</v>
      </c>
      <c r="D41" s="78">
        <f>Pressure!I41</f>
        <v>8.1256230789298584E-5</v>
      </c>
      <c r="E41" s="40">
        <f>Pressure!H41</f>
        <v>81.256230789298584</v>
      </c>
      <c r="F41" s="10">
        <f t="shared" si="1"/>
        <v>4.5</v>
      </c>
      <c r="G41" s="4">
        <f t="shared" si="0"/>
        <v>177716.19907225858</v>
      </c>
      <c r="H41" s="42">
        <f t="shared" si="2"/>
        <v>6.9313756367806416</v>
      </c>
      <c r="I41" s="10">
        <f t="shared" si="3"/>
        <v>1.1771724640774592</v>
      </c>
      <c r="J41" s="4">
        <f t="shared" si="4"/>
        <v>401.12928464735813</v>
      </c>
      <c r="K41" s="4">
        <f t="shared" si="5"/>
        <v>90.177888729678997</v>
      </c>
      <c r="L41" s="42">
        <f>Pressure!Q41</f>
        <v>8.7395403982088674E-3</v>
      </c>
      <c r="M41" s="10">
        <f t="shared" si="8"/>
        <v>0.20309113873754273</v>
      </c>
      <c r="N41" s="10">
        <f t="shared" si="7"/>
        <v>2.5992897854448858</v>
      </c>
    </row>
    <row r="42" spans="3:14">
      <c r="C42" s="4">
        <f>Pressure!AB42*1000000</f>
        <v>4280782.9952982934</v>
      </c>
      <c r="D42" s="78">
        <f>Pressure!I42</f>
        <v>8.1256230789298584E-5</v>
      </c>
      <c r="E42" s="40">
        <f>Pressure!H42</f>
        <v>81.256230789298584</v>
      </c>
      <c r="F42" s="10">
        <f t="shared" si="1"/>
        <v>4.5</v>
      </c>
      <c r="G42" s="4">
        <f t="shared" si="0"/>
        <v>181410.58657827426</v>
      </c>
      <c r="H42" s="42">
        <f t="shared" si="2"/>
        <v>7.0429323006456146</v>
      </c>
      <c r="I42" s="10">
        <f t="shared" si="3"/>
        <v>1.1793795848869273</v>
      </c>
      <c r="J42" s="4">
        <f t="shared" si="4"/>
        <v>410.23573803585094</v>
      </c>
      <c r="K42" s="4">
        <f t="shared" si="5"/>
        <v>92.225110839407165</v>
      </c>
      <c r="L42" s="42">
        <f>Pressure!Q42</f>
        <v>9.2485877962660071E-3</v>
      </c>
      <c r="M42" s="10">
        <f t="shared" si="8"/>
        <v>0.20651162683572985</v>
      </c>
      <c r="N42" s="10">
        <f t="shared" si="7"/>
        <v>2.5992897854448858</v>
      </c>
    </row>
    <row r="43" spans="3:14">
      <c r="C43" s="4">
        <f>Pressure!AB43*1000000</f>
        <v>4356788.6799675794</v>
      </c>
      <c r="D43" s="78">
        <f>Pressure!I43</f>
        <v>8.1256230789298584E-5</v>
      </c>
      <c r="E43" s="40">
        <f>Pressure!H43</f>
        <v>81.256230789298584</v>
      </c>
      <c r="F43" s="10">
        <f t="shared" si="1"/>
        <v>4.5</v>
      </c>
      <c r="G43" s="4">
        <f t="shared" si="0"/>
        <v>184631.54775623695</v>
      </c>
      <c r="H43" s="42">
        <f t="shared" si="2"/>
        <v>7.1398626069353588</v>
      </c>
      <c r="I43" s="10">
        <f t="shared" si="3"/>
        <v>1.18123179501529</v>
      </c>
      <c r="J43" s="4">
        <f t="shared" si="4"/>
        <v>418.17522266909543</v>
      </c>
      <c r="K43" s="4">
        <f t="shared" si="5"/>
        <v>94.009986661817237</v>
      </c>
      <c r="L43" s="42">
        <f>Pressure!Q43</f>
        <v>9.7543050395444888E-3</v>
      </c>
      <c r="M43" s="10">
        <f t="shared" si="8"/>
        <v>0.20947085367469204</v>
      </c>
      <c r="N43" s="10">
        <f t="shared" si="7"/>
        <v>2.5992897854448858</v>
      </c>
    </row>
    <row r="44" spans="3:14">
      <c r="C44" s="4">
        <f>Pressure!AB44*1000000</f>
        <v>4423144.8222616967</v>
      </c>
      <c r="D44" s="78">
        <f>Pressure!I44</f>
        <v>8.1256230789298584E-5</v>
      </c>
      <c r="E44" s="40">
        <f>Pressure!H44</f>
        <v>81.256230789298584</v>
      </c>
      <c r="F44" s="10">
        <f t="shared" si="1"/>
        <v>4.5</v>
      </c>
      <c r="G44" s="4">
        <f t="shared" si="0"/>
        <v>187443.5816084244</v>
      </c>
      <c r="H44" s="42">
        <f t="shared" si="2"/>
        <v>7.2242403986991022</v>
      </c>
      <c r="I44" s="10">
        <f t="shared" si="3"/>
        <v>1.1827968059002822</v>
      </c>
      <c r="J44" s="4">
        <f t="shared" si="4"/>
        <v>425.10672488972364</v>
      </c>
      <c r="K44" s="4">
        <f t="shared" si="5"/>
        <v>95.568257922243518</v>
      </c>
      <c r="L44" s="42">
        <f>Pressure!Q44</f>
        <v>1.0257191050367084E-2</v>
      </c>
      <c r="M44" s="10">
        <f t="shared" si="8"/>
        <v>0.21203734730328186</v>
      </c>
      <c r="N44" s="10">
        <f t="shared" si="7"/>
        <v>2.5992897854448858</v>
      </c>
    </row>
    <row r="45" spans="3:14">
      <c r="C45" s="4">
        <f>Pressure!AB45*1000000</f>
        <v>4481149.2131734891</v>
      </c>
      <c r="D45" s="78">
        <f>Pressure!I45</f>
        <v>8.1256230789298584E-5</v>
      </c>
      <c r="E45" s="40">
        <f>Pressure!H45</f>
        <v>81.256230789298584</v>
      </c>
      <c r="F45" s="10">
        <f t="shared" si="1"/>
        <v>4.5</v>
      </c>
      <c r="G45" s="4">
        <f t="shared" si="0"/>
        <v>189901.68578959431</v>
      </c>
      <c r="H45" s="42">
        <f t="shared" si="2"/>
        <v>7.297813505242762</v>
      </c>
      <c r="I45" s="10">
        <f t="shared" si="3"/>
        <v>1.1841268749686906</v>
      </c>
      <c r="J45" s="4">
        <f t="shared" si="4"/>
        <v>431.16581076348047</v>
      </c>
      <c r="K45" s="4">
        <f t="shared" si="5"/>
        <v>96.930401232741445</v>
      </c>
      <c r="L45" s="42">
        <f>Pressure!Q45</f>
        <v>1.0757658028359783E-2</v>
      </c>
      <c r="M45" s="10">
        <f t="shared" si="8"/>
        <v>0.21426806412825222</v>
      </c>
      <c r="N45" s="10">
        <f t="shared" si="7"/>
        <v>2.5992897854448858</v>
      </c>
    </row>
    <row r="46" spans="3:14">
      <c r="C46" s="4">
        <f>Pressure!AB46*1000000</f>
        <v>4531912.5399681926</v>
      </c>
      <c r="D46" s="78">
        <f>Pressure!I46</f>
        <v>8.1256230789298584E-5</v>
      </c>
      <c r="E46" s="40">
        <f>Pressure!H46</f>
        <v>81.256230789298584</v>
      </c>
      <c r="F46" s="10">
        <f t="shared" si="1"/>
        <v>4.5</v>
      </c>
      <c r="G46" s="4">
        <f t="shared" si="0"/>
        <v>192052.92889175724</v>
      </c>
      <c r="H46" s="42">
        <f t="shared" si="2"/>
        <v>7.3620628999241493</v>
      </c>
      <c r="I46" s="10">
        <f t="shared" si="3"/>
        <v>1.1852629657566074</v>
      </c>
      <c r="J46" s="4">
        <f t="shared" si="4"/>
        <v>436.46850167104333</v>
      </c>
      <c r="K46" s="4">
        <f t="shared" si="5"/>
        <v>98.122499364022147</v>
      </c>
      <c r="L46" s="42">
        <f>Pressure!Q46</f>
        <v>1.1256049321341333E-2</v>
      </c>
      <c r="M46" s="10">
        <f t="shared" si="8"/>
        <v>0.21621069340470001</v>
      </c>
      <c r="N46" s="10">
        <f t="shared" si="7"/>
        <v>2.5992897854448858</v>
      </c>
    </row>
    <row r="47" spans="3:14">
      <c r="C47" s="4">
        <f>Pressure!AB47*1000000</f>
        <v>4576388.3281061612</v>
      </c>
      <c r="D47" s="78">
        <f>Pressure!I47</f>
        <v>8.1256230789298584E-5</v>
      </c>
      <c r="E47" s="40">
        <f>Pressure!H47</f>
        <v>81.256230789298584</v>
      </c>
      <c r="F47" s="10">
        <f t="shared" si="1"/>
        <v>4.5</v>
      </c>
      <c r="G47" s="4">
        <f t="shared" si="0"/>
        <v>193937.71931993397</v>
      </c>
      <c r="H47" s="42">
        <f t="shared" si="2"/>
        <v>7.4182491332278531</v>
      </c>
      <c r="I47" s="10">
        <f t="shared" si="3"/>
        <v>1.1862376257747975</v>
      </c>
      <c r="J47" s="4">
        <f t="shared" si="4"/>
        <v>441.11440201401507</v>
      </c>
      <c r="K47" s="4">
        <f t="shared" si="5"/>
        <v>99.166944385147943</v>
      </c>
      <c r="L47" s="42">
        <f>Pressure!Q47</f>
        <v>1.1752652919476391E-2</v>
      </c>
      <c r="M47" s="10">
        <f t="shared" si="8"/>
        <v>0.21790541381590639</v>
      </c>
      <c r="N47" s="10">
        <f t="shared" si="7"/>
        <v>2.5992897854448858</v>
      </c>
    </row>
    <row r="48" spans="3:14">
      <c r="C48" s="4">
        <f>Pressure!AB48*1000000</f>
        <v>4615397.3625720013</v>
      </c>
      <c r="D48" s="78">
        <f>Pressure!I48</f>
        <v>8.1256230789298584E-5</v>
      </c>
      <c r="E48" s="40">
        <f>Pressure!H48</f>
        <v>81.256230789298584</v>
      </c>
      <c r="F48" s="10">
        <f t="shared" si="1"/>
        <v>4.5</v>
      </c>
      <c r="G48" s="4">
        <f t="shared" si="0"/>
        <v>195590.84021675884</v>
      </c>
      <c r="H48" s="42">
        <f t="shared" si="2"/>
        <v>7.4674492785348159</v>
      </c>
      <c r="I48" s="10">
        <f t="shared" si="3"/>
        <v>1.1870770222123537</v>
      </c>
      <c r="J48" s="4">
        <f t="shared" si="4"/>
        <v>445.1892502447343</v>
      </c>
      <c r="K48" s="4">
        <f t="shared" si="5"/>
        <v>100.08301116063448</v>
      </c>
      <c r="L48" s="42">
        <f>Pressure!Q48</f>
        <v>1.2247711818283298E-2</v>
      </c>
      <c r="M48" s="10">
        <f t="shared" si="8"/>
        <v>0.21938625504787815</v>
      </c>
      <c r="N48" s="10">
        <f t="shared" si="7"/>
        <v>2.5992897854448858</v>
      </c>
    </row>
    <row r="49" spans="3:14">
      <c r="C49" s="4">
        <f>Pressure!AB49*1000000</f>
        <v>4649647.7874621293</v>
      </c>
      <c r="D49" s="78">
        <f>Pressure!I49</f>
        <v>8.1256230789298584E-5</v>
      </c>
      <c r="E49" s="40">
        <f>Pressure!H49</f>
        <v>81.256230789298584</v>
      </c>
      <c r="F49" s="10">
        <f t="shared" si="1"/>
        <v>4.5</v>
      </c>
      <c r="G49" s="4">
        <f t="shared" si="0"/>
        <v>197042.30124075786</v>
      </c>
      <c r="H49" s="42">
        <f t="shared" si="2"/>
        <v>7.5105866771890355</v>
      </c>
      <c r="I49" s="10">
        <f t="shared" si="3"/>
        <v>1.1878024107643299</v>
      </c>
      <c r="J49" s="4">
        <f t="shared" si="4"/>
        <v>448.76701845089519</v>
      </c>
      <c r="K49" s="4">
        <f t="shared" si="5"/>
        <v>100.88732935814379</v>
      </c>
      <c r="L49" s="42">
        <f>Pressure!Q49</f>
        <v>1.2741432096047563E-2</v>
      </c>
      <c r="M49" s="10">
        <f t="shared" si="8"/>
        <v>0.22068216864475573</v>
      </c>
      <c r="N49" s="10">
        <f t="shared" si="7"/>
        <v>2.5992897854448858</v>
      </c>
    </row>
    <row r="50" spans="3:14">
      <c r="C50" s="4">
        <f>Pressure!AB50*1000000</f>
        <v>4679751.7775037885</v>
      </c>
      <c r="D50" s="78">
        <f>Pressure!I50</f>
        <v>8.1256230789298584E-5</v>
      </c>
      <c r="E50" s="40">
        <f>Pressure!H50</f>
        <v>81.256230789298584</v>
      </c>
      <c r="F50" s="10">
        <f t="shared" si="1"/>
        <v>4.5</v>
      </c>
      <c r="G50" s="4">
        <f t="shared" si="0"/>
        <v>198318.04507028672</v>
      </c>
      <c r="H50" s="42">
        <f t="shared" si="2"/>
        <v>7.5484551319363256</v>
      </c>
      <c r="I50" s="10">
        <f t="shared" si="3"/>
        <v>1.1884312144449392</v>
      </c>
      <c r="J50" s="4">
        <f t="shared" si="4"/>
        <v>451.91165384724843</v>
      </c>
      <c r="K50" s="4">
        <f t="shared" si="5"/>
        <v>101.59427495329537</v>
      </c>
      <c r="L50" s="42">
        <f>Pressure!Q50</f>
        <v>1.3233989292713522E-2</v>
      </c>
      <c r="M50" s="10">
        <f t="shared" si="8"/>
        <v>0.22181788096199576</v>
      </c>
      <c r="N50" s="10">
        <f t="shared" si="7"/>
        <v>2.5992897854448858</v>
      </c>
    </row>
    <row r="51" spans="3:14">
      <c r="C51" s="4">
        <f>Pressure!AB51*1000000</f>
        <v>4706239.458948019</v>
      </c>
      <c r="D51" s="78">
        <f>Pressure!I51</f>
        <v>8.1256230789298584E-5</v>
      </c>
      <c r="E51" s="40">
        <f>Pressure!H51</f>
        <v>81.256230789298584</v>
      </c>
      <c r="F51" s="10">
        <f t="shared" si="1"/>
        <v>4.5</v>
      </c>
      <c r="G51" s="4">
        <f t="shared" si="0"/>
        <v>199440.53734171789</v>
      </c>
      <c r="H51" s="42">
        <f t="shared" si="2"/>
        <v>7.5817387603510422</v>
      </c>
      <c r="I51" s="10">
        <f t="shared" si="3"/>
        <v>1.1889778287505146</v>
      </c>
      <c r="J51" s="4">
        <f t="shared" si="4"/>
        <v>454.67853293940829</v>
      </c>
      <c r="K51" s="4">
        <f t="shared" si="5"/>
        <v>102.21629714028333</v>
      </c>
      <c r="L51" s="42">
        <f>Pressure!Q51</f>
        <v>1.3725533506141557E-2</v>
      </c>
      <c r="M51" s="10">
        <f t="shared" si="8"/>
        <v>0.22281458013281155</v>
      </c>
      <c r="N51" s="10">
        <f t="shared" si="7"/>
        <v>2.5992897854448858</v>
      </c>
    </row>
    <row r="52" spans="3:14">
      <c r="C52" s="4">
        <f>Pressure!AB52*1000000</f>
        <v>4729570.6010770844</v>
      </c>
      <c r="D52" s="78">
        <f>Pressure!I52</f>
        <v>8.1256230789298584E-5</v>
      </c>
      <c r="E52" s="40">
        <f>Pressure!H52</f>
        <v>81.256230789298584</v>
      </c>
      <c r="F52" s="10">
        <f t="shared" si="1"/>
        <v>4.5</v>
      </c>
      <c r="G52" s="4">
        <f t="shared" si="0"/>
        <v>200429.26211095371</v>
      </c>
      <c r="H52" s="42">
        <f t="shared" si="2"/>
        <v>7.6110284134206498</v>
      </c>
      <c r="I52" s="10">
        <f t="shared" si="3"/>
        <v>1.1894542313836891</v>
      </c>
      <c r="J52" s="4">
        <f t="shared" si="4"/>
        <v>457.11568280807614</v>
      </c>
      <c r="K52" s="4">
        <f t="shared" si="5"/>
        <v>102.76419288882607</v>
      </c>
      <c r="L52" s="42">
        <f>Pressure!Q52</f>
        <v>1.421619350572296E-2</v>
      </c>
      <c r="M52" s="10">
        <f t="shared" si="8"/>
        <v>0.22369047475849319</v>
      </c>
      <c r="N52" s="10">
        <f t="shared" si="7"/>
        <v>2.5992897854448858</v>
      </c>
    </row>
    <row r="53" spans="3:14">
      <c r="C53" s="4">
        <f>Pressure!AB53*1000000</f>
        <v>4750144.4847592236</v>
      </c>
      <c r="D53" s="78">
        <f>Pressure!I53</f>
        <v>8.1256230789298584E-5</v>
      </c>
      <c r="E53" s="40">
        <f>Pressure!H53</f>
        <v>81.256230789298584</v>
      </c>
      <c r="F53" s="10">
        <f t="shared" si="1"/>
        <v>4.5</v>
      </c>
      <c r="G53" s="4">
        <f t="shared" si="0"/>
        <v>201301.14006203634</v>
      </c>
      <c r="H53" s="42">
        <f t="shared" si="2"/>
        <v>7.6368353457660803</v>
      </c>
      <c r="I53" s="10">
        <f t="shared" si="3"/>
        <v>1.1898704501284769</v>
      </c>
      <c r="J53" s="4">
        <f t="shared" si="4"/>
        <v>459.2648119692862</v>
      </c>
      <c r="K53" s="4">
        <f t="shared" si="5"/>
        <v>103.24733869189474</v>
      </c>
      <c r="L53" s="42">
        <f>Pressure!Q53</f>
        <v>1.4706080083315238E-2</v>
      </c>
      <c r="M53" s="10">
        <f t="shared" si="8"/>
        <v>0.22446125217940022</v>
      </c>
      <c r="N53" s="10">
        <f t="shared" si="7"/>
        <v>2.5992897854448858</v>
      </c>
    </row>
    <row r="54" spans="3:14">
      <c r="C54" s="4">
        <f>Pressure!AB54*1000000</f>
        <v>4768308.2687603338</v>
      </c>
      <c r="D54" s="78">
        <f>Pressure!I54</f>
        <v>8.1256230789298584E-5</v>
      </c>
      <c r="E54" s="40">
        <f>Pressure!H54</f>
        <v>81.256230789298584</v>
      </c>
      <c r="F54" s="10">
        <f t="shared" si="1"/>
        <v>4.5</v>
      </c>
      <c r="G54" s="4">
        <f t="shared" si="0"/>
        <v>202070.88305385385</v>
      </c>
      <c r="H54" s="42">
        <f t="shared" si="2"/>
        <v>7.6596026652470748</v>
      </c>
      <c r="I54" s="10">
        <f t="shared" si="3"/>
        <v>1.1902349262424656</v>
      </c>
      <c r="J54" s="4">
        <f t="shared" si="4"/>
        <v>461.1621843117087</v>
      </c>
      <c r="K54" s="4">
        <f t="shared" si="5"/>
        <v>103.67388703558939</v>
      </c>
      <c r="L54" s="42">
        <f>Pressure!Q54</f>
        <v>1.5195288805200977E-2</v>
      </c>
      <c r="M54" s="10">
        <f t="shared" si="8"/>
        <v>0.22514045721987738</v>
      </c>
      <c r="N54" s="10">
        <f t="shared" si="7"/>
        <v>2.5992897854448858</v>
      </c>
    </row>
    <row r="55" spans="3:14">
      <c r="C55" s="4">
        <f>Pressure!AB55*1000000</f>
        <v>4784364.1095926911</v>
      </c>
      <c r="D55" s="78">
        <f>Pressure!I55</f>
        <v>8.1256230789298584E-5</v>
      </c>
      <c r="E55" s="40">
        <f>Pressure!H55</f>
        <v>81.256230789298584</v>
      </c>
      <c r="F55" s="10">
        <f t="shared" si="1"/>
        <v>4.5</v>
      </c>
      <c r="G55" s="4">
        <f t="shared" si="0"/>
        <v>202751.29584436541</v>
      </c>
      <c r="H55" s="42">
        <f t="shared" si="2"/>
        <v>7.6797149727044669</v>
      </c>
      <c r="I55" s="10">
        <f t="shared" si="3"/>
        <v>1.1905547998389621</v>
      </c>
      <c r="J55" s="4">
        <f t="shared" si="4"/>
        <v>462.83936282956535</v>
      </c>
      <c r="K55" s="4">
        <f t="shared" si="5"/>
        <v>104.0509335977621</v>
      </c>
      <c r="L55" s="42">
        <f>Pressure!Q55</f>
        <v>1.5683902288574979E-2</v>
      </c>
      <c r="M55" s="10">
        <f t="shared" si="8"/>
        <v>0.22573980729583293</v>
      </c>
      <c r="N55" s="10">
        <f t="shared" si="7"/>
        <v>2.5992897854448858</v>
      </c>
    </row>
    <row r="56" spans="3:14">
      <c r="C56" s="4">
        <f>Pressure!AB56*1000000</f>
        <v>4798575.240867734</v>
      </c>
      <c r="D56" s="78">
        <f>Pressure!I56</f>
        <v>8.1256230789298584E-5</v>
      </c>
      <c r="E56" s="40">
        <f>Pressure!H56</f>
        <v>81.256230789298584</v>
      </c>
      <c r="F56" s="10">
        <f t="shared" si="1"/>
        <v>4.5</v>
      </c>
      <c r="G56" s="4">
        <f t="shared" si="0"/>
        <v>203353.53372079547</v>
      </c>
      <c r="H56" s="42">
        <f t="shared" si="2"/>
        <v>7.6975065151415585</v>
      </c>
      <c r="I56" s="10">
        <f t="shared" si="3"/>
        <v>1.1908361362909412</v>
      </c>
      <c r="J56" s="4">
        <f t="shared" si="4"/>
        <v>464.32384466628804</v>
      </c>
      <c r="K56" s="4">
        <f t="shared" si="5"/>
        <v>104.38466001220449</v>
      </c>
      <c r="L56" s="42">
        <f>Pressure!Q56</f>
        <v>1.6171992096911249E-2</v>
      </c>
      <c r="M56" s="10">
        <f t="shared" si="8"/>
        <v>0.22626945612154623</v>
      </c>
      <c r="N56" s="10">
        <f t="shared" si="7"/>
        <v>2.5992897854448858</v>
      </c>
    </row>
    <row r="57" spans="3:14">
      <c r="C57" s="4">
        <f>Pressure!AB57*1000000</f>
        <v>4811171.1794414474</v>
      </c>
      <c r="D57" s="78">
        <f>Pressure!I57</f>
        <v>8.1256230789298584E-5</v>
      </c>
      <c r="E57" s="40">
        <f>Pressure!H57</f>
        <v>81.256230789298584</v>
      </c>
      <c r="F57" s="10">
        <f t="shared" si="1"/>
        <v>4.5</v>
      </c>
      <c r="G57" s="4">
        <f t="shared" si="0"/>
        <v>203887.32312513364</v>
      </c>
      <c r="H57" s="42">
        <f t="shared" si="2"/>
        <v>7.7132681094226374</v>
      </c>
      <c r="I57" s="10">
        <f t="shared" si="3"/>
        <v>1.1910841075251222</v>
      </c>
      <c r="J57" s="4">
        <f t="shared" si="4"/>
        <v>465.63960494372549</v>
      </c>
      <c r="K57" s="4">
        <f t="shared" si="5"/>
        <v>104.680456126911</v>
      </c>
      <c r="L57" s="42">
        <f>Pressure!Q57</f>
        <v>1.6659620327126621E-2</v>
      </c>
      <c r="M57" s="10">
        <f t="shared" si="8"/>
        <v>0.22673821554915632</v>
      </c>
      <c r="N57" s="10">
        <f t="shared" si="7"/>
        <v>2.5992897854448858</v>
      </c>
    </row>
    <row r="58" spans="3:14">
      <c r="C58" s="4">
        <f>Pressure!AB58*1000000</f>
        <v>4822352.1952795601</v>
      </c>
      <c r="D58" s="78">
        <f>Pressure!I58</f>
        <v>8.1256230789298584E-5</v>
      </c>
      <c r="E58" s="40">
        <f>Pressure!H58</f>
        <v>81.256230789298584</v>
      </c>
      <c r="F58" s="10">
        <f t="shared" si="1"/>
        <v>4.5</v>
      </c>
      <c r="G58" s="4">
        <f t="shared" si="0"/>
        <v>204361.15107762758</v>
      </c>
      <c r="H58" s="42">
        <f t="shared" si="2"/>
        <v>7.7272530428115038</v>
      </c>
      <c r="I58" s="10">
        <f t="shared" si="3"/>
        <v>1.1913031384392003</v>
      </c>
      <c r="J58" s="4">
        <f t="shared" si="4"/>
        <v>466.80756368019399</v>
      </c>
      <c r="K58" s="4">
        <f t="shared" si="5"/>
        <v>104.94302497194236</v>
      </c>
      <c r="L58" s="42">
        <f>Pressure!Q58</f>
        <v>1.7146840945497063E-2</v>
      </c>
      <c r="M58" s="10">
        <f t="shared" si="8"/>
        <v>0.22715374304735675</v>
      </c>
      <c r="N58" s="10">
        <f t="shared" si="7"/>
        <v>2.5992897854448858</v>
      </c>
    </row>
    <row r="59" spans="3:14">
      <c r="C59" s="4">
        <f>Pressure!AB59*1000000</f>
        <v>4832293.1579045346</v>
      </c>
      <c r="D59" s="78">
        <f>Pressure!I59</f>
        <v>8.1256230789298584E-5</v>
      </c>
      <c r="E59" s="40">
        <f>Pressure!H59</f>
        <v>81.256230789298584</v>
      </c>
      <c r="F59" s="10">
        <f t="shared" si="1"/>
        <v>4.5</v>
      </c>
      <c r="G59" s="4">
        <f t="shared" si="0"/>
        <v>204782.42818112244</v>
      </c>
      <c r="H59" s="42">
        <f t="shared" si="2"/>
        <v>7.7396821173485657</v>
      </c>
      <c r="I59" s="10">
        <f t="shared" si="3"/>
        <v>1.1914970260815083</v>
      </c>
      <c r="J59" s="4">
        <f t="shared" si="4"/>
        <v>467.84598758682762</v>
      </c>
      <c r="K59" s="4">
        <f t="shared" si="5"/>
        <v>105.17647308727747</v>
      </c>
      <c r="L59" s="42">
        <f>Pressure!Q59</f>
        <v>1.7633700917256964E-2</v>
      </c>
      <c r="M59" s="10">
        <f t="shared" si="8"/>
        <v>0.22752270078757664</v>
      </c>
      <c r="N59" s="10">
        <f t="shared" si="7"/>
        <v>2.5992897854448858</v>
      </c>
    </row>
    <row r="60" spans="3:14">
      <c r="C60" s="4">
        <f>Pressure!AB60*1000000</f>
        <v>4841146.853030053</v>
      </c>
      <c r="D60" s="78">
        <f>Pressure!I60</f>
        <v>8.1256230789298584E-5</v>
      </c>
      <c r="E60" s="40">
        <f>Pressure!H60</f>
        <v>81.256230789298584</v>
      </c>
      <c r="F60" s="10">
        <f t="shared" si="1"/>
        <v>4.5</v>
      </c>
      <c r="G60" s="4">
        <f t="shared" si="0"/>
        <v>205157.62917306004</v>
      </c>
      <c r="H60" s="42">
        <f t="shared" si="2"/>
        <v>7.7507479742748187</v>
      </c>
      <c r="I60" s="10">
        <f t="shared" si="3"/>
        <v>1.1916690373586001</v>
      </c>
      <c r="J60" s="4">
        <f t="shared" si="4"/>
        <v>468.7708365201982</v>
      </c>
      <c r="K60" s="4">
        <f t="shared" si="5"/>
        <v>105.38438840883913</v>
      </c>
      <c r="L60" s="42">
        <f>Pressure!Q60</f>
        <v>1.8120241165650731E-2</v>
      </c>
      <c r="M60" s="10">
        <f t="shared" si="8"/>
        <v>0.22785089112540721</v>
      </c>
      <c r="N60" s="10">
        <f t="shared" si="7"/>
        <v>2.5992897854448858</v>
      </c>
    </row>
    <row r="61" spans="3:14">
      <c r="C61" s="4">
        <f>Pressure!AB61*1000000</f>
        <v>4849046.8474601489</v>
      </c>
      <c r="D61" s="78">
        <f>Pressure!I61</f>
        <v>8.1256230789298584E-5</v>
      </c>
      <c r="E61" s="40">
        <f>Pressure!H61</f>
        <v>81.256230789298584</v>
      </c>
      <c r="F61" s="10">
        <f t="shared" si="1"/>
        <v>4.5</v>
      </c>
      <c r="G61" s="4">
        <f t="shared" si="0"/>
        <v>205492.41433388292</v>
      </c>
      <c r="H61" s="42">
        <f t="shared" si="2"/>
        <v>7.7606188103841784</v>
      </c>
      <c r="I61" s="10">
        <f t="shared" si="3"/>
        <v>1.1918219896669906</v>
      </c>
      <c r="J61" s="4">
        <f t="shared" si="4"/>
        <v>469.59606274707022</v>
      </c>
      <c r="K61" s="4">
        <f t="shared" si="5"/>
        <v>105.56990754621425</v>
      </c>
      <c r="L61" s="42">
        <f>Pressure!Q61</f>
        <v>1.8606497389155249E-2</v>
      </c>
      <c r="M61" s="10">
        <f t="shared" si="8"/>
        <v>0.22814337234967313</v>
      </c>
      <c r="N61" s="10">
        <f t="shared" si="7"/>
        <v>2.5992897854448858</v>
      </c>
    </row>
    <row r="62" spans="3:14">
      <c r="C62" s="4">
        <f>Pressure!AB62*1000000</f>
        <v>4856109.9676973764</v>
      </c>
      <c r="D62" s="78">
        <f>Pressure!I62</f>
        <v>8.1256230789298584E-5</v>
      </c>
      <c r="E62" s="40">
        <f>Pressure!H62</f>
        <v>81.256230789298584</v>
      </c>
      <c r="F62" s="10">
        <f t="shared" si="1"/>
        <v>4.5</v>
      </c>
      <c r="G62" s="4">
        <f t="shared" si="0"/>
        <v>205791.73452523942</v>
      </c>
      <c r="H62" s="42">
        <f t="shared" si="2"/>
        <v>7.7694415787775819</v>
      </c>
      <c r="I62" s="10">
        <f t="shared" si="3"/>
        <v>1.1919583178335909</v>
      </c>
      <c r="J62" s="4">
        <f t="shared" si="4"/>
        <v>470.33386985755453</v>
      </c>
      <c r="K62" s="4">
        <f t="shared" si="5"/>
        <v>105.73577398892913</v>
      </c>
      <c r="L62" s="42">
        <f>Pressure!Q62</f>
        <v>1.9092500760112149E-2</v>
      </c>
      <c r="M62" s="10">
        <f t="shared" si="8"/>
        <v>0.22840455785456945</v>
      </c>
      <c r="N62" s="10">
        <f t="shared" si="7"/>
        <v>2.5992897854448858</v>
      </c>
    </row>
    <row r="63" spans="3:14">
      <c r="C63" s="4">
        <f>Pressure!AB63*1000000</f>
        <v>4862438.4473729627</v>
      </c>
      <c r="D63" s="78">
        <f>Pressure!I63</f>
        <v>8.1256230789298584E-5</v>
      </c>
      <c r="E63" s="40">
        <f>Pressure!H63</f>
        <v>81.256230789298584</v>
      </c>
      <c r="F63" s="10">
        <f t="shared" si="1"/>
        <v>4.5</v>
      </c>
      <c r="G63" s="4">
        <f t="shared" si="0"/>
        <v>206059.92219356031</v>
      </c>
      <c r="H63" s="42">
        <f t="shared" si="2"/>
        <v>7.7773447509039784</v>
      </c>
      <c r="I63" s="10">
        <f t="shared" si="3"/>
        <v>1.1920801299945336</v>
      </c>
      <c r="J63" s="4">
        <f t="shared" si="4"/>
        <v>470.99493708370653</v>
      </c>
      <c r="K63" s="4">
        <f t="shared" si="5"/>
        <v>105.88438853552145</v>
      </c>
      <c r="L63" s="42">
        <f>Pressure!Q63</f>
        <v>1.9578278523711933E-2</v>
      </c>
      <c r="M63" s="10">
        <f t="shared" si="8"/>
        <v>0.22863830132398924</v>
      </c>
      <c r="N63" s="10">
        <f t="shared" si="7"/>
        <v>2.5992897854448858</v>
      </c>
    </row>
    <row r="64" spans="3:14">
      <c r="C64" s="4">
        <f>Pressure!AB64*1000000</f>
        <v>4868121.7900954923</v>
      </c>
      <c r="D64" s="78">
        <f>Pressure!I64</f>
        <v>8.1256230789298584E-5</v>
      </c>
      <c r="E64" s="40">
        <f>Pressure!H64</f>
        <v>81.256230789298584</v>
      </c>
      <c r="F64" s="10">
        <f t="shared" si="1"/>
        <v>4.5</v>
      </c>
      <c r="G64" s="4">
        <f t="shared" si="0"/>
        <v>206300.770313671</v>
      </c>
      <c r="H64" s="42">
        <f t="shared" si="2"/>
        <v>7.7844407041417698</v>
      </c>
      <c r="I64" s="10">
        <f t="shared" si="3"/>
        <v>1.192189254473248</v>
      </c>
      <c r="J64" s="4">
        <f t="shared" si="4"/>
        <v>471.58861389100491</v>
      </c>
      <c r="K64" s="4">
        <f t="shared" si="5"/>
        <v>106.0178530396576</v>
      </c>
      <c r="L64" s="42">
        <f>Pressure!Q64</f>
        <v>2.0063854512873083E-2</v>
      </c>
      <c r="M64" s="10">
        <f t="shared" si="8"/>
        <v>0.22884797006578775</v>
      </c>
      <c r="N64" s="10">
        <f t="shared" si="7"/>
        <v>2.5992897854448858</v>
      </c>
    </row>
    <row r="65" spans="3:14">
      <c r="C65" s="4">
        <f>Pressure!AB65*1000000</f>
        <v>4873238.3872536439</v>
      </c>
      <c r="D65" s="78">
        <f>Pressure!I65</f>
        <v>8.1256230789298584E-5</v>
      </c>
      <c r="E65" s="40">
        <f>Pressure!H65</f>
        <v>81.256230789298584</v>
      </c>
      <c r="F65" s="10">
        <f t="shared" si="1"/>
        <v>4.5</v>
      </c>
      <c r="G65" s="4">
        <f t="shared" si="0"/>
        <v>206517.60094787145</v>
      </c>
      <c r="H65" s="42">
        <f t="shared" si="2"/>
        <v>7.7908277888672002</v>
      </c>
      <c r="I65" s="10">
        <f t="shared" si="3"/>
        <v>1.1922872792860186</v>
      </c>
      <c r="J65" s="4">
        <f t="shared" si="4"/>
        <v>472.12308897255184</v>
      </c>
      <c r="K65" s="4">
        <f t="shared" si="5"/>
        <v>106.1380084017247</v>
      </c>
      <c r="L65" s="42">
        <f>Pressure!Q65</f>
        <v>2.0549249591849339E-2</v>
      </c>
      <c r="M65" s="10">
        <f t="shared" si="8"/>
        <v>0.22903650827113642</v>
      </c>
      <c r="N65" s="10">
        <f t="shared" si="7"/>
        <v>2.5992897854448858</v>
      </c>
    </row>
    <row r="66" spans="3:14">
      <c r="C66" s="4">
        <f>Pressure!AB66*1000000</f>
        <v>4877856.9244361883</v>
      </c>
      <c r="D66" s="78">
        <f>Pressure!I66</f>
        <v>8.1256230789298584E-5</v>
      </c>
      <c r="E66" s="40">
        <f>Pressure!H66</f>
        <v>81.256230789298584</v>
      </c>
      <c r="F66" s="10">
        <f t="shared" si="1"/>
        <v>4.5</v>
      </c>
      <c r="G66" s="4">
        <f t="shared" si="0"/>
        <v>206713.32484705982</v>
      </c>
      <c r="H66" s="42">
        <f t="shared" si="2"/>
        <v>7.7965921205080591</v>
      </c>
      <c r="I66" s="10">
        <f t="shared" si="3"/>
        <v>1.1923755855716611</v>
      </c>
      <c r="J66" s="4">
        <f t="shared" si="4"/>
        <v>472.60553716242646</v>
      </c>
      <c r="K66" s="4">
        <f t="shared" si="5"/>
        <v>106.24646759642697</v>
      </c>
      <c r="L66" s="42">
        <f>Pressure!Q66</f>
        <v>2.1034482039221206E-2</v>
      </c>
      <c r="M66" s="10">
        <f t="shared" si="8"/>
        <v>0.22920649168086871</v>
      </c>
      <c r="N66" s="10">
        <f t="shared" si="7"/>
        <v>2.5992897854448858</v>
      </c>
    </row>
    <row r="67" spans="3:14">
      <c r="C67" s="4">
        <f>Pressure!AB67*1000000</f>
        <v>4882037.6052055797</v>
      </c>
      <c r="D67" s="78">
        <f>Pressure!I67</f>
        <v>8.1256230789298584E-5</v>
      </c>
      <c r="E67" s="40">
        <f>Pressure!H67</f>
        <v>81.256230789298584</v>
      </c>
      <c r="F67" s="10">
        <f t="shared" si="1"/>
        <v>4.5</v>
      </c>
      <c r="G67" s="4">
        <f t="shared" si="0"/>
        <v>206890.49331168528</v>
      </c>
      <c r="H67" s="42">
        <f t="shared" si="2"/>
        <v>7.8018091350908758</v>
      </c>
      <c r="I67" s="10">
        <f t="shared" si="3"/>
        <v>1.192455375985271</v>
      </c>
      <c r="J67" s="4">
        <f t="shared" si="4"/>
        <v>473.04224726996006</v>
      </c>
      <c r="K67" s="4">
        <f t="shared" si="5"/>
        <v>106.34464441121354</v>
      </c>
      <c r="L67" s="42">
        <f>Pressure!Q67</f>
        <v>2.1519567879166146E-2</v>
      </c>
      <c r="M67" s="10">
        <f t="shared" si="8"/>
        <v>0.22936017490172772</v>
      </c>
      <c r="N67" s="10">
        <f t="shared" si="7"/>
        <v>2.5992897854448858</v>
      </c>
    </row>
    <row r="68" spans="3:14">
      <c r="C68" s="4">
        <f>Pressure!AB68*1000000</f>
        <v>4885833.2168274401</v>
      </c>
      <c r="D68" s="78">
        <f>Pressure!I68</f>
        <v>8.1256230789298584E-5</v>
      </c>
      <c r="E68" s="40">
        <f>Pressure!H68</f>
        <v>81.256230789298584</v>
      </c>
      <c r="F68" s="10">
        <f t="shared" si="1"/>
        <v>4.5</v>
      </c>
      <c r="G68" s="4">
        <f t="shared" si="0"/>
        <v>207051.34335512388</v>
      </c>
      <c r="H68" s="42">
        <f t="shared" si="2"/>
        <v>7.8065449409965098</v>
      </c>
      <c r="I68" s="10">
        <f t="shared" si="3"/>
        <v>1.1925276988960984</v>
      </c>
      <c r="J68" s="4">
        <f t="shared" si="4"/>
        <v>473.43873340486755</v>
      </c>
      <c r="K68" s="4">
        <f t="shared" si="5"/>
        <v>106.43377847328527</v>
      </c>
      <c r="L68" s="42">
        <f>Pressure!Q68</f>
        <v>2.2004521168467038E-2</v>
      </c>
      <c r="M68" s="10">
        <f t="shared" si="8"/>
        <v>0.22949953241949583</v>
      </c>
      <c r="N68" s="10">
        <f t="shared" si="7"/>
        <v>2.5992897854448858</v>
      </c>
    </row>
    <row r="69" spans="3:14">
      <c r="C69" s="4">
        <f>Pressure!AB69*1000000</f>
        <v>4889290.0590603258</v>
      </c>
      <c r="D69" s="78">
        <f>Pressure!I69</f>
        <v>8.1256230789298584E-5</v>
      </c>
      <c r="E69" s="40">
        <f>Pressure!H69</f>
        <v>81.256230789298584</v>
      </c>
      <c r="F69" s="10">
        <f t="shared" si="1"/>
        <v>4.5</v>
      </c>
      <c r="G69" s="4">
        <f t="shared" si="0"/>
        <v>207197.83706383678</v>
      </c>
      <c r="H69" s="42">
        <f t="shared" si="2"/>
        <v>7.8108574947943099</v>
      </c>
      <c r="I69" s="10">
        <f t="shared" si="3"/>
        <v>1.1925934690724351</v>
      </c>
      <c r="J69" s="4">
        <f t="shared" si="4"/>
        <v>473.79983199778155</v>
      </c>
      <c r="K69" s="4">
        <f t="shared" si="5"/>
        <v>106.51495706078448</v>
      </c>
      <c r="L69" s="42">
        <f>Pressure!Q69</f>
        <v>2.2489354245542457E-2</v>
      </c>
      <c r="M69" s="10">
        <f t="shared" si="8"/>
        <v>0.22962629419433617</v>
      </c>
      <c r="N69" s="10">
        <f t="shared" si="7"/>
        <v>2.5992897854448858</v>
      </c>
    </row>
    <row r="70" spans="3:14">
      <c r="C70" s="4">
        <f>Pressure!AB70*1000000</f>
        <v>4892448.7541607674</v>
      </c>
      <c r="D70" s="78">
        <f>Pressure!I70</f>
        <v>8.1256230789298584E-5</v>
      </c>
      <c r="E70" s="40">
        <f>Pressure!H70</f>
        <v>81.256230789298584</v>
      </c>
      <c r="F70" s="10">
        <f t="shared" si="1"/>
        <v>4.5</v>
      </c>
      <c r="G70" s="4">
        <f t="shared" si="0"/>
        <v>207331.69592368143</v>
      </c>
      <c r="H70" s="42">
        <f t="shared" si="2"/>
        <v>7.8147976249814475</v>
      </c>
      <c r="I70" s="10">
        <f t="shared" si="3"/>
        <v>1.1926534854123112</v>
      </c>
      <c r="J70" s="4">
        <f t="shared" si="4"/>
        <v>474.12978641264118</v>
      </c>
      <c r="K70" s="4">
        <f t="shared" si="5"/>
        <v>106.58913412450906</v>
      </c>
      <c r="L70" s="42">
        <f>Pressure!Q70</f>
        <v>2.2974077946812891E-2</v>
      </c>
      <c r="M70" s="10">
        <f t="shared" si="8"/>
        <v>0.22974197658988491</v>
      </c>
      <c r="N70" s="10">
        <f t="shared" si="7"/>
        <v>2.5992897854448858</v>
      </c>
    </row>
    <row r="71" spans="3:14">
      <c r="C71" s="4">
        <f>Pressure!AB71*1000000</f>
        <v>4895344.953733271</v>
      </c>
      <c r="D71" s="78">
        <f>Pressure!I71</f>
        <v>8.1256230789298584E-5</v>
      </c>
      <c r="E71" s="40">
        <f>Pressure!H71</f>
        <v>81.256230789298584</v>
      </c>
      <c r="F71" s="10">
        <f t="shared" si="1"/>
        <v>4.5</v>
      </c>
      <c r="G71" s="4">
        <f t="shared" si="0"/>
        <v>207454.43077472918</v>
      </c>
      <c r="H71" s="42">
        <f t="shared" si="2"/>
        <v>7.8184099240266711</v>
      </c>
      <c r="I71" s="10">
        <f t="shared" si="3"/>
        <v>1.192708446179614</v>
      </c>
      <c r="J71" s="4">
        <f t="shared" si="4"/>
        <v>474.43232078359983</v>
      </c>
      <c r="K71" s="4">
        <f t="shared" si="5"/>
        <v>106.65714688719029</v>
      </c>
      <c r="L71" s="42">
        <f>Pressure!Q71</f>
        <v>2.3458701794913113E-2</v>
      </c>
      <c r="M71" s="10">
        <f t="shared" si="8"/>
        <v>0.22984790927574877</v>
      </c>
      <c r="N71" s="10">
        <f t="shared" si="7"/>
        <v>2.5992897854448858</v>
      </c>
    </row>
    <row r="72" spans="3:14">
      <c r="C72" s="4">
        <f>Pressure!AB72*1000000</f>
        <v>4898009.9559154715</v>
      </c>
      <c r="D72" s="78">
        <f>Pressure!I72</f>
        <v>8.1256230789298584E-5</v>
      </c>
      <c r="E72" s="40">
        <f>Pressure!H72</f>
        <v>81.256230789298584</v>
      </c>
      <c r="F72" s="10">
        <f t="shared" si="1"/>
        <v>4.5</v>
      </c>
      <c r="G72" s="4">
        <f t="shared" si="0"/>
        <v>207567.36796627485</v>
      </c>
      <c r="H72" s="42">
        <f t="shared" si="2"/>
        <v>7.8217335262381606</v>
      </c>
      <c r="I72" s="10">
        <f t="shared" si="3"/>
        <v>1.1927589621259145</v>
      </c>
      <c r="J72" s="4">
        <f t="shared" si="4"/>
        <v>474.71070448562432</v>
      </c>
      <c r="K72" s="4">
        <f t="shared" si="5"/>
        <v>106.7197303371306</v>
      </c>
      <c r="L72" s="42">
        <f>Pressure!Q72</f>
        <v>2.3943234162591691E-2</v>
      </c>
      <c r="M72" s="10">
        <f t="shared" si="8"/>
        <v>0.22994525864965273</v>
      </c>
      <c r="N72" s="10">
        <f t="shared" si="7"/>
        <v>2.5992897854448858</v>
      </c>
    </row>
    <row r="73" spans="3:14">
      <c r="C73" s="4">
        <f>Pressure!AB73*1000000</f>
        <v>4900471.2445635721</v>
      </c>
      <c r="D73" s="78">
        <f>Pressure!I73</f>
        <v>8.1256230789298584E-5</v>
      </c>
      <c r="E73" s="40">
        <f>Pressure!H73</f>
        <v>81.256230789298584</v>
      </c>
      <c r="F73" s="10">
        <f t="shared" si="1"/>
        <v>4.5</v>
      </c>
      <c r="G73" s="4">
        <f t="shared" si="0"/>
        <v>207671.6722063825</v>
      </c>
      <c r="H73" s="42">
        <f t="shared" si="2"/>
        <v>7.8248027865377336</v>
      </c>
      <c r="I73" s="10">
        <f t="shared" si="3"/>
        <v>1.1928055678143479</v>
      </c>
      <c r="J73" s="4">
        <f t="shared" si="4"/>
        <v>474.96780845731541</v>
      </c>
      <c r="K73" s="4">
        <f t="shared" si="5"/>
        <v>106.77752989013881</v>
      </c>
      <c r="L73" s="42">
        <f>Pressure!Q73</f>
        <v>2.4427682415578179E-2</v>
      </c>
      <c r="M73" s="10">
        <f t="shared" si="8"/>
        <v>0.23003504824700641</v>
      </c>
      <c r="N73" s="10">
        <f t="shared" si="7"/>
        <v>2.5992897854448858</v>
      </c>
    </row>
    <row r="74" spans="3:14">
      <c r="C74" s="4">
        <f>Pressure!AB74*1000000</f>
        <v>4902752.9605184942</v>
      </c>
      <c r="D74" s="78">
        <f>Pressure!I74</f>
        <v>8.1256230789298584E-5</v>
      </c>
      <c r="E74" s="40">
        <f>Pressure!H74</f>
        <v>81.256230789298584</v>
      </c>
      <c r="F74" s="10">
        <f t="shared" si="1"/>
        <v>4.5</v>
      </c>
      <c r="G74" s="4">
        <f t="shared" si="0"/>
        <v>207768.36653315451</v>
      </c>
      <c r="H74" s="42">
        <f t="shared" si="2"/>
        <v>7.8276478731240324</v>
      </c>
      <c r="I74" s="10">
        <f t="shared" si="3"/>
        <v>1.1928487314095553</v>
      </c>
      <c r="J74" s="4">
        <f t="shared" si="4"/>
        <v>475.20615442894058</v>
      </c>
      <c r="K74" s="4">
        <f t="shared" si="5"/>
        <v>106.8311124564859</v>
      </c>
      <c r="L74" s="42">
        <f>Pressure!Q74</f>
        <v>2.4912053037227388E-2</v>
      </c>
      <c r="M74" s="10">
        <f t="shared" si="8"/>
        <v>0.2301181765390542</v>
      </c>
      <c r="N74" s="10">
        <f t="shared" si="7"/>
        <v>2.5992897854448858</v>
      </c>
    </row>
    <row r="75" spans="3:14">
      <c r="C75" s="4">
        <f>Pressure!AB75*1000000</f>
        <v>4904876.3137009712</v>
      </c>
      <c r="D75" s="78">
        <f>Pressure!I75</f>
        <v>8.1256230789298584E-5</v>
      </c>
      <c r="E75" s="40">
        <f>Pressure!H75</f>
        <v>81.256230789298584</v>
      </c>
      <c r="F75" s="10">
        <f t="shared" si="1"/>
        <v>4.5</v>
      </c>
      <c r="G75" s="4">
        <f t="shared" si="0"/>
        <v>207858.34977845542</v>
      </c>
      <c r="H75" s="42">
        <f t="shared" si="2"/>
        <v>7.8302952852514434</v>
      </c>
      <c r="I75" s="10">
        <f t="shared" si="3"/>
        <v>1.1928888631554875</v>
      </c>
      <c r="J75" s="4">
        <f t="shared" si="4"/>
        <v>475.42795796951231</v>
      </c>
      <c r="K75" s="4">
        <f t="shared" si="5"/>
        <v>106.88097611832029</v>
      </c>
      <c r="L75" s="42">
        <f>Pressure!Q75</f>
        <v>2.5396351737352888E-2</v>
      </c>
      <c r="M75" s="10">
        <f t="shared" si="8"/>
        <v>0.23019543246476473</v>
      </c>
      <c r="N75" s="10">
        <f t="shared" si="7"/>
        <v>2.5992897854448858</v>
      </c>
    </row>
    <row r="76" spans="3:14">
      <c r="C76" s="4">
        <f>Pressure!AB76*1000000</f>
        <v>4906859.9436158678</v>
      </c>
      <c r="D76" s="78">
        <f>Pressure!I76</f>
        <v>8.1256230789298584E-5</v>
      </c>
      <c r="E76" s="40">
        <f>Pressure!H76</f>
        <v>81.256230789298584</v>
      </c>
      <c r="F76" s="10">
        <f t="shared" si="1"/>
        <v>4.5</v>
      </c>
      <c r="G76" s="4">
        <f t="shared" si="0"/>
        <v>207942.4118453275</v>
      </c>
      <c r="H76" s="42">
        <f t="shared" si="2"/>
        <v>7.8327683058227624</v>
      </c>
      <c r="I76" s="10">
        <f t="shared" si="3"/>
        <v>1.1929263227277853</v>
      </c>
      <c r="J76" s="4">
        <f t="shared" si="4"/>
        <v>475.63516614474139</v>
      </c>
      <c r="K76" s="4">
        <f t="shared" si="5"/>
        <v>106.92755859555358</v>
      </c>
      <c r="L76" s="42">
        <f>Pressure!Q76</f>
        <v>2.5880583547325059E-2</v>
      </c>
      <c r="M76" s="10">
        <f t="shared" si="8"/>
        <v>0.23026750899381621</v>
      </c>
      <c r="N76" s="10">
        <f t="shared" si="7"/>
        <v>2.5992897854448858</v>
      </c>
    </row>
    <row r="77" spans="3:14">
      <c r="C77" s="4">
        <f>Pressure!AB77*1000000</f>
        <v>4908720.2348502222</v>
      </c>
      <c r="D77" s="78">
        <f>Pressure!I77</f>
        <v>8.1256230789298584E-5</v>
      </c>
      <c r="E77" s="40">
        <f>Pressure!H77</f>
        <v>81.256230789298584</v>
      </c>
      <c r="F77" s="10">
        <f t="shared" si="1"/>
        <v>4.5</v>
      </c>
      <c r="G77" s="4">
        <f t="shared" si="0"/>
        <v>208021.24707813453</v>
      </c>
      <c r="H77" s="42">
        <f t="shared" si="2"/>
        <v>7.8350873971958537</v>
      </c>
      <c r="I77" s="10">
        <f t="shared" si="3"/>
        <v>1.1929614256186871</v>
      </c>
      <c r="J77" s="4">
        <f t="shared" si="4"/>
        <v>475.82949047367526</v>
      </c>
      <c r="K77" s="4">
        <f t="shared" si="5"/>
        <v>106.97124465484359</v>
      </c>
      <c r="L77" s="42">
        <f>Pressure!Q77</f>
        <v>2.6364752903222943E-2</v>
      </c>
      <c r="M77" s="10">
        <f t="shared" si="8"/>
        <v>0.23033501497726994</v>
      </c>
      <c r="N77" s="10">
        <f t="shared" si="7"/>
        <v>2.5992897854448858</v>
      </c>
    </row>
    <row r="78" spans="3:14">
      <c r="C78" s="4">
        <f>Pressure!AB78*1000000</f>
        <v>4910471.5932852635</v>
      </c>
      <c r="D78" s="78">
        <f>Pressure!I78</f>
        <v>8.1256230789298584E-5</v>
      </c>
      <c r="E78" s="40">
        <f>Pressure!H78</f>
        <v>81.256230789298584</v>
      </c>
      <c r="F78" s="10">
        <f t="shared" si="1"/>
        <v>4.5</v>
      </c>
      <c r="G78" s="4">
        <f t="shared" si="0"/>
        <v>208095.46596784666</v>
      </c>
      <c r="H78" s="42">
        <f t="shared" si="2"/>
        <v>7.8372705474843292</v>
      </c>
      <c r="I78" s="10">
        <f t="shared" si="3"/>
        <v>1.1929944486884558</v>
      </c>
      <c r="J78" s="4">
        <f t="shared" si="4"/>
        <v>476.01243578155351</v>
      </c>
      <c r="K78" s="4">
        <f t="shared" si="5"/>
        <v>107.01237259600592</v>
      </c>
      <c r="L78" s="42">
        <f>Pressure!Q78</f>
        <v>2.6848863718585327E-2</v>
      </c>
      <c r="M78" s="10">
        <f t="shared" si="8"/>
        <v>0.23039848550776082</v>
      </c>
      <c r="N78" s="10">
        <f t="shared" si="7"/>
        <v>2.5992897854448858</v>
      </c>
    </row>
    <row r="79" spans="3:14">
      <c r="C79" s="4">
        <f>Pressure!AB79*1000000</f>
        <v>4912126.6880019102</v>
      </c>
      <c r="D79" s="78">
        <f>Pressure!I79</f>
        <v>8.1256230789298584E-5</v>
      </c>
      <c r="E79" s="40">
        <f>Pressure!H79</f>
        <v>81.256230789298584</v>
      </c>
      <c r="F79" s="10">
        <f t="shared" si="1"/>
        <v>4.5</v>
      </c>
      <c r="G79" s="4">
        <f t="shared" si="0"/>
        <v>208165.60540348713</v>
      </c>
      <c r="H79" s="42">
        <f t="shared" si="2"/>
        <v>7.8393335736752627</v>
      </c>
      <c r="I79" s="10">
        <f t="shared" si="3"/>
        <v>1.1930256349974637</v>
      </c>
      <c r="J79" s="4">
        <f t="shared" si="4"/>
        <v>476.18532546903612</v>
      </c>
      <c r="K79" s="4">
        <f t="shared" si="5"/>
        <v>107.05123993278993</v>
      </c>
      <c r="L79" s="42">
        <f>Pressure!Q79</f>
        <v>2.7332919448098049E-2</v>
      </c>
      <c r="M79" s="10">
        <f t="shared" si="8"/>
        <v>0.23045839098126725</v>
      </c>
      <c r="N79" s="10">
        <f t="shared" si="7"/>
        <v>2.5992897854448858</v>
      </c>
    </row>
    <row r="80" spans="3:14">
      <c r="C80" s="4">
        <f>Pressure!AB80*1000000</f>
        <v>4913696.6632101992</v>
      </c>
      <c r="D80" s="78">
        <f>Pressure!I80</f>
        <v>8.1256230789298584E-5</v>
      </c>
      <c r="E80" s="40">
        <f>Pressure!H80</f>
        <v>81.256230789298584</v>
      </c>
      <c r="F80" s="10">
        <f t="shared" si="1"/>
        <v>4.5</v>
      </c>
      <c r="G80" s="4">
        <f t="shared" si="0"/>
        <v>208232.13765325589</v>
      </c>
      <c r="H80" s="42">
        <f t="shared" si="2"/>
        <v>7.8412903870523412</v>
      </c>
      <c r="I80" s="10">
        <f t="shared" si="3"/>
        <v>1.1930551980163069</v>
      </c>
      <c r="J80" s="4">
        <f t="shared" si="4"/>
        <v>476.34932365015936</v>
      </c>
      <c r="K80" s="4">
        <f t="shared" si="5"/>
        <v>107.08810836971345</v>
      </c>
      <c r="L80" s="42">
        <f>Pressure!Q80</f>
        <v>2.7816923143375808E-2</v>
      </c>
      <c r="M80" s="10">
        <f t="shared" si="8"/>
        <v>0.23051514502689718</v>
      </c>
      <c r="N80" s="10">
        <f t="shared" si="7"/>
        <v>2.5992897854448858</v>
      </c>
    </row>
    <row r="81" spans="3:14">
      <c r="C81" s="4">
        <f>Pressure!AB81*1000000</f>
        <v>4915191.323975943</v>
      </c>
      <c r="D81" s="78">
        <f>Pressure!I81</f>
        <v>8.1256230789298584E-5</v>
      </c>
      <c r="E81" s="40">
        <f>Pressure!H81</f>
        <v>81.256230789298584</v>
      </c>
      <c r="F81" s="10">
        <f t="shared" si="1"/>
        <v>4.5</v>
      </c>
      <c r="G81" s="4">
        <f t="shared" si="0"/>
        <v>208295.47823523515</v>
      </c>
      <c r="H81" s="42">
        <f t="shared" si="2"/>
        <v>7.8431532256983072</v>
      </c>
      <c r="I81" s="10">
        <f t="shared" si="3"/>
        <v>1.1930833252973132</v>
      </c>
      <c r="J81" s="4">
        <f t="shared" si="4"/>
        <v>476.50545455317234</v>
      </c>
      <c r="K81" s="4">
        <f t="shared" si="5"/>
        <v>107.12320816356556</v>
      </c>
      <c r="L81" s="42">
        <f>Pressure!Q81</f>
        <v>2.8300877501843482E-2</v>
      </c>
      <c r="M81" s="10">
        <f t="shared" si="8"/>
        <v>0.23056911144912556</v>
      </c>
      <c r="N81" s="10">
        <f t="shared" si="7"/>
        <v>2.5992897854448858</v>
      </c>
    </row>
    <row r="82" spans="3:14">
      <c r="C82" s="4">
        <f>Pressure!AB82*1000000</f>
        <v>4916619.2990354244</v>
      </c>
      <c r="D82" s="78">
        <f>Pressure!I82</f>
        <v>8.1256230789298584E-5</v>
      </c>
      <c r="E82" s="40">
        <f>Pressure!H82</f>
        <v>81.256230789298584</v>
      </c>
      <c r="F82" s="10">
        <f t="shared" si="1"/>
        <v>4.5</v>
      </c>
      <c r="G82" s="4">
        <f t="shared" si="0"/>
        <v>208355.99281713387</v>
      </c>
      <c r="H82" s="42">
        <f t="shared" si="2"/>
        <v>7.8449328582336344</v>
      </c>
      <c r="I82" s="10">
        <f t="shared" si="3"/>
        <v>1.1931101816790199</v>
      </c>
      <c r="J82" s="4">
        <f t="shared" si="4"/>
        <v>476.65461952801257</v>
      </c>
      <c r="K82" s="4">
        <f t="shared" si="5"/>
        <v>107.15674194685774</v>
      </c>
      <c r="L82" s="42">
        <f>Pressure!Q82</f>
        <v>2.8784784909589817E-2</v>
      </c>
      <c r="M82" s="10">
        <f t="shared" si="8"/>
        <v>0.2306206103079656</v>
      </c>
      <c r="N82" s="10">
        <f t="shared" si="7"/>
        <v>2.5992897854448858</v>
      </c>
    </row>
    <row r="83" spans="3:14">
      <c r="C83" s="4">
        <f>Pressure!AB83*1000000</f>
        <v>4917988.1835622797</v>
      </c>
      <c r="D83" s="78">
        <f>Pressure!I83</f>
        <v>8.1256230789298584E-5</v>
      </c>
      <c r="E83" s="40">
        <f>Pressure!H83</f>
        <v>81.256230789298584</v>
      </c>
      <c r="F83" s="10">
        <f t="shared" si="1"/>
        <v>4.5</v>
      </c>
      <c r="G83" s="4">
        <f t="shared" si="0"/>
        <v>208414.00326644827</v>
      </c>
      <c r="H83" s="42">
        <f t="shared" si="2"/>
        <v>7.8466387624047407</v>
      </c>
      <c r="I83" s="10">
        <f t="shared" si="3"/>
        <v>1.1931359120850544</v>
      </c>
      <c r="J83" s="4">
        <f t="shared" si="4"/>
        <v>476.79761195960424</v>
      </c>
      <c r="K83" s="4">
        <f t="shared" si="5"/>
        <v>107.18888808048295</v>
      </c>
      <c r="L83" s="42">
        <f>Pressure!Q83</f>
        <v>2.9268647478952532E-2</v>
      </c>
      <c r="M83" s="10">
        <f t="shared" si="8"/>
        <v>0.23066992324610611</v>
      </c>
      <c r="N83" s="10">
        <f t="shared" si="7"/>
        <v>2.5992897854448858</v>
      </c>
    </row>
    <row r="84" spans="3:14">
      <c r="C84" s="4">
        <f>Pressure!AB84*1000000</f>
        <v>4919304.6643963894</v>
      </c>
      <c r="D84" s="78">
        <f>Pressure!I84</f>
        <v>8.1256230789298584E-5</v>
      </c>
      <c r="E84" s="40">
        <f>Pressure!H84</f>
        <v>81.256230789298584</v>
      </c>
      <c r="F84" s="10">
        <f t="shared" si="1"/>
        <v>4.5</v>
      </c>
      <c r="G84" s="4">
        <f t="shared" si="0"/>
        <v>208469.79295739904</v>
      </c>
      <c r="H84" s="42">
        <f t="shared" si="2"/>
        <v>7.8482792816837899</v>
      </c>
      <c r="I84" s="10">
        <f t="shared" si="3"/>
        <v>1.1931606439705533</v>
      </c>
      <c r="J84" s="4">
        <f t="shared" si="4"/>
        <v>476.93513034915441</v>
      </c>
      <c r="K84" s="4">
        <f t="shared" si="5"/>
        <v>107.21980359452238</v>
      </c>
      <c r="L84" s="42">
        <f>Pressure!Q84</f>
        <v>2.9752467081495607E-2</v>
      </c>
      <c r="M84" s="10">
        <f t="shared" si="8"/>
        <v>0.23071729815806999</v>
      </c>
      <c r="N84" s="10">
        <f t="shared" si="7"/>
        <v>2.5992897854448858</v>
      </c>
    </row>
    <row r="85" spans="3:14">
      <c r="C85" s="4">
        <f>Pressure!AB85*1000000</f>
        <v>4920574.6299112858</v>
      </c>
      <c r="D85" s="78">
        <f>Pressure!I85</f>
        <v>8.1256230789298584E-5</v>
      </c>
      <c r="E85" s="40">
        <f>Pressure!H85</f>
        <v>81.256230789298584</v>
      </c>
      <c r="F85" s="10">
        <f t="shared" si="1"/>
        <v>4.5</v>
      </c>
      <c r="G85" s="4">
        <f t="shared" si="0"/>
        <v>208523.61142688102</v>
      </c>
      <c r="H85" s="42">
        <f t="shared" si="2"/>
        <v>7.8498617626196543</v>
      </c>
      <c r="I85" s="10">
        <f t="shared" si="3"/>
        <v>1.1931844894617134</v>
      </c>
      <c r="J85" s="4">
        <f t="shared" si="4"/>
        <v>477.06778979080201</v>
      </c>
      <c r="K85" s="4">
        <f t="shared" si="5"/>
        <v>107.24962676831123</v>
      </c>
      <c r="L85" s="42">
        <f>Pressure!Q85</f>
        <v>3.0236245376954254E-2</v>
      </c>
      <c r="M85" s="10">
        <f t="shared" si="8"/>
        <v>0.23076295328394031</v>
      </c>
      <c r="N85" s="10">
        <f t="shared" si="7"/>
        <v>2.5992897854448858</v>
      </c>
    </row>
    <row r="86" spans="3:14">
      <c r="C86" s="4">
        <f>Pressure!AB86*1000000</f>
        <v>4921803.2664372539</v>
      </c>
      <c r="D86" s="78">
        <f>Pressure!I86</f>
        <v>8.1256230789298584E-5</v>
      </c>
      <c r="E86" s="40">
        <f>Pressure!H86</f>
        <v>81.256230789298584</v>
      </c>
      <c r="F86" s="10">
        <f t="shared" si="1"/>
        <v>4.5</v>
      </c>
      <c r="G86" s="4">
        <f t="shared" si="0"/>
        <v>208575.67846067186</v>
      </c>
      <c r="H86" s="42">
        <f t="shared" si="2"/>
        <v>7.8513926753505379</v>
      </c>
      <c r="I86" s="10">
        <f t="shared" si="3"/>
        <v>1.193207547228196</v>
      </c>
      <c r="J86" s="4">
        <f t="shared" si="4"/>
        <v>477.19613204388753</v>
      </c>
      <c r="K86" s="4">
        <f t="shared" si="5"/>
        <v>107.2784793947861</v>
      </c>
      <c r="L86" s="42">
        <f>Pressure!Q86</f>
        <v>3.0719983838649635E-2</v>
      </c>
      <c r="M86" s="10">
        <f t="shared" si="8"/>
        <v>0.2308070807998569</v>
      </c>
      <c r="N86" s="10">
        <f t="shared" si="7"/>
        <v>2.5992897854448858</v>
      </c>
    </row>
    <row r="87" spans="3:14">
      <c r="C87" s="4">
        <f>Pressure!AB87*1000000</f>
        <v>4922995.1428996529</v>
      </c>
      <c r="D87" s="78">
        <f>Pressure!I87</f>
        <v>8.1256230789298584E-5</v>
      </c>
      <c r="E87" s="40">
        <f>Pressure!H87</f>
        <v>81.256230789298584</v>
      </c>
      <c r="F87" s="10">
        <f t="shared" si="1"/>
        <v>4.5</v>
      </c>
      <c r="G87" s="4">
        <f t="shared" si="0"/>
        <v>208626.18768022588</v>
      </c>
      <c r="H87" s="42">
        <f t="shared" si="2"/>
        <v>7.8528777193632289</v>
      </c>
      <c r="I87" s="10">
        <f t="shared" si="3"/>
        <v>1.1932299041224868</v>
      </c>
      <c r="J87" s="4">
        <f t="shared" si="4"/>
        <v>477.32063437419504</v>
      </c>
      <c r="K87" s="4">
        <f t="shared" si="5"/>
        <v>107.30646876808486</v>
      </c>
      <c r="L87" s="42">
        <f>Pressure!Q87</f>
        <v>3.1203683775811137E-2</v>
      </c>
      <c r="M87" s="10">
        <f t="shared" si="8"/>
        <v>0.23084984996801322</v>
      </c>
      <c r="N87" s="10">
        <f t="shared" si="7"/>
        <v>2.5992897854448858</v>
      </c>
    </row>
    <row r="88" spans="3:14">
      <c r="C88" s="4">
        <f>Pressure!AB88*1000000</f>
        <v>4924154.285136438</v>
      </c>
      <c r="D88" s="78">
        <f>Pressure!I88</f>
        <v>8.1256230789298584E-5</v>
      </c>
      <c r="E88" s="40">
        <f>Pressure!H88</f>
        <v>81.256230789298584</v>
      </c>
      <c r="F88" s="10">
        <f t="shared" si="1"/>
        <v>4.5</v>
      </c>
      <c r="G88" s="4">
        <f t="shared" si="0"/>
        <v>208675.30969209468</v>
      </c>
      <c r="H88" s="42">
        <f t="shared" si="2"/>
        <v>7.8543219163368212</v>
      </c>
      <c r="I88" s="10">
        <f t="shared" si="3"/>
        <v>1.1932516366160302</v>
      </c>
      <c r="J88" s="4">
        <f t="shared" si="4"/>
        <v>477.44171731709264</v>
      </c>
      <c r="K88" s="4">
        <f t="shared" si="5"/>
        <v>107.33368942877853</v>
      </c>
      <c r="L88" s="42">
        <f>Pressure!Q88</f>
        <v>3.1687346353188775E-2</v>
      </c>
      <c r="M88" s="10">
        <f t="shared" si="8"/>
        <v>0.23089140990107154</v>
      </c>
      <c r="N88" s="10">
        <f t="shared" si="7"/>
        <v>2.5992897854448858</v>
      </c>
    </row>
    <row r="89" spans="3:14">
      <c r="C89" s="4">
        <f>Pressure!AB89*1000000</f>
        <v>4925284.241166533</v>
      </c>
      <c r="D89" s="78">
        <f>Pressure!I89</f>
        <v>8.1256230789298584E-5</v>
      </c>
      <c r="E89" s="40">
        <f>Pressure!H89</f>
        <v>81.256230789298584</v>
      </c>
      <c r="F89" s="10">
        <f t="shared" si="1"/>
        <v>4.5</v>
      </c>
      <c r="G89" s="4">
        <f t="shared" si="0"/>
        <v>208723.19485386353</v>
      </c>
      <c r="H89" s="42">
        <f t="shared" si="2"/>
        <v>7.8557296916661272</v>
      </c>
      <c r="I89" s="10">
        <f t="shared" si="3"/>
        <v>1.1932728120578637</v>
      </c>
      <c r="J89" s="4">
        <f t="shared" si="4"/>
        <v>477.55975149540723</v>
      </c>
      <c r="K89" s="4">
        <f t="shared" si="5"/>
        <v>107.360224696598</v>
      </c>
      <c r="L89" s="42">
        <f>Pressure!Q89</f>
        <v>3.2170972608289813E-2</v>
      </c>
      <c r="M89" s="10">
        <f t="shared" si="8"/>
        <v>0.23093189198889022</v>
      </c>
      <c r="N89" s="10">
        <f t="shared" si="7"/>
        <v>2.5992897854448858</v>
      </c>
    </row>
    <row r="90" spans="3:14">
      <c r="C90" s="4">
        <f>Pressure!AB90*1000000</f>
        <v>4926388.1385241887</v>
      </c>
      <c r="D90" s="78">
        <f>Pressure!I90</f>
        <v>8.1256230789298584E-5</v>
      </c>
      <c r="E90" s="40">
        <f>Pressure!H90</f>
        <v>81.256230789298584</v>
      </c>
      <c r="F90" s="10">
        <f t="shared" si="1"/>
        <v>4.5</v>
      </c>
      <c r="G90" s="4">
        <f t="shared" si="0"/>
        <v>208769.97570386095</v>
      </c>
      <c r="H90" s="42">
        <f t="shared" si="2"/>
        <v>7.8571049460630222</v>
      </c>
      <c r="I90" s="10">
        <f t="shared" si="3"/>
        <v>1.1932934897781646</v>
      </c>
      <c r="J90" s="4">
        <f t="shared" si="4"/>
        <v>477.67506360851979</v>
      </c>
      <c r="K90" s="4">
        <f t="shared" si="5"/>
        <v>107.38614801684272</v>
      </c>
      <c r="L90" s="42">
        <f>Pressure!Q90</f>
        <v>3.2654563466531762E-2</v>
      </c>
      <c r="M90" s="10">
        <f t="shared" si="8"/>
        <v>0.23097141202934865</v>
      </c>
      <c r="N90" s="10">
        <f t="shared" si="7"/>
        <v>2.5992897854448858</v>
      </c>
    </row>
    <row r="91" spans="3:14">
      <c r="C91" s="4">
        <f>Pressure!AB91*1000000</f>
        <v>4927468.7346360143</v>
      </c>
      <c r="D91" s="78">
        <f>Pressure!I91</f>
        <v>8.1256230789298584E-5</v>
      </c>
      <c r="E91" s="40">
        <f>Pressure!H91</f>
        <v>81.256230789298584</v>
      </c>
      <c r="F91" s="10">
        <f t="shared" si="1"/>
        <v>4.5</v>
      </c>
      <c r="G91" s="4">
        <f t="shared" si="0"/>
        <v>208815.76909603144</v>
      </c>
      <c r="H91" s="42">
        <f t="shared" si="2"/>
        <v>7.8584511184594978</v>
      </c>
      <c r="I91" s="10">
        <f t="shared" si="3"/>
        <v>1.1933137220562171</v>
      </c>
      <c r="J91" s="4">
        <f t="shared" si="4"/>
        <v>477.78794169470393</v>
      </c>
      <c r="K91" s="4">
        <f t="shared" si="5"/>
        <v>107.41152414340721</v>
      </c>
      <c r="L91" s="42">
        <f>Pressure!Q91</f>
        <v>3.3138119754567319E-2</v>
      </c>
      <c r="M91" s="10">
        <f t="shared" si="8"/>
        <v>0.23101007209986218</v>
      </c>
      <c r="N91" s="10">
        <f t="shared" si="7"/>
        <v>2.5992897854448858</v>
      </c>
    </row>
    <row r="92" spans="3:14">
      <c r="C92" s="4">
        <f>Pressure!AB92*1000000</f>
        <v>4928528.4610957718</v>
      </c>
      <c r="D92" s="78">
        <f>Pressure!I92</f>
        <v>8.1256230789298584E-5</v>
      </c>
      <c r="E92" s="40">
        <f>Pressure!H92</f>
        <v>81.256230789298584</v>
      </c>
      <c r="F92" s="10">
        <f t="shared" si="1"/>
        <v>4.5</v>
      </c>
      <c r="G92" s="4">
        <f t="shared" ref="G92:G155" si="9">IF(C92/(1+(k-1)/2*N92^2)^(k/(k-1))&lt;patm*1000000,patm*1000000,C92/(1+(k-1)/2*N92^2)^(k/(k-1)))</f>
        <v>208860.67807620825</v>
      </c>
      <c r="H92" s="42">
        <f t="shared" si="2"/>
        <v>7.8597712412834202</v>
      </c>
      <c r="I92" s="10">
        <f t="shared" si="3"/>
        <v>1.1933335549697996</v>
      </c>
      <c r="J92" s="4">
        <f t="shared" si="4"/>
        <v>477.89863975603049</v>
      </c>
      <c r="K92" s="4">
        <f t="shared" si="5"/>
        <v>107.43641017850602</v>
      </c>
      <c r="L92" s="42">
        <f>Pressure!Q92</f>
        <v>3.3621642212004949E-2</v>
      </c>
      <c r="M92" s="10">
        <f t="shared" si="8"/>
        <v>0.23104796220161319</v>
      </c>
      <c r="N92" s="10">
        <f t="shared" si="7"/>
        <v>2.5992897854448858</v>
      </c>
    </row>
    <row r="93" spans="3:14">
      <c r="C93" s="4">
        <f>Pressure!AB93*1000000</f>
        <v>4929569.4625830892</v>
      </c>
      <c r="D93" s="78">
        <f>Pressure!I93</f>
        <v>8.1256230789298584E-5</v>
      </c>
      <c r="E93" s="40">
        <f>Pressure!H93</f>
        <v>81.256230789298584</v>
      </c>
      <c r="F93" s="10">
        <f t="shared" ref="F93:F156" si="10">aexit/E93</f>
        <v>4.5</v>
      </c>
      <c r="G93" s="4">
        <f t="shared" si="9"/>
        <v>208904.79353140664</v>
      </c>
      <c r="H93" s="42">
        <f t="shared" ref="H93:H156" si="11">1/(((k+1)/2)^(1/(k-1))*(patm*1000000/C93)^(1/k)*SQRT((k+1)/(k-1)*(1-(patm*1000000/C93)^((k-1)/k))))</f>
        <v>7.8610679890411994</v>
      </c>
      <c r="I93" s="10">
        <f t="shared" ref="I93:I156" si="12">etanoz*SQRT(2*k^2/(k-1)*(2/(k+1))^((k+1)/(k-1))*(1-(G93/C93)^((k-1)/k)))+(G93-patm*1000000)/C93*(aexit/E93)</f>
        <v>1.1933530291407508</v>
      </c>
      <c r="J93" s="4">
        <f t="shared" ref="J93:J156" si="13">I93*D93*C93</f>
        <v>478.00738182378115</v>
      </c>
      <c r="K93" s="4">
        <f t="shared" ref="K93:K156" si="14">J93/4.4482</f>
        <v>107.46085648661956</v>
      </c>
      <c r="L93" s="42">
        <f>Pressure!Q93</f>
        <v>3.4105131501720828E-2</v>
      </c>
      <c r="M93" s="10">
        <f t="shared" si="8"/>
        <v>0.23108516170437784</v>
      </c>
      <c r="N93" s="10">
        <f t="shared" si="7"/>
        <v>2.5992897854448858</v>
      </c>
    </row>
    <row r="94" spans="3:14">
      <c r="C94" s="4">
        <f>Pressure!AB94*1000000</f>
        <v>4930593.6310817488</v>
      </c>
      <c r="D94" s="78">
        <f>Pressure!I94</f>
        <v>8.1256230789298584E-5</v>
      </c>
      <c r="E94" s="40">
        <f>Pressure!H94</f>
        <v>81.256230789298584</v>
      </c>
      <c r="F94" s="10">
        <f t="shared" si="10"/>
        <v>4.5</v>
      </c>
      <c r="G94" s="4">
        <f t="shared" si="9"/>
        <v>208948.19563992298</v>
      </c>
      <c r="H94" s="42">
        <f t="shared" si="11"/>
        <v>7.8623437210278393</v>
      </c>
      <c r="I94" s="10">
        <f t="shared" si="12"/>
        <v>1.1933721803896324</v>
      </c>
      <c r="J94" s="4">
        <f t="shared" si="13"/>
        <v>478.11436553285955</v>
      </c>
      <c r="K94" s="4">
        <f t="shared" si="14"/>
        <v>107.48490749805754</v>
      </c>
      <c r="L94" s="42">
        <f>Pressure!Q94</f>
        <v>3.458858821893384E-2</v>
      </c>
      <c r="M94" s="10">
        <f t="shared" si="8"/>
        <v>0.23112174061650489</v>
      </c>
      <c r="N94" s="10">
        <f t="shared" ref="N94:N157" si="15">N93-1/834*(me-mef)</f>
        <v>2.5992897854448858</v>
      </c>
    </row>
    <row r="95" spans="3:14">
      <c r="C95" s="4">
        <f>Pressure!AB95*1000000</f>
        <v>4931602.6359725306</v>
      </c>
      <c r="D95" s="78">
        <f>Pressure!I95</f>
        <v>8.1256230789298584E-5</v>
      </c>
      <c r="E95" s="40">
        <f>Pressure!H95</f>
        <v>81.256230789298584</v>
      </c>
      <c r="F95" s="10">
        <f t="shared" si="10"/>
        <v>4.5</v>
      </c>
      <c r="G95" s="4">
        <f t="shared" si="9"/>
        <v>208990.95514660625</v>
      </c>
      <c r="H95" s="42">
        <f t="shared" si="11"/>
        <v>7.8636005188837368</v>
      </c>
      <c r="I95" s="10">
        <f t="shared" si="12"/>
        <v>1.1933910403107717</v>
      </c>
      <c r="J95" s="4">
        <f t="shared" si="13"/>
        <v>478.21976526526231</v>
      </c>
      <c r="K95" s="4">
        <f t="shared" si="14"/>
        <v>107.5086024156428</v>
      </c>
      <c r="L95" s="42">
        <f>Pressure!Q95</f>
        <v>3.5072012899193844E-2</v>
      </c>
      <c r="M95" s="10">
        <f t="shared" si="8"/>
        <v>0.23115776070140556</v>
      </c>
      <c r="N95" s="10">
        <f t="shared" si="15"/>
        <v>2.5992897854448858</v>
      </c>
    </row>
    <row r="96" spans="3:14">
      <c r="C96" s="4">
        <f>Pressure!AB96*1000000</f>
        <v>4932597.9505037675</v>
      </c>
      <c r="D96" s="78">
        <f>Pressure!I96</f>
        <v>8.1256230789298584E-5</v>
      </c>
      <c r="E96" s="40">
        <f>Pressure!H96</f>
        <v>81.256230789298584</v>
      </c>
      <c r="F96" s="10">
        <f t="shared" si="10"/>
        <v>4.5</v>
      </c>
      <c r="G96" s="4">
        <f t="shared" si="9"/>
        <v>209033.13448462452</v>
      </c>
      <c r="H96" s="42">
        <f t="shared" si="11"/>
        <v>7.8648402196274656</v>
      </c>
      <c r="I96" s="10">
        <f t="shared" si="12"/>
        <v>1.1934096367775258</v>
      </c>
      <c r="J96" s="4">
        <f t="shared" si="13"/>
        <v>478.32373491516915</v>
      </c>
      <c r="K96" s="4">
        <f t="shared" si="14"/>
        <v>107.53197583633136</v>
      </c>
      <c r="L96" s="42">
        <f>Pressure!Q96</f>
        <v>3.5555406025415057E-2</v>
      </c>
      <c r="M96" s="10">
        <f t="shared" si="8"/>
        <v>0.23119327645939994</v>
      </c>
      <c r="N96" s="10">
        <f t="shared" si="15"/>
        <v>2.5992897854448858</v>
      </c>
    </row>
    <row r="97" spans="3:14">
      <c r="C97" s="4">
        <f>Pressure!AB97*1000000</f>
        <v>4933580.8750786884</v>
      </c>
      <c r="D97" s="78">
        <f>Pressure!I97</f>
        <v>8.1256230789298584E-5</v>
      </c>
      <c r="E97" s="40">
        <f>Pressure!H97</f>
        <v>81.256230789298584</v>
      </c>
      <c r="F97" s="10">
        <f t="shared" si="10"/>
        <v>4.5</v>
      </c>
      <c r="G97" s="4">
        <f t="shared" si="9"/>
        <v>209074.78876233363</v>
      </c>
      <c r="H97" s="42">
        <f t="shared" si="11"/>
        <v>7.8660644447135661</v>
      </c>
      <c r="I97" s="10">
        <f t="shared" si="12"/>
        <v>1.1934279943863288</v>
      </c>
      <c r="J97" s="4">
        <f t="shared" si="13"/>
        <v>478.42641032151778</v>
      </c>
      <c r="K97" s="4">
        <f t="shared" si="14"/>
        <v>107.55505829807963</v>
      </c>
      <c r="L97" s="42">
        <f>Pressure!Q97</f>
        <v>3.6038768034070114E-2</v>
      </c>
      <c r="M97" s="10">
        <f t="shared" si="8"/>
        <v>0.23122833599131121</v>
      </c>
      <c r="N97" s="10">
        <f t="shared" si="15"/>
        <v>2.5992897854448858</v>
      </c>
    </row>
    <row r="98" spans="3:14">
      <c r="C98" s="4">
        <f>Pressure!AB98*1000000</f>
        <v>4934552.5577483606</v>
      </c>
      <c r="D98" s="78">
        <f>Pressure!I98</f>
        <v>8.1256230789298584E-5</v>
      </c>
      <c r="E98" s="40">
        <f>Pressure!H98</f>
        <v>81.256230789298584</v>
      </c>
      <c r="F98" s="10">
        <f t="shared" si="10"/>
        <v>4.5</v>
      </c>
      <c r="G98" s="4">
        <f t="shared" si="9"/>
        <v>209115.96663172499</v>
      </c>
      <c r="H98" s="42">
        <f t="shared" si="11"/>
        <v>7.8672746256013228</v>
      </c>
      <c r="I98" s="10">
        <f t="shared" si="12"/>
        <v>1.1934461348470853</v>
      </c>
      <c r="J98" s="4">
        <f t="shared" si="13"/>
        <v>478.52791140867748</v>
      </c>
      <c r="K98" s="4">
        <f t="shared" si="14"/>
        <v>107.57787676108931</v>
      </c>
      <c r="L98" s="42">
        <f>Pressure!Q98</f>
        <v>3.6522099320646192E-2</v>
      </c>
      <c r="M98" s="10">
        <f t="shared" si="8"/>
        <v>0.23126298175819709</v>
      </c>
      <c r="N98" s="10">
        <f t="shared" si="15"/>
        <v>2.5992897854448858</v>
      </c>
    </row>
    <row r="99" spans="3:14">
      <c r="C99" s="4">
        <f>Pressure!AB99*1000000</f>
        <v>4935514.0122491559</v>
      </c>
      <c r="D99" s="78">
        <f>Pressure!I99</f>
        <v>8.1256230789298584E-5</v>
      </c>
      <c r="E99" s="40">
        <f>Pressure!H99</f>
        <v>81.256230789298584</v>
      </c>
      <c r="F99" s="10">
        <f t="shared" si="10"/>
        <v>4.5</v>
      </c>
      <c r="G99" s="4">
        <f t="shared" si="9"/>
        <v>209156.71105281552</v>
      </c>
      <c r="H99" s="42">
        <f t="shared" si="11"/>
        <v>7.8684720262580994</v>
      </c>
      <c r="I99" s="10">
        <f t="shared" si="12"/>
        <v>1.1934640773264793</v>
      </c>
      <c r="J99" s="4">
        <f t="shared" si="13"/>
        <v>478.62834407062695</v>
      </c>
      <c r="K99" s="4">
        <f t="shared" si="14"/>
        <v>107.60045503138954</v>
      </c>
      <c r="L99" s="42">
        <f>Pressure!Q99</f>
        <v>3.7005400244452195E-2</v>
      </c>
      <c r="M99" s="10">
        <f t="shared" si="8"/>
        <v>0.2312972512499212</v>
      </c>
      <c r="N99" s="10">
        <f t="shared" si="15"/>
        <v>2.5992897854448858</v>
      </c>
    </row>
    <row r="100" spans="3:14">
      <c r="C100" s="4">
        <f>Pressure!AB100*1000000</f>
        <v>4936466.1338809775</v>
      </c>
      <c r="D100" s="78">
        <f>Pressure!I100</f>
        <v>8.1256230789298584E-5</v>
      </c>
      <c r="E100" s="40">
        <f>Pressure!H100</f>
        <v>81.256230789298584</v>
      </c>
      <c r="F100" s="10">
        <f t="shared" si="10"/>
        <v>4.5</v>
      </c>
      <c r="G100" s="4">
        <f t="shared" si="9"/>
        <v>209197.0599665335</v>
      </c>
      <c r="H100" s="42">
        <f t="shared" si="11"/>
        <v>7.8696577629673623</v>
      </c>
      <c r="I100" s="10">
        <f t="shared" si="12"/>
        <v>1.1934818387499397</v>
      </c>
      <c r="J100" s="4">
        <f t="shared" si="13"/>
        <v>478.72780182957905</v>
      </c>
      <c r="K100" s="4">
        <f t="shared" si="14"/>
        <v>107.6228141337123</v>
      </c>
      <c r="L100" s="42">
        <f>Pressure!Q100</f>
        <v>3.7488671132855089E-2</v>
      </c>
      <c r="M100" s="10">
        <f t="shared" si="8"/>
        <v>0.23133117757358151</v>
      </c>
      <c r="N100" s="10">
        <f t="shared" si="15"/>
        <v>2.5992897854448858</v>
      </c>
    </row>
    <row r="101" spans="3:14">
      <c r="C101" s="4">
        <f>Pressure!AB101*1000000</f>
        <v>4937409.7134879585</v>
      </c>
      <c r="D101" s="78">
        <f>Pressure!I101</f>
        <v>8.1256230789298584E-5</v>
      </c>
      <c r="E101" s="40">
        <f>Pressure!H101</f>
        <v>81.256230789298584</v>
      </c>
      <c r="F101" s="10">
        <f t="shared" si="10"/>
        <v>4.5</v>
      </c>
      <c r="G101" s="4">
        <f t="shared" si="9"/>
        <v>209237.04688719119</v>
      </c>
      <c r="H101" s="42">
        <f t="shared" si="11"/>
        <v>7.8708328217683672</v>
      </c>
      <c r="I101" s="10">
        <f t="shared" si="12"/>
        <v>1.1934994340673097</v>
      </c>
      <c r="J101" s="4">
        <f t="shared" si="13"/>
        <v>478.82636729639205</v>
      </c>
      <c r="K101" s="4">
        <f t="shared" si="14"/>
        <v>107.64497263980758</v>
      </c>
      <c r="L101" s="42">
        <f>Pressure!Q101</f>
        <v>3.797191228501396E-2</v>
      </c>
      <c r="M101" s="10">
        <f t="shared" si="8"/>
        <v>0.23136478997148244</v>
      </c>
      <c r="N101" s="10">
        <f t="shared" si="15"/>
        <v>2.5992897854448858</v>
      </c>
    </row>
    <row r="102" spans="3:14">
      <c r="C102" s="4">
        <f>Pressure!AB102*1000000</f>
        <v>4938345.449771909</v>
      </c>
      <c r="D102" s="78">
        <f>Pressure!I102</f>
        <v>8.1256230789298584E-5</v>
      </c>
      <c r="E102" s="40">
        <f>Pressure!H102</f>
        <v>81.256230789298584</v>
      </c>
      <c r="F102" s="10">
        <f t="shared" si="10"/>
        <v>4.5</v>
      </c>
      <c r="G102" s="4">
        <f t="shared" si="9"/>
        <v>209276.70142430282</v>
      </c>
      <c r="H102" s="42">
        <f t="shared" si="11"/>
        <v>7.8719980738150523</v>
      </c>
      <c r="I102" s="10">
        <f t="shared" si="12"/>
        <v>1.1935168764866659</v>
      </c>
      <c r="J102" s="4">
        <f t="shared" si="13"/>
        <v>478.92411345682098</v>
      </c>
      <c r="K102" s="4">
        <f t="shared" si="14"/>
        <v>107.66694695760555</v>
      </c>
      <c r="L102" s="42">
        <f>Pressure!Q102</f>
        <v>3.8455123975172104E-2</v>
      </c>
      <c r="M102" s="10">
        <f t="shared" si="8"/>
        <v>0.23139811427726711</v>
      </c>
      <c r="N102" s="10">
        <f t="shared" si="15"/>
        <v>2.5992897854448858</v>
      </c>
    </row>
    <row r="103" spans="3:14">
      <c r="C103" s="4">
        <f>Pressure!AB103*1000000</f>
        <v>4939273.9601390762</v>
      </c>
      <c r="D103" s="78">
        <f>Pressure!I103</f>
        <v>8.1256230789298584E-5</v>
      </c>
      <c r="E103" s="40">
        <f>Pressure!H103</f>
        <v>81.256230789298584</v>
      </c>
      <c r="F103" s="10">
        <f t="shared" si="10"/>
        <v>4.5</v>
      </c>
      <c r="G103" s="4">
        <f t="shared" si="9"/>
        <v>209316.04974224768</v>
      </c>
      <c r="H103" s="42">
        <f t="shared" si="11"/>
        <v>7.8731542889047201</v>
      </c>
      <c r="I103" s="10">
        <f t="shared" si="12"/>
        <v>1.1935341776801422</v>
      </c>
      <c r="J103" s="4">
        <f t="shared" si="13"/>
        <v>479.02110480456042</v>
      </c>
      <c r="K103" s="4">
        <f t="shared" si="14"/>
        <v>107.68875158593598</v>
      </c>
      <c r="L103" s="42">
        <f>Pressure!Q103</f>
        <v>3.8938306455559984E-2</v>
      </c>
      <c r="M103" s="10">
        <f t="shared" si="8"/>
        <v>0.23143117331762209</v>
      </c>
      <c r="N103" s="10">
        <f t="shared" si="15"/>
        <v>2.5992897854448858</v>
      </c>
    </row>
    <row r="104" spans="3:14">
      <c r="C104" s="4">
        <f>Pressure!AB104*1000000</f>
        <v>4940195.7902541421</v>
      </c>
      <c r="D104" s="78">
        <f>Pressure!I104</f>
        <v>8.1256230789298584E-5</v>
      </c>
      <c r="E104" s="40">
        <f>Pressure!H104</f>
        <v>81.256230789298584</v>
      </c>
      <c r="F104" s="10">
        <f t="shared" si="10"/>
        <v>4.5</v>
      </c>
      <c r="G104" s="4">
        <f t="shared" si="9"/>
        <v>209355.11496514807</v>
      </c>
      <c r="H104" s="42">
        <f t="shared" si="11"/>
        <v>7.8743021473935473</v>
      </c>
      <c r="I104" s="10">
        <f t="shared" si="12"/>
        <v>1.1935513479651063</v>
      </c>
      <c r="J104" s="4">
        <f t="shared" si="13"/>
        <v>479.11739833924628</v>
      </c>
      <c r="K104" s="4">
        <f t="shared" si="14"/>
        <v>107.71039933888905</v>
      </c>
      <c r="L104" s="42">
        <f>Pressure!Q104</f>
        <v>3.9421459958955615E-2</v>
      </c>
      <c r="M104" s="10">
        <f t="shared" ref="M104:M167" si="16">(J104+J103)/2*(L104-L103)</f>
        <v>0.23146398726608791</v>
      </c>
      <c r="N104" s="10">
        <f t="shared" si="15"/>
        <v>2.5992897854448858</v>
      </c>
    </row>
    <row r="105" spans="3:14">
      <c r="C105" s="4">
        <f>Pressure!AB105*1000000</f>
        <v>4941111.4224623786</v>
      </c>
      <c r="D105" s="78">
        <f>Pressure!I105</f>
        <v>8.1256230789298584E-5</v>
      </c>
      <c r="E105" s="40">
        <f>Pressure!H105</f>
        <v>81.256230789298584</v>
      </c>
      <c r="F105" s="10">
        <f t="shared" si="10"/>
        <v>4.5</v>
      </c>
      <c r="G105" s="4">
        <f t="shared" si="9"/>
        <v>209393.91753378298</v>
      </c>
      <c r="H105" s="42">
        <f t="shared" si="11"/>
        <v>7.8754422506999928</v>
      </c>
      <c r="I105" s="10">
        <f t="shared" si="12"/>
        <v>1.1935683964637716</v>
      </c>
      <c r="J105" s="4">
        <f t="shared" si="13"/>
        <v>479.21304444622672</v>
      </c>
      <c r="K105" s="4">
        <f t="shared" si="14"/>
        <v>107.73190154359668</v>
      </c>
      <c r="L105" s="42">
        <f>Pressure!Q105</f>
        <v>3.9904584700943289E-2</v>
      </c>
      <c r="M105" s="10">
        <f t="shared" si="16"/>
        <v>0.23149657395483259</v>
      </c>
      <c r="N105" s="10">
        <f t="shared" si="15"/>
        <v>2.5992897854448858</v>
      </c>
    </row>
    <row r="106" spans="3:14">
      <c r="C106" s="4">
        <f>Pressure!AB106*1000000</f>
        <v>4942021.2832101127</v>
      </c>
      <c r="D106" s="78">
        <f>Pressure!I106</f>
        <v>8.1256230789298584E-5</v>
      </c>
      <c r="E106" s="40">
        <f>Pressure!H106</f>
        <v>81.256230789298584</v>
      </c>
      <c r="F106" s="10">
        <f t="shared" si="10"/>
        <v>4.5</v>
      </c>
      <c r="G106" s="4">
        <f t="shared" si="9"/>
        <v>209432.47552005143</v>
      </c>
      <c r="H106" s="42">
        <f t="shared" si="11"/>
        <v>7.876575130558412</v>
      </c>
      <c r="I106" s="10">
        <f t="shared" si="12"/>
        <v>1.1935853312437423</v>
      </c>
      <c r="J106" s="4">
        <f t="shared" si="13"/>
        <v>479.3080876716968</v>
      </c>
      <c r="K106" s="4">
        <f t="shared" si="14"/>
        <v>107.75326821449053</v>
      </c>
      <c r="L106" s="42">
        <f>Pressure!Q106</f>
        <v>4.0387680881906515E-2</v>
      </c>
      <c r="M106" s="10">
        <f t="shared" si="16"/>
        <v>0.23152894914935826</v>
      </c>
      <c r="N106" s="10">
        <f t="shared" si="15"/>
        <v>2.5992897854448858</v>
      </c>
    </row>
    <row r="107" spans="3:14">
      <c r="C107" s="4">
        <f>Pressure!AB107*1000000</f>
        <v>4942925.7495886832</v>
      </c>
      <c r="D107" s="78">
        <f>Pressure!I107</f>
        <v>8.1256230789298584E-5</v>
      </c>
      <c r="E107" s="40">
        <f>Pressure!H107</f>
        <v>81.256230789298584</v>
      </c>
      <c r="F107" s="10">
        <f t="shared" si="10"/>
        <v>4.5</v>
      </c>
      <c r="G107" s="4">
        <f t="shared" si="9"/>
        <v>209470.8049042919</v>
      </c>
      <c r="H107" s="42">
        <f t="shared" si="11"/>
        <v>7.8777012571792797</v>
      </c>
      <c r="I107" s="10">
        <f t="shared" si="12"/>
        <v>1.1936021594418884</v>
      </c>
      <c r="J107" s="4">
        <f t="shared" si="13"/>
        <v>479.40256740627433</v>
      </c>
      <c r="K107" s="4">
        <f t="shared" si="14"/>
        <v>107.77450820697683</v>
      </c>
      <c r="L107" s="42">
        <f>Pressure!Q107</f>
        <v>4.087074868878688E-2</v>
      </c>
      <c r="M107" s="10">
        <f t="shared" si="16"/>
        <v>0.2315611267906767</v>
      </c>
      <c r="N107" s="10">
        <f t="shared" si="15"/>
        <v>2.5992897854448858</v>
      </c>
    </row>
    <row r="108" spans="3:14">
      <c r="C108" s="4">
        <f>Pressure!AB108*1000000</f>
        <v>4943825.1551006315</v>
      </c>
      <c r="D108" s="78">
        <f>Pressure!I108</f>
        <v>8.1256230789298584E-5</v>
      </c>
      <c r="E108" s="40">
        <f>Pressure!H108</f>
        <v>81.256230789298584</v>
      </c>
      <c r="F108" s="10">
        <f t="shared" si="10"/>
        <v>4.5</v>
      </c>
      <c r="G108" s="4">
        <f t="shared" si="9"/>
        <v>209508.91981964113</v>
      </c>
      <c r="H108" s="42">
        <f t="shared" si="11"/>
        <v>7.8788210464391506</v>
      </c>
      <c r="I108" s="10">
        <f t="shared" si="12"/>
        <v>1.1936188873734368</v>
      </c>
      <c r="J108" s="4">
        <f t="shared" si="13"/>
        <v>479.49651848733157</v>
      </c>
      <c r="K108" s="4">
        <f t="shared" si="14"/>
        <v>107.79562935284645</v>
      </c>
      <c r="L108" s="42">
        <f>Pressure!Q108</f>
        <v>4.1353788296636537E-2</v>
      </c>
      <c r="M108" s="10">
        <f t="shared" si="16"/>
        <v>0.23159311920872103</v>
      </c>
      <c r="N108" s="10">
        <f t="shared" si="15"/>
        <v>2.5992897854448858</v>
      </c>
    </row>
    <row r="109" spans="3:14">
      <c r="C109" s="4">
        <f>Pressure!AB109*1000000</f>
        <v>4944719.7947500329</v>
      </c>
      <c r="D109" s="78">
        <f>Pressure!I109</f>
        <v>8.1256230789298584E-5</v>
      </c>
      <c r="E109" s="40">
        <f>Pressure!H109</f>
        <v>81.256230789298584</v>
      </c>
      <c r="F109" s="10">
        <f t="shared" si="10"/>
        <v>4.5</v>
      </c>
      <c r="G109" s="4">
        <f t="shared" si="9"/>
        <v>209546.83276775188</v>
      </c>
      <c r="H109" s="42">
        <f t="shared" si="11"/>
        <v>7.8799348662276349</v>
      </c>
      <c r="I109" s="10">
        <f t="shared" si="12"/>
        <v>1.1936355206282245</v>
      </c>
      <c r="J109" s="4">
        <f t="shared" si="13"/>
        <v>479.58997173072538</v>
      </c>
      <c r="K109" s="4">
        <f t="shared" si="14"/>
        <v>107.81663857981327</v>
      </c>
      <c r="L109" s="42">
        <f>Pressure!Q109</f>
        <v>4.1836799869988922E-2</v>
      </c>
      <c r="M109" s="10">
        <f t="shared" si="16"/>
        <v>0.23162493731062017</v>
      </c>
      <c r="N109" s="10">
        <f t="shared" si="15"/>
        <v>2.5992897854448858</v>
      </c>
    </row>
    <row r="110" spans="3:14">
      <c r="C110" s="4">
        <f>Pressure!AB110*1000000</f>
        <v>4945609.9295268496</v>
      </c>
      <c r="D110" s="78">
        <f>Pressure!I110</f>
        <v>8.1256230789298584E-5</v>
      </c>
      <c r="E110" s="40">
        <f>Pressure!H110</f>
        <v>81.256230789298584</v>
      </c>
      <c r="F110" s="10">
        <f t="shared" si="10"/>
        <v>4.5</v>
      </c>
      <c r="G110" s="4">
        <f t="shared" si="9"/>
        <v>209584.5548088302</v>
      </c>
      <c r="H110" s="42">
        <f t="shared" si="11"/>
        <v>7.8810430420384945</v>
      </c>
      <c r="I110" s="10">
        <f t="shared" si="12"/>
        <v>1.1936520641554524</v>
      </c>
      <c r="J110" s="4">
        <f t="shared" si="13"/>
        <v>479.68295439922974</v>
      </c>
      <c r="K110" s="4">
        <f t="shared" si="14"/>
        <v>107.83754201682248</v>
      </c>
      <c r="L110" s="42">
        <f>Pressure!Q110</f>
        <v>4.2319783564069083E-2</v>
      </c>
      <c r="M110" s="10">
        <f t="shared" si="16"/>
        <v>0.23165659074666542</v>
      </c>
      <c r="N110" s="10">
        <f t="shared" si="15"/>
        <v>2.5992897854448858</v>
      </c>
    </row>
    <row r="111" spans="3:14">
      <c r="C111" s="4">
        <f>Pressure!AB111*1000000</f>
        <v>4946495.7903674664</v>
      </c>
      <c r="D111" s="78">
        <f>Pressure!I111</f>
        <v>8.1256230789298584E-5</v>
      </c>
      <c r="E111" s="40">
        <f>Pressure!H111</f>
        <v>81.256230789298584</v>
      </c>
      <c r="F111" s="10">
        <f t="shared" si="10"/>
        <v>4.5</v>
      </c>
      <c r="G111" s="4">
        <f t="shared" si="9"/>
        <v>209622.09572947473</v>
      </c>
      <c r="H111" s="42">
        <f t="shared" si="11"/>
        <v>7.8821458619074667</v>
      </c>
      <c r="I111" s="10">
        <f t="shared" si="12"/>
        <v>1.1936685223385004</v>
      </c>
      <c r="J111" s="4">
        <f t="shared" si="13"/>
        <v>479.77549061624933</v>
      </c>
      <c r="K111" s="4">
        <f t="shared" si="14"/>
        <v>107.85834508705754</v>
      </c>
      <c r="L111" s="42">
        <f>Pressure!Q111</f>
        <v>4.2802739525862714E-2</v>
      </c>
      <c r="M111" s="10">
        <f t="shared" si="16"/>
        <v>0.23168808805673619</v>
      </c>
      <c r="N111" s="10">
        <f t="shared" si="15"/>
        <v>2.5992897854448858</v>
      </c>
    </row>
    <row r="112" spans="3:14">
      <c r="C112" s="4">
        <f>Pressure!AB112*1000000</f>
        <v>4947377.5816467348</v>
      </c>
      <c r="D112" s="78">
        <f>Pressure!I112</f>
        <v>8.1256230789298584E-5</v>
      </c>
      <c r="E112" s="40">
        <f>Pressure!H112</f>
        <v>81.256230789298584</v>
      </c>
      <c r="F112" s="10">
        <f t="shared" si="10"/>
        <v>4.5</v>
      </c>
      <c r="G112" s="4">
        <f t="shared" si="9"/>
        <v>209659.4641906622</v>
      </c>
      <c r="H112" s="42">
        <f t="shared" si="11"/>
        <v>7.8832435807657726</v>
      </c>
      <c r="I112" s="10">
        <f t="shared" si="12"/>
        <v>1.1936848990608615</v>
      </c>
      <c r="J112" s="4">
        <f t="shared" si="13"/>
        <v>479.86760173059469</v>
      </c>
      <c r="K112" s="4">
        <f t="shared" si="14"/>
        <v>107.8790525899453</v>
      </c>
      <c r="L112" s="42">
        <f>Pressure!Q112</f>
        <v>4.3285667895060491E-2</v>
      </c>
      <c r="M112" s="10">
        <f t="shared" si="16"/>
        <v>0.23171943679948656</v>
      </c>
      <c r="N112" s="10">
        <f t="shared" si="15"/>
        <v>2.5992897854448858</v>
      </c>
    </row>
    <row r="113" spans="3:14">
      <c r="C113" s="4">
        <f>Pressure!AB113*1000000</f>
        <v>4948255.4842612939</v>
      </c>
      <c r="D113" s="78">
        <f>Pressure!I113</f>
        <v>8.1256230789298584E-5</v>
      </c>
      <c r="E113" s="40">
        <f>Pressure!H113</f>
        <v>81.256230789298584</v>
      </c>
      <c r="F113" s="10">
        <f t="shared" si="10"/>
        <v>4.5</v>
      </c>
      <c r="G113" s="4">
        <f t="shared" si="9"/>
        <v>209696.66785841194</v>
      </c>
      <c r="H113" s="42">
        <f t="shared" si="11"/>
        <v>7.8843364242839673</v>
      </c>
      <c r="I113" s="10">
        <f t="shared" si="12"/>
        <v>1.1937011977643328</v>
      </c>
      <c r="J113" s="4">
        <f t="shared" si="13"/>
        <v>479.9593066385645</v>
      </c>
      <c r="K113" s="4">
        <f t="shared" si="14"/>
        <v>107.89966877356335</v>
      </c>
      <c r="L113" s="42">
        <f>Pressure!Q113</f>
        <v>4.3768568804892459E-2</v>
      </c>
      <c r="M113" s="10">
        <f t="shared" si="16"/>
        <v>0.23175064366633602</v>
      </c>
      <c r="N113" s="10">
        <f t="shared" si="15"/>
        <v>2.5992897854448858</v>
      </c>
    </row>
    <row r="114" spans="3:14">
      <c r="C114" s="4">
        <f>Pressure!AB114*1000000</f>
        <v>4949129.6583502181</v>
      </c>
      <c r="D114" s="78">
        <f>Pressure!I114</f>
        <v>8.1256230789298584E-5</v>
      </c>
      <c r="E114" s="40">
        <f>Pressure!H114</f>
        <v>81.256230789298584</v>
      </c>
      <c r="F114" s="10">
        <f t="shared" si="10"/>
        <v>4.5</v>
      </c>
      <c r="G114" s="4">
        <f t="shared" si="9"/>
        <v>209733.71351908136</v>
      </c>
      <c r="H114" s="42">
        <f t="shared" si="11"/>
        <v>7.8854245922634503</v>
      </c>
      <c r="I114" s="10">
        <f t="shared" si="12"/>
        <v>1.1937174215003363</v>
      </c>
      <c r="J114" s="4">
        <f t="shared" si="13"/>
        <v>480.05062206814051</v>
      </c>
      <c r="K114" s="4">
        <f t="shared" si="14"/>
        <v>107.92019739852987</v>
      </c>
      <c r="L114" s="42">
        <f>Pressure!Q114</f>
        <v>4.4251442382865394E-2</v>
      </c>
      <c r="M114" s="10">
        <f t="shared" si="16"/>
        <v>0.23178171458207453</v>
      </c>
      <c r="N114" s="10">
        <f t="shared" si="15"/>
        <v>2.5992897854448858</v>
      </c>
    </row>
    <row r="115" spans="3:14">
      <c r="C115" s="4">
        <f>Pressure!AB115*1000000</f>
        <v>4950000.245698248</v>
      </c>
      <c r="D115" s="78">
        <f>Pressure!I115</f>
        <v>8.1256230789298584E-5</v>
      </c>
      <c r="E115" s="40">
        <f>Pressure!H115</f>
        <v>81.256230789298584</v>
      </c>
      <c r="F115" s="10">
        <f t="shared" si="10"/>
        <v>4.5</v>
      </c>
      <c r="G115" s="4">
        <f t="shared" si="9"/>
        <v>209770.60718120981</v>
      </c>
      <c r="H115" s="42">
        <f t="shared" si="11"/>
        <v>7.8865082616322315</v>
      </c>
      <c r="I115" s="10">
        <f t="shared" si="12"/>
        <v>1.1937335729752341</v>
      </c>
      <c r="J115" s="4">
        <f t="shared" si="13"/>
        <v>480.14156283002768</v>
      </c>
      <c r="K115" s="4">
        <f t="shared" si="14"/>
        <v>107.94064179443993</v>
      </c>
      <c r="L115" s="42">
        <f>Pressure!Q115</f>
        <v>4.4734288751414546E-2</v>
      </c>
      <c r="M115" s="10">
        <f t="shared" si="16"/>
        <v>0.23181265479367802</v>
      </c>
      <c r="N115" s="10">
        <f t="shared" si="15"/>
        <v>2.5992897854448858</v>
      </c>
    </row>
    <row r="116" spans="3:14">
      <c r="C116" s="4">
        <f>Pressure!AB116*1000000</f>
        <v>4950867.3718562946</v>
      </c>
      <c r="D116" s="78">
        <f>Pressure!I116</f>
        <v>8.1256230789298584E-5</v>
      </c>
      <c r="E116" s="40">
        <f>Pressure!H116</f>
        <v>81.256230789298584</v>
      </c>
      <c r="F116" s="10">
        <f t="shared" si="10"/>
        <v>4.5</v>
      </c>
      <c r="G116" s="4">
        <f t="shared" si="9"/>
        <v>209807.354165381</v>
      </c>
      <c r="H116" s="42">
        <f t="shared" si="11"/>
        <v>7.8875875890881533</v>
      </c>
      <c r="I116" s="10">
        <f t="shared" si="12"/>
        <v>1.1937496545902939</v>
      </c>
      <c r="J116" s="4">
        <f t="shared" si="13"/>
        <v>480.23214203915984</v>
      </c>
      <c r="K116" s="4">
        <f t="shared" si="14"/>
        <v>107.96100490966231</v>
      </c>
      <c r="L116" s="42">
        <f>Pressure!Q116</f>
        <v>4.5217108028479815E-2</v>
      </c>
      <c r="M116" s="10">
        <f t="shared" si="16"/>
        <v>0.23184346894871755</v>
      </c>
      <c r="N116" s="10">
        <f t="shared" si="15"/>
        <v>2.5992897854448858</v>
      </c>
    </row>
    <row r="117" spans="3:14">
      <c r="C117" s="4">
        <f>Pressure!AB117*1000000</f>
        <v>4951731.1480164733</v>
      </c>
      <c r="D117" s="78">
        <f>Pressure!I117</f>
        <v>8.1256230789298584E-5</v>
      </c>
      <c r="E117" s="40">
        <f>Pressure!H117</f>
        <v>81.256230789298584</v>
      </c>
      <c r="F117" s="10">
        <f t="shared" si="10"/>
        <v>4.5</v>
      </c>
      <c r="G117" s="4">
        <f t="shared" si="9"/>
        <v>209843.95918368312</v>
      </c>
      <c r="H117" s="42">
        <f t="shared" si="11"/>
        <v>7.8886627134359948</v>
      </c>
      <c r="I117" s="10">
        <f t="shared" si="12"/>
        <v>1.1937656684770142</v>
      </c>
      <c r="J117" s="4">
        <f t="shared" si="13"/>
        <v>480.32237131056428</v>
      </c>
      <c r="K117" s="4">
        <f t="shared" si="14"/>
        <v>107.98128935537167</v>
      </c>
      <c r="L117" s="42">
        <f>Pressure!Q117</f>
        <v>4.5699900328015235E-2</v>
      </c>
      <c r="M117" s="10">
        <f t="shared" si="16"/>
        <v>0.23187416116461981</v>
      </c>
      <c r="N117" s="10">
        <f t="shared" si="15"/>
        <v>2.5992897854448858</v>
      </c>
    </row>
    <row r="118" spans="3:14">
      <c r="C118" s="4">
        <f>Pressure!AB118*1000000</f>
        <v>4952591.6726655588</v>
      </c>
      <c r="D118" s="78">
        <f>Pressure!I118</f>
        <v>8.1256230789298584E-5</v>
      </c>
      <c r="E118" s="40">
        <f>Pressure!H118</f>
        <v>81.256230789298584</v>
      </c>
      <c r="F118" s="10">
        <f t="shared" si="10"/>
        <v>4.5</v>
      </c>
      <c r="G118" s="4">
        <f t="shared" si="9"/>
        <v>209880.42640977871</v>
      </c>
      <c r="H118" s="42">
        <f t="shared" si="11"/>
        <v>7.8897337576483864</v>
      </c>
      <c r="I118" s="10">
        <f t="shared" si="12"/>
        <v>1.1937816165282602</v>
      </c>
      <c r="J118" s="4">
        <f t="shared" si="13"/>
        <v>480.41226093207973</v>
      </c>
      <c r="K118" s="4">
        <f t="shared" si="14"/>
        <v>108.00149744437745</v>
      </c>
      <c r="L118" s="42">
        <f>Pressure!Q118</f>
        <v>4.6182665760439529E-2</v>
      </c>
      <c r="M118" s="10">
        <f t="shared" si="16"/>
        <v>0.2319047350898075</v>
      </c>
      <c r="N118" s="10">
        <f t="shared" si="15"/>
        <v>2.5992897854448858</v>
      </c>
    </row>
    <row r="119" spans="3:14">
      <c r="C119" s="4">
        <f>Pressure!AB119*1000000</f>
        <v>4953449.0330484351</v>
      </c>
      <c r="D119" s="78">
        <f>Pressure!I119</f>
        <v>8.1256230789298584E-5</v>
      </c>
      <c r="E119" s="40">
        <f>Pressure!H119</f>
        <v>81.256230789298584</v>
      </c>
      <c r="F119" s="10">
        <f t="shared" si="10"/>
        <v>4.5</v>
      </c>
      <c r="G119" s="4">
        <f t="shared" si="9"/>
        <v>209916.75954092256</v>
      </c>
      <c r="H119" s="42">
        <f t="shared" si="11"/>
        <v>7.8908008306897752</v>
      </c>
      <c r="I119" s="10">
        <f t="shared" si="12"/>
        <v>1.1937975004258126</v>
      </c>
      <c r="J119" s="4">
        <f t="shared" si="13"/>
        <v>480.50182001722732</v>
      </c>
      <c r="K119" s="4">
        <f t="shared" si="14"/>
        <v>108.02163122549061</v>
      </c>
      <c r="L119" s="42">
        <f>Pressure!Q119</f>
        <v>4.6665404433034678E-2</v>
      </c>
      <c r="M119" s="10">
        <f t="shared" si="16"/>
        <v>0.23193519395772833</v>
      </c>
      <c r="N119" s="10">
        <f t="shared" si="15"/>
        <v>2.5992897854448858</v>
      </c>
    </row>
    <row r="120" spans="3:14">
      <c r="C120" s="4">
        <f>Pressure!AB120*1000000</f>
        <v>4954303.3064604225</v>
      </c>
      <c r="D120" s="78">
        <f>Pressure!I120</f>
        <v>8.1256230789298584E-5</v>
      </c>
      <c r="E120" s="40">
        <f>Pressure!H120</f>
        <v>81.256230789298584</v>
      </c>
      <c r="F120" s="10">
        <f t="shared" si="10"/>
        <v>4.5</v>
      </c>
      <c r="G120" s="4">
        <f t="shared" si="9"/>
        <v>209952.96185272792</v>
      </c>
      <c r="H120" s="42">
        <f t="shared" si="11"/>
        <v>7.891864029127075</v>
      </c>
      <c r="I120" s="10">
        <f t="shared" si="12"/>
        <v>1.1938133216646833</v>
      </c>
      <c r="J120" s="4">
        <f t="shared" si="13"/>
        <v>480.59105664020592</v>
      </c>
      <c r="K120" s="4">
        <f t="shared" si="14"/>
        <v>108.04169251387211</v>
      </c>
      <c r="L120" s="42">
        <f>Pressure!Q120</f>
        <v>4.7148116450298531E-2</v>
      </c>
      <c r="M120" s="10">
        <f t="shared" si="16"/>
        <v>0.23196554063461464</v>
      </c>
      <c r="N120" s="10">
        <f t="shared" si="15"/>
        <v>2.5992897854448858</v>
      </c>
    </row>
    <row r="121" spans="3:14">
      <c r="C121" s="4">
        <f>Pressure!AB121*1000000</f>
        <v>4955154.5613888856</v>
      </c>
      <c r="D121" s="78">
        <f>Pressure!I121</f>
        <v>8.1256230789298584E-5</v>
      </c>
      <c r="E121" s="40">
        <f>Pressure!H121</f>
        <v>81.256230789298584</v>
      </c>
      <c r="F121" s="10">
        <f t="shared" si="10"/>
        <v>4.5</v>
      </c>
      <c r="G121" s="4">
        <f t="shared" si="9"/>
        <v>209989.03624754536</v>
      </c>
      <c r="H121" s="42">
        <f t="shared" si="11"/>
        <v>7.8929234385524367</v>
      </c>
      <c r="I121" s="10">
        <f t="shared" si="12"/>
        <v>1.193829081574588</v>
      </c>
      <c r="J121" s="4">
        <f t="shared" si="13"/>
        <v>480.67997795514327</v>
      </c>
      <c r="K121" s="4">
        <f t="shared" si="14"/>
        <v>108.06168291784167</v>
      </c>
      <c r="L121" s="42">
        <f>Pressure!Q121</f>
        <v>4.763080191425683E-2</v>
      </c>
      <c r="M121" s="10">
        <f t="shared" si="16"/>
        <v>0.23199577766166507</v>
      </c>
      <c r="N121" s="10">
        <f t="shared" si="15"/>
        <v>2.5992897854448858</v>
      </c>
    </row>
    <row r="122" spans="3:14">
      <c r="C122" s="4">
        <f>Pressure!AB122*1000000</f>
        <v>4956002.858522852</v>
      </c>
      <c r="D122" s="78">
        <f>Pressure!I122</f>
        <v>8.1256230789298584E-5</v>
      </c>
      <c r="E122" s="40">
        <f>Pressure!H122</f>
        <v>81.256230789298584</v>
      </c>
      <c r="F122" s="10">
        <f t="shared" si="10"/>
        <v>4.5</v>
      </c>
      <c r="G122" s="4">
        <f t="shared" si="9"/>
        <v>210024.98529724829</v>
      </c>
      <c r="H122" s="42">
        <f t="shared" si="11"/>
        <v>7.893979134841433</v>
      </c>
      <c r="I122" s="10">
        <f t="shared" si="12"/>
        <v>1.1938447813389275</v>
      </c>
      <c r="J122" s="4">
        <f t="shared" si="13"/>
        <v>480.76859030155987</v>
      </c>
      <c r="K122" s="4">
        <f t="shared" si="14"/>
        <v>108.08160386258709</v>
      </c>
      <c r="L122" s="42">
        <f>Pressure!Q122</f>
        <v>4.8113460924739358E-2</v>
      </c>
      <c r="M122" s="10">
        <f t="shared" si="16"/>
        <v>0.23202590729231176</v>
      </c>
      <c r="N122" s="10">
        <f t="shared" si="15"/>
        <v>2.5992897854448858</v>
      </c>
    </row>
    <row r="123" spans="3:14">
      <c r="C123" s="4">
        <f>Pressure!AB123*1000000</f>
        <v>4956848.25164684</v>
      </c>
      <c r="D123" s="78">
        <f>Pressure!I123</f>
        <v>8.1256230789298584E-5</v>
      </c>
      <c r="E123" s="40">
        <f>Pressure!H123</f>
        <v>81.256230789298584</v>
      </c>
      <c r="F123" s="10">
        <f t="shared" si="10"/>
        <v>4.5</v>
      </c>
      <c r="G123" s="4">
        <f t="shared" si="9"/>
        <v>210060.81128111162</v>
      </c>
      <c r="H123" s="42">
        <f t="shared" si="11"/>
        <v>7.8950311852669666</v>
      </c>
      <c r="I123" s="10">
        <f t="shared" si="12"/>
        <v>1.1938604220115872</v>
      </c>
      <c r="J123" s="4">
        <f t="shared" si="13"/>
        <v>480.85689929773775</v>
      </c>
      <c r="K123" s="4">
        <f t="shared" si="14"/>
        <v>108.10145661115457</v>
      </c>
      <c r="L123" s="42">
        <f>Pressure!Q123</f>
        <v>4.8596093579624411E-2</v>
      </c>
      <c r="M123" s="10">
        <f t="shared" si="16"/>
        <v>0.2320559315252238</v>
      </c>
      <c r="N123" s="10">
        <f t="shared" si="15"/>
        <v>2.5992897854448858</v>
      </c>
    </row>
    <row r="124" spans="3:14">
      <c r="C124" s="4">
        <f>Pressure!AB124*1000000</f>
        <v>4957690.7884285226</v>
      </c>
      <c r="D124" s="78">
        <f>Pressure!I124</f>
        <v>8.1256230789298584E-5</v>
      </c>
      <c r="E124" s="40">
        <f>Pressure!H124</f>
        <v>81.256230789298584</v>
      </c>
      <c r="F124" s="10">
        <f t="shared" si="10"/>
        <v>4.5</v>
      </c>
      <c r="G124" s="4">
        <f t="shared" si="9"/>
        <v>210096.51621919111</v>
      </c>
      <c r="H124" s="42">
        <f t="shared" si="11"/>
        <v>7.8960796494807779</v>
      </c>
      <c r="I124" s="10">
        <f t="shared" si="12"/>
        <v>1.1938760045317336</v>
      </c>
      <c r="J124" s="4">
        <f t="shared" si="13"/>
        <v>480.94490992299853</v>
      </c>
      <c r="K124" s="4">
        <f t="shared" si="14"/>
        <v>108.12124228294559</v>
      </c>
      <c r="L124" s="42">
        <f>Pressure!Q124</f>
        <v>4.9078699975055227E-2</v>
      </c>
      <c r="M124" s="10">
        <f t="shared" si="16"/>
        <v>0.23208585213342872</v>
      </c>
      <c r="N124" s="10">
        <f t="shared" si="15"/>
        <v>2.5992897854448858</v>
      </c>
    </row>
    <row r="125" spans="3:14">
      <c r="C125" s="4">
        <f>Pressure!AB125*1000000</f>
        <v>4958530.51111848</v>
      </c>
      <c r="D125" s="78">
        <f>Pressure!I125</f>
        <v>8.1256230789298584E-5</v>
      </c>
      <c r="E125" s="40">
        <f>Pressure!H125</f>
        <v>81.256230789298584</v>
      </c>
      <c r="F125" s="10">
        <f t="shared" si="10"/>
        <v>4.5</v>
      </c>
      <c r="G125" s="4">
        <f t="shared" si="9"/>
        <v>210132.10190197753</v>
      </c>
      <c r="H125" s="42">
        <f t="shared" si="11"/>
        <v>7.8971245803854391</v>
      </c>
      <c r="I125" s="10">
        <f t="shared" si="12"/>
        <v>1.1938915297369559</v>
      </c>
      <c r="J125" s="4">
        <f t="shared" si="13"/>
        <v>481.03262659079923</v>
      </c>
      <c r="K125" s="4">
        <f t="shared" si="14"/>
        <v>108.14096187014955</v>
      </c>
      <c r="L125" s="42">
        <f>Pressure!Q125</f>
        <v>4.9561280205631678E-2</v>
      </c>
      <c r="M125" s="10">
        <f t="shared" si="16"/>
        <v>0.23211567069009698</v>
      </c>
      <c r="N125" s="10">
        <f t="shared" si="15"/>
        <v>2.5992897854448858</v>
      </c>
    </row>
    <row r="126" spans="3:14">
      <c r="C126" s="4">
        <f>Pressure!AB126*1000000</f>
        <v>4959367.4571672408</v>
      </c>
      <c r="D126" s="78">
        <f>Pressure!I126</f>
        <v>8.1256230789298584E-5</v>
      </c>
      <c r="E126" s="40">
        <f>Pressure!H126</f>
        <v>81.256230789298584</v>
      </c>
      <c r="F126" s="10">
        <f t="shared" si="10"/>
        <v>4.5</v>
      </c>
      <c r="G126" s="4">
        <f t="shared" si="9"/>
        <v>210167.56991654562</v>
      </c>
      <c r="H126" s="42">
        <f t="shared" si="11"/>
        <v>7.8981660249032064</v>
      </c>
      <c r="I126" s="10">
        <f t="shared" si="12"/>
        <v>1.1939069983748494</v>
      </c>
      <c r="J126" s="4">
        <f t="shared" si="13"/>
        <v>481.12005321318816</v>
      </c>
      <c r="K126" s="4">
        <f t="shared" si="14"/>
        <v>108.16061625223421</v>
      </c>
      <c r="L126" s="42">
        <f>Pressure!Q126</f>
        <v>5.0043834364580021E-2</v>
      </c>
      <c r="M126" s="10">
        <f t="shared" si="16"/>
        <v>0.23214538859135408</v>
      </c>
      <c r="N126" s="10">
        <f t="shared" si="15"/>
        <v>2.5992897854448858</v>
      </c>
    </row>
    <row r="127" spans="3:14">
      <c r="C127" s="4">
        <f>Pressure!AB127*1000000</f>
        <v>4960201.6597718438</v>
      </c>
      <c r="D127" s="78">
        <f>Pressure!I127</f>
        <v>8.1256230789298584E-5</v>
      </c>
      <c r="E127" s="40">
        <f>Pressure!H127</f>
        <v>81.256230789298584</v>
      </c>
      <c r="F127" s="10">
        <f t="shared" si="10"/>
        <v>4.5</v>
      </c>
      <c r="G127" s="4">
        <f t="shared" si="9"/>
        <v>210202.9216697161</v>
      </c>
      <c r="H127" s="42">
        <f t="shared" si="11"/>
        <v>7.8992040246570348</v>
      </c>
      <c r="I127" s="10">
        <f t="shared" si="12"/>
        <v>1.1939224111132709</v>
      </c>
      <c r="J127" s="4">
        <f t="shared" si="13"/>
        <v>481.20719325789759</v>
      </c>
      <c r="K127" s="4">
        <f t="shared" si="14"/>
        <v>108.18020620878053</v>
      </c>
      <c r="L127" s="42">
        <f>Pressure!Q127</f>
        <v>5.0526362543903303E-2</v>
      </c>
      <c r="M127" s="10">
        <f t="shared" si="16"/>
        <v>0.23217500707643982</v>
      </c>
      <c r="N127" s="10">
        <f t="shared" si="15"/>
        <v>2.5992897854448858</v>
      </c>
    </row>
    <row r="128" spans="3:14">
      <c r="C128" s="4">
        <f>Pressure!AB128*1000000</f>
        <v>4961033.1483599907</v>
      </c>
      <c r="D128" s="78">
        <f>Pressure!I128</f>
        <v>8.1256230789298584E-5</v>
      </c>
      <c r="E128" s="40">
        <f>Pressure!H128</f>
        <v>81.256230789298584</v>
      </c>
      <c r="F128" s="10">
        <f t="shared" si="10"/>
        <v>4.5</v>
      </c>
      <c r="G128" s="4">
        <f t="shared" si="9"/>
        <v>210238.1584085731</v>
      </c>
      <c r="H128" s="42">
        <f t="shared" si="11"/>
        <v>7.9002386165738283</v>
      </c>
      <c r="I128" s="10">
        <f t="shared" si="12"/>
        <v>1.1939377685494221</v>
      </c>
      <c r="J128" s="4">
        <f t="shared" si="13"/>
        <v>481.29404979891865</v>
      </c>
      <c r="K128" s="4">
        <f t="shared" si="14"/>
        <v>108.19973243085262</v>
      </c>
      <c r="L128" s="42">
        <f>Pressure!Q128</f>
        <v>5.1008864834514618E-2</v>
      </c>
      <c r="M128" s="10">
        <f t="shared" si="16"/>
        <v>0.23220452724557619</v>
      </c>
      <c r="N128" s="10">
        <f t="shared" si="15"/>
        <v>2.5992897854448858</v>
      </c>
    </row>
    <row r="129" spans="3:14">
      <c r="C129" s="4">
        <f>Pressure!AB129*1000000</f>
        <v>4961861.9490172183</v>
      </c>
      <c r="D129" s="78">
        <f>Pressure!I129</f>
        <v>8.1256230789298584E-5</v>
      </c>
      <c r="E129" s="40">
        <f>Pressure!H129</f>
        <v>81.256230789298584</v>
      </c>
      <c r="F129" s="10">
        <f t="shared" si="10"/>
        <v>4.5</v>
      </c>
      <c r="G129" s="4">
        <f t="shared" si="9"/>
        <v>210273.28123856688</v>
      </c>
      <c r="H129" s="42">
        <f t="shared" si="11"/>
        <v>7.9012698334166931</v>
      </c>
      <c r="I129" s="10">
        <f t="shared" si="12"/>
        <v>1.1939530712178585</v>
      </c>
      <c r="J129" s="4">
        <f t="shared" si="13"/>
        <v>481.38062556112266</v>
      </c>
      <c r="K129" s="4">
        <f t="shared" si="14"/>
        <v>108.21919553102887</v>
      </c>
      <c r="L129" s="42">
        <f>Pressure!Q129</f>
        <v>5.1491341326355203E-2</v>
      </c>
      <c r="M129" s="10">
        <f t="shared" si="16"/>
        <v>0.23223395007574324</v>
      </c>
      <c r="N129" s="10">
        <f t="shared" si="15"/>
        <v>2.5992897854448858</v>
      </c>
    </row>
    <row r="130" spans="3:14">
      <c r="C130" s="4">
        <f>Pressure!AB130*1000000</f>
        <v>4962688.084866643</v>
      </c>
      <c r="D130" s="78">
        <f>Pressure!I130</f>
        <v>8.1256230789298584E-5</v>
      </c>
      <c r="E130" s="40">
        <f>Pressure!H130</f>
        <v>81.256230789298584</v>
      </c>
      <c r="F130" s="10">
        <f t="shared" si="10"/>
        <v>4.5</v>
      </c>
      <c r="G130" s="4">
        <f t="shared" si="9"/>
        <v>210308.2911396065</v>
      </c>
      <c r="H130" s="42">
        <f t="shared" si="11"/>
        <v>7.9022977042580109</v>
      </c>
      <c r="I130" s="10">
        <f t="shared" si="12"/>
        <v>1.1939683195976081</v>
      </c>
      <c r="J130" s="4">
        <f t="shared" si="13"/>
        <v>481.46692295992932</v>
      </c>
      <c r="K130" s="4">
        <f t="shared" si="14"/>
        <v>108.23859605231989</v>
      </c>
      <c r="L130" s="42">
        <f>Pressure!Q130</f>
        <v>5.1973792108499117E-2</v>
      </c>
      <c r="M130" s="10">
        <f t="shared" si="16"/>
        <v>0.23226327643466607</v>
      </c>
      <c r="N130" s="10">
        <f t="shared" si="15"/>
        <v>2.5992897854448858</v>
      </c>
    </row>
    <row r="131" spans="3:14">
      <c r="C131" s="4">
        <f>Pressure!AB131*1000000</f>
        <v>4963511.5764042549</v>
      </c>
      <c r="D131" s="78">
        <f>Pressure!I131</f>
        <v>8.1256230789298584E-5</v>
      </c>
      <c r="E131" s="40">
        <f>Pressure!H131</f>
        <v>81.256230789298584</v>
      </c>
      <c r="F131" s="10">
        <f t="shared" si="10"/>
        <v>4.5</v>
      </c>
      <c r="G131" s="4">
        <f t="shared" si="9"/>
        <v>210343.18898026895</v>
      </c>
      <c r="H131" s="42">
        <f t="shared" si="11"/>
        <v>7.9033222548972066</v>
      </c>
      <c r="I131" s="10">
        <f t="shared" si="12"/>
        <v>1.193983514118454</v>
      </c>
      <c r="J131" s="4">
        <f t="shared" si="13"/>
        <v>481.55294413633118</v>
      </c>
      <c r="K131" s="4">
        <f t="shared" si="14"/>
        <v>108.25793447604227</v>
      </c>
      <c r="L131" s="42">
        <f>Pressure!Q131</f>
        <v>5.2456217269246076E-2</v>
      </c>
      <c r="M131" s="10">
        <f t="shared" si="16"/>
        <v>0.23229250709321428</v>
      </c>
      <c r="N131" s="10">
        <f t="shared" si="15"/>
        <v>2.5992897854448858</v>
      </c>
    </row>
    <row r="132" spans="3:14">
      <c r="C132" s="4">
        <f>Pressure!AB132*1000000</f>
        <v>4964332.4417960187</v>
      </c>
      <c r="D132" s="78">
        <f>Pressure!I132</f>
        <v>8.1256230789298584E-5</v>
      </c>
      <c r="E132" s="40">
        <f>Pressure!H132</f>
        <v>81.256230789298584</v>
      </c>
      <c r="F132" s="10">
        <f t="shared" si="10"/>
        <v>4.5</v>
      </c>
      <c r="G132" s="4">
        <f t="shared" si="9"/>
        <v>210377.97553038964</v>
      </c>
      <c r="H132" s="42">
        <f t="shared" si="11"/>
        <v>7.9043435082308546</v>
      </c>
      <c r="I132" s="10">
        <f t="shared" si="12"/>
        <v>1.1939986551664992</v>
      </c>
      <c r="J132" s="4">
        <f t="shared" si="13"/>
        <v>481.63869098792821</v>
      </c>
      <c r="K132" s="4">
        <f t="shared" si="14"/>
        <v>108.27721122879552</v>
      </c>
      <c r="L132" s="42">
        <f>Pressure!Q132</f>
        <v>5.2938616896203723E-2</v>
      </c>
      <c r="M132" s="10">
        <f t="shared" si="16"/>
        <v>0.23232164273633435</v>
      </c>
      <c r="N132" s="10">
        <f t="shared" si="15"/>
        <v>2.5992897854448858</v>
      </c>
    </row>
    <row r="133" spans="3:14">
      <c r="C133" s="4">
        <f>Pressure!AB133*1000000</f>
        <v>4965150.6971415728</v>
      </c>
      <c r="D133" s="78">
        <f>Pressure!I133</f>
        <v>8.1256230789298584E-5</v>
      </c>
      <c r="E133" s="40">
        <f>Pressure!H133</f>
        <v>81.256230789298584</v>
      </c>
      <c r="F133" s="10">
        <f t="shared" si="10"/>
        <v>4.5</v>
      </c>
      <c r="G133" s="4">
        <f t="shared" si="9"/>
        <v>210412.65147223737</v>
      </c>
      <c r="H133" s="42">
        <f t="shared" si="11"/>
        <v>7.9053614845811984</v>
      </c>
      <c r="I133" s="10">
        <f t="shared" si="12"/>
        <v>1.1940137430891047</v>
      </c>
      <c r="J133" s="4">
        <f t="shared" si="13"/>
        <v>481.72416519647419</v>
      </c>
      <c r="K133" s="4">
        <f t="shared" si="14"/>
        <v>108.29642668865478</v>
      </c>
      <c r="L133" s="42">
        <f>Pressure!Q133</f>
        <v>5.3420991076360634E-2</v>
      </c>
      <c r="M133" s="10">
        <f t="shared" si="16"/>
        <v>0.2323506839727856</v>
      </c>
      <c r="N133" s="10">
        <f t="shared" si="15"/>
        <v>2.5992897854448858</v>
      </c>
    </row>
    <row r="134" spans="3:14">
      <c r="C134" s="4">
        <f>Pressure!AB134*1000000</f>
        <v>4965966.356706447</v>
      </c>
      <c r="D134" s="78">
        <f>Pressure!I134</f>
        <v>8.1256230789298584E-5</v>
      </c>
      <c r="E134" s="40">
        <f>Pressure!H134</f>
        <v>81.256230789298584</v>
      </c>
      <c r="F134" s="10">
        <f t="shared" si="10"/>
        <v>4.5</v>
      </c>
      <c r="G134" s="4">
        <f t="shared" si="9"/>
        <v>210447.21741035537</v>
      </c>
      <c r="H134" s="42">
        <f t="shared" si="11"/>
        <v>7.9063762019854442</v>
      </c>
      <c r="I134" s="10">
        <f t="shared" si="12"/>
        <v>1.1940287781992354</v>
      </c>
      <c r="J134" s="4">
        <f t="shared" si="13"/>
        <v>481.80936825213314</v>
      </c>
      <c r="K134" s="4">
        <f t="shared" si="14"/>
        <v>108.31558119062389</v>
      </c>
      <c r="L134" s="42">
        <f>Pressure!Q134</f>
        <v>5.3903339896151072E-2</v>
      </c>
      <c r="M134" s="10">
        <f t="shared" si="16"/>
        <v>0.23237963134372286</v>
      </c>
      <c r="N134" s="10">
        <f t="shared" si="15"/>
        <v>2.5992897854448858</v>
      </c>
    </row>
    <row r="135" spans="3:14">
      <c r="C135" s="4">
        <f>Pressure!AB135*1000000</f>
        <v>4966779.4331293423</v>
      </c>
      <c r="D135" s="78">
        <f>Pressure!I135</f>
        <v>8.1256230789298584E-5</v>
      </c>
      <c r="E135" s="40">
        <f>Pressure!H135</f>
        <v>81.256230789298584</v>
      </c>
      <c r="F135" s="10">
        <f t="shared" si="10"/>
        <v>4.5</v>
      </c>
      <c r="G135" s="4">
        <f t="shared" si="9"/>
        <v>210481.67388034516</v>
      </c>
      <c r="H135" s="42">
        <f t="shared" si="11"/>
        <v>7.9073876764539328</v>
      </c>
      <c r="I135" s="10">
        <f t="shared" si="12"/>
        <v>1.1940437607793395</v>
      </c>
      <c r="J135" s="4">
        <f t="shared" si="13"/>
        <v>481.89430147513247</v>
      </c>
      <c r="K135" s="4">
        <f t="shared" si="14"/>
        <v>108.33467503150318</v>
      </c>
      <c r="L135" s="42">
        <f>Pressure!Q135</f>
        <v>5.4385663441512438E-2</v>
      </c>
      <c r="M135" s="10">
        <f t="shared" si="16"/>
        <v>0.23240848533030731</v>
      </c>
      <c r="N135" s="10">
        <f t="shared" si="15"/>
        <v>2.5992897854448858</v>
      </c>
    </row>
    <row r="136" spans="3:14">
      <c r="C136" s="4">
        <f>Pressure!AB136*1000000</f>
        <v>4967589.9376054797</v>
      </c>
      <c r="D136" s="78">
        <f>Pressure!I136</f>
        <v>8.1256230789298584E-5</v>
      </c>
      <c r="E136" s="40">
        <f>Pressure!H136</f>
        <v>81.256230789298584</v>
      </c>
      <c r="F136" s="10">
        <f t="shared" si="10"/>
        <v>4.5</v>
      </c>
      <c r="G136" s="4">
        <f t="shared" si="9"/>
        <v>210516.02135663675</v>
      </c>
      <c r="H136" s="42">
        <f t="shared" si="11"/>
        <v>7.9083959221985678</v>
      </c>
      <c r="I136" s="10">
        <f t="shared" si="12"/>
        <v>1.194058691084777</v>
      </c>
      <c r="J136" s="4">
        <f t="shared" si="13"/>
        <v>481.97896603491461</v>
      </c>
      <c r="K136" s="4">
        <f t="shared" si="14"/>
        <v>108.35370847419509</v>
      </c>
      <c r="L136" s="42">
        <f>Pressure!Q136</f>
        <v>5.4867961797936265E-2</v>
      </c>
      <c r="M136" s="10">
        <f t="shared" si="16"/>
        <v>0.23243724636047972</v>
      </c>
      <c r="N136" s="10">
        <f t="shared" si="15"/>
        <v>2.5992897854448858</v>
      </c>
    </row>
    <row r="137" spans="3:14">
      <c r="C137" s="4">
        <f>Pressure!AB137*1000000</f>
        <v>4968397.8800479639</v>
      </c>
      <c r="D137" s="78">
        <f>Pressure!I137</f>
        <v>8.1256230789298584E-5</v>
      </c>
      <c r="E137" s="40">
        <f>Pressure!H137</f>
        <v>81.256230789298584</v>
      </c>
      <c r="F137" s="10">
        <f t="shared" si="10"/>
        <v>4.5</v>
      </c>
      <c r="G137" s="4">
        <f t="shared" si="9"/>
        <v>210550.26025932663</v>
      </c>
      <c r="H137" s="42">
        <f t="shared" si="11"/>
        <v>7.9094009518337947</v>
      </c>
      <c r="I137" s="10">
        <f t="shared" si="12"/>
        <v>1.1940735693468376</v>
      </c>
      <c r="J137" s="4">
        <f t="shared" si="13"/>
        <v>482.06336296699357</v>
      </c>
      <c r="K137" s="4">
        <f t="shared" si="14"/>
        <v>108.37268175149354</v>
      </c>
      <c r="L137" s="42">
        <f>Pressure!Q137</f>
        <v>5.5350235050513466E-2</v>
      </c>
      <c r="M137" s="10">
        <f t="shared" si="16"/>
        <v>0.23246591481492498</v>
      </c>
      <c r="N137" s="10">
        <f t="shared" si="15"/>
        <v>2.5992897854448858</v>
      </c>
    </row>
    <row r="138" spans="3:14">
      <c r="C138" s="4">
        <f>Pressure!AB138*1000000</f>
        <v>4969203.2692321874</v>
      </c>
      <c r="D138" s="78">
        <f>Pressure!I138</f>
        <v>8.1256230789298584E-5</v>
      </c>
      <c r="E138" s="40">
        <f>Pressure!H138</f>
        <v>81.256230789298584</v>
      </c>
      <c r="F138" s="10">
        <f t="shared" si="10"/>
        <v>4.5</v>
      </c>
      <c r="G138" s="4">
        <f t="shared" si="9"/>
        <v>210584.39096029752</v>
      </c>
      <c r="H138" s="42">
        <f t="shared" si="11"/>
        <v>7.910402776556448</v>
      </c>
      <c r="I138" s="10">
        <f t="shared" si="12"/>
        <v>1.1940883957754398</v>
      </c>
      <c r="J138" s="4">
        <f t="shared" si="13"/>
        <v>482.14749318803882</v>
      </c>
      <c r="K138" s="4">
        <f t="shared" si="14"/>
        <v>108.39159506947503</v>
      </c>
      <c r="L138" s="42">
        <f>Pressure!Q138</f>
        <v>5.5832483283974534E-2</v>
      </c>
      <c r="M138" s="10">
        <f t="shared" si="16"/>
        <v>0.23249449103237393</v>
      </c>
      <c r="N138" s="10">
        <f t="shared" si="15"/>
        <v>2.5992897854448858</v>
      </c>
    </row>
    <row r="139" spans="3:14">
      <c r="C139" s="4">
        <f>Pressure!AB139*1000000</f>
        <v>4970006.1129238689</v>
      </c>
      <c r="D139" s="78">
        <f>Pressure!I139</f>
        <v>8.1256230789298584E-5</v>
      </c>
      <c r="E139" s="40">
        <f>Pressure!H139</f>
        <v>81.256230789298584</v>
      </c>
      <c r="F139" s="10">
        <f t="shared" si="10"/>
        <v>4.5</v>
      </c>
      <c r="G139" s="4">
        <f t="shared" si="9"/>
        <v>210618.41378864425</v>
      </c>
      <c r="H139" s="42">
        <f t="shared" si="11"/>
        <v>7.9114014063052771</v>
      </c>
      <c r="I139" s="10">
        <f t="shared" si="12"/>
        <v>1.1941031705615226</v>
      </c>
      <c r="J139" s="4">
        <f t="shared" si="13"/>
        <v>482.23135750925036</v>
      </c>
      <c r="K139" s="4">
        <f t="shared" si="14"/>
        <v>108.41044861050545</v>
      </c>
      <c r="L139" s="42">
        <f>Pressure!Q139</f>
        <v>5.6314706582725221E-2</v>
      </c>
      <c r="M139" s="10">
        <f t="shared" si="16"/>
        <v>0.23252297531432189</v>
      </c>
      <c r="N139" s="10">
        <f t="shared" si="15"/>
        <v>2.5992897854448858</v>
      </c>
    </row>
    <row r="140" spans="3:14">
      <c r="C140" s="4">
        <f>Pressure!AB140*1000000</f>
        <v>4970806.4179914342</v>
      </c>
      <c r="D140" s="78">
        <f>Pressure!I140</f>
        <v>8.1256230789298584E-5</v>
      </c>
      <c r="E140" s="40">
        <f>Pressure!H140</f>
        <v>81.256230789298584</v>
      </c>
      <c r="F140" s="10">
        <f t="shared" si="10"/>
        <v>4.5</v>
      </c>
      <c r="G140" s="4">
        <f t="shared" si="9"/>
        <v>210652.32903543627</v>
      </c>
      <c r="H140" s="42">
        <f t="shared" si="11"/>
        <v>7.912396849900861</v>
      </c>
      <c r="I140" s="10">
        <f t="shared" si="12"/>
        <v>1.1941178938791457</v>
      </c>
      <c r="J140" s="4">
        <f t="shared" si="13"/>
        <v>482.31495664809751</v>
      </c>
      <c r="K140" s="4">
        <f t="shared" si="14"/>
        <v>108.42924253587913</v>
      </c>
      <c r="L140" s="42">
        <f>Pressure!Q140</f>
        <v>5.6796905030878232E-2</v>
      </c>
      <c r="M140" s="10">
        <f t="shared" si="16"/>
        <v>0.23255136792918982</v>
      </c>
      <c r="N140" s="10">
        <f t="shared" si="15"/>
        <v>2.5992897854448858</v>
      </c>
    </row>
    <row r="141" spans="3:14">
      <c r="C141" s="4">
        <f>Pressure!AB141*1000000</f>
        <v>4971604.1905061714</v>
      </c>
      <c r="D141" s="78">
        <f>Pressure!I141</f>
        <v>8.1256230789298584E-5</v>
      </c>
      <c r="E141" s="40">
        <f>Pressure!H141</f>
        <v>81.256230789298584</v>
      </c>
      <c r="F141" s="10">
        <f t="shared" si="10"/>
        <v>4.5</v>
      </c>
      <c r="G141" s="4">
        <f t="shared" si="9"/>
        <v>210686.13695796198</v>
      </c>
      <c r="H141" s="42">
        <f t="shared" si="11"/>
        <v>7.9133891151703848</v>
      </c>
      <c r="I141" s="10">
        <f t="shared" si="12"/>
        <v>1.1941325658873592</v>
      </c>
      <c r="J141" s="4">
        <f t="shared" si="13"/>
        <v>482.39829123878155</v>
      </c>
      <c r="K141" s="4">
        <f t="shared" si="14"/>
        <v>108.44797698817085</v>
      </c>
      <c r="L141" s="42">
        <f>Pressure!Q141</f>
        <v>5.7279078712281391E-2</v>
      </c>
      <c r="M141" s="10">
        <f t="shared" si="16"/>
        <v>0.23257966911600716</v>
      </c>
      <c r="N141" s="10">
        <f t="shared" si="15"/>
        <v>2.5992897854448858</v>
      </c>
    </row>
    <row r="142" spans="3:14">
      <c r="C142" s="4">
        <f>Pressure!AB142*1000000</f>
        <v>4972399.4358320609</v>
      </c>
      <c r="D142" s="78">
        <f>Pressure!I142</f>
        <v>8.1256230789298584E-5</v>
      </c>
      <c r="E142" s="40">
        <f>Pressure!H142</f>
        <v>81.256230789298584</v>
      </c>
      <c r="F142" s="10">
        <f t="shared" si="10"/>
        <v>4.5</v>
      </c>
      <c r="G142" s="4">
        <f t="shared" si="9"/>
        <v>210719.83778353565</v>
      </c>
      <c r="H142" s="42">
        <f t="shared" si="11"/>
        <v>7.9143782090595112</v>
      </c>
      <c r="I142" s="10">
        <f t="shared" si="12"/>
        <v>1.1941471867318807</v>
      </c>
      <c r="J142" s="4">
        <f t="shared" si="13"/>
        <v>482.48136184161916</v>
      </c>
      <c r="K142" s="4">
        <f t="shared" si="14"/>
        <v>108.46665209334543</v>
      </c>
      <c r="L142" s="42">
        <f>Pressure!Q142</f>
        <v>5.7761227710542672E-2</v>
      </c>
      <c r="M142" s="10">
        <f t="shared" si="16"/>
        <v>0.2326078790877037</v>
      </c>
      <c r="N142" s="10">
        <f t="shared" si="15"/>
        <v>2.5992897854448858</v>
      </c>
    </row>
    <row r="143" spans="3:14">
      <c r="C143" s="4">
        <f>Pressure!AB143*1000000</f>
        <v>4973192.1587042259</v>
      </c>
      <c r="D143" s="78">
        <f>Pressure!I143</f>
        <v>8.1256230789298584E-5</v>
      </c>
      <c r="E143" s="40">
        <f>Pressure!H143</f>
        <v>81.256230789298584</v>
      </c>
      <c r="F143" s="10">
        <f t="shared" si="10"/>
        <v>4.5</v>
      </c>
      <c r="G143" s="4">
        <f t="shared" si="9"/>
        <v>210753.43171282182</v>
      </c>
      <c r="H143" s="42">
        <f t="shared" si="11"/>
        <v>7.9153641377300561</v>
      </c>
      <c r="I143" s="10">
        <f t="shared" si="12"/>
        <v>1.1941617565465585</v>
      </c>
      <c r="J143" s="4">
        <f t="shared" si="13"/>
        <v>482.56416895123681</v>
      </c>
      <c r="K143" s="4">
        <f t="shared" si="14"/>
        <v>108.48526796259989</v>
      </c>
      <c r="L143" s="42">
        <f>Pressure!Q143</f>
        <v>5.8243352109052432E-2</v>
      </c>
      <c r="M143" s="10">
        <f t="shared" si="16"/>
        <v>0.23263599803401905</v>
      </c>
      <c r="N143" s="10">
        <f t="shared" si="15"/>
        <v>2.5992897854448858</v>
      </c>
    </row>
    <row r="144" spans="3:14">
      <c r="C144" s="4">
        <f>Pressure!AB144*1000000</f>
        <v>4973982.3632991835</v>
      </c>
      <c r="D144" s="78">
        <f>Pressure!I144</f>
        <v>8.1256230789298584E-5</v>
      </c>
      <c r="E144" s="40">
        <f>Pressure!H144</f>
        <v>81.256230789298584</v>
      </c>
      <c r="F144" s="10">
        <f t="shared" si="10"/>
        <v>4.5</v>
      </c>
      <c r="G144" s="4">
        <f t="shared" si="9"/>
        <v>210786.9189228125</v>
      </c>
      <c r="H144" s="42">
        <f t="shared" si="11"/>
        <v>7.9163469066475081</v>
      </c>
      <c r="I144" s="10">
        <f t="shared" si="12"/>
        <v>1.1941762754546832</v>
      </c>
      <c r="J144" s="4">
        <f t="shared" si="13"/>
        <v>482.64671300390972</v>
      </c>
      <c r="K144" s="4">
        <f t="shared" si="14"/>
        <v>108.50382469401325</v>
      </c>
      <c r="L144" s="42">
        <f>Pressure!Q144</f>
        <v>5.8725451991003208E-2</v>
      </c>
      <c r="M144" s="10">
        <f t="shared" si="16"/>
        <v>0.23266402612409029</v>
      </c>
      <c r="N144" s="10">
        <f t="shared" si="15"/>
        <v>2.5992897854448858</v>
      </c>
    </row>
    <row r="145" spans="3:14">
      <c r="C145" s="4">
        <f>Pressure!AB145*1000000</f>
        <v>4974770.0532966657</v>
      </c>
      <c r="D145" s="78">
        <f>Pressure!I145</f>
        <v>8.1256230789298584E-5</v>
      </c>
      <c r="E145" s="40">
        <f>Pressure!H145</f>
        <v>81.256230789298584</v>
      </c>
      <c r="F145" s="10">
        <f t="shared" si="10"/>
        <v>4.5</v>
      </c>
      <c r="G145" s="4">
        <f t="shared" si="9"/>
        <v>210820.299569447</v>
      </c>
      <c r="H145" s="42">
        <f t="shared" si="11"/>
        <v>7.9173265206580075</v>
      </c>
      <c r="I145" s="10">
        <f t="shared" si="12"/>
        <v>1.1941907435701398</v>
      </c>
      <c r="J145" s="4">
        <f t="shared" si="13"/>
        <v>482.72899438401947</v>
      </c>
      <c r="K145" s="4">
        <f t="shared" si="14"/>
        <v>108.52232237399835</v>
      </c>
      <c r="L145" s="42">
        <f>Pressure!Q145</f>
        <v>5.9207527439407298E-2</v>
      </c>
      <c r="M145" s="10">
        <f t="shared" si="16"/>
        <v>0.23269196350872584</v>
      </c>
      <c r="N145" s="10">
        <f t="shared" si="15"/>
        <v>2.5992897854448858</v>
      </c>
    </row>
    <row r="146" spans="3:14">
      <c r="C146" s="4">
        <f>Pressure!AB146*1000000</f>
        <v>4975555.231935651</v>
      </c>
      <c r="D146" s="78">
        <f>Pressure!I146</f>
        <v>8.1256230789298584E-5</v>
      </c>
      <c r="E146" s="40">
        <f>Pressure!H146</f>
        <v>81.256230789298584</v>
      </c>
      <c r="F146" s="10">
        <f t="shared" si="10"/>
        <v>4.5</v>
      </c>
      <c r="G146" s="4">
        <f t="shared" si="9"/>
        <v>210853.57378998646</v>
      </c>
      <c r="H146" s="42">
        <f t="shared" si="11"/>
        <v>7.9183029840580925</v>
      </c>
      <c r="I146" s="10">
        <f t="shared" si="12"/>
        <v>1.1942051609984521</v>
      </c>
      <c r="J146" s="4">
        <f t="shared" si="13"/>
        <v>482.81101342990667</v>
      </c>
      <c r="K146" s="4">
        <f t="shared" si="14"/>
        <v>108.54076107861756</v>
      </c>
      <c r="L146" s="42">
        <f>Pressure!Q146</f>
        <v>5.9689578537112403E-2</v>
      </c>
      <c r="M146" s="10">
        <f t="shared" si="16"/>
        <v>0.23271981032244946</v>
      </c>
      <c r="N146" s="10">
        <f t="shared" si="15"/>
        <v>2.5992897854448858</v>
      </c>
    </row>
    <row r="147" spans="3:14">
      <c r="C147" s="4">
        <f>Pressure!AB147*1000000</f>
        <v>4976337.9020620547</v>
      </c>
      <c r="D147" s="78">
        <f>Pressure!I147</f>
        <v>8.1256230789298584E-5</v>
      </c>
      <c r="E147" s="40">
        <f>Pressure!H147</f>
        <v>81.256230789298584</v>
      </c>
      <c r="F147" s="10">
        <f t="shared" si="10"/>
        <v>4.5</v>
      </c>
      <c r="G147" s="4">
        <f t="shared" si="9"/>
        <v>210886.74170503474</v>
      </c>
      <c r="H147" s="42">
        <f t="shared" si="11"/>
        <v>7.9192763006541229</v>
      </c>
      <c r="I147" s="10">
        <f t="shared" si="12"/>
        <v>1.1942195278376724</v>
      </c>
      <c r="J147" s="4">
        <f t="shared" si="13"/>
        <v>482.89277043885306</v>
      </c>
      <c r="K147" s="4">
        <f t="shared" si="14"/>
        <v>108.55914087470282</v>
      </c>
      <c r="L147" s="42">
        <f>Pressure!Q147</f>
        <v>6.017160536681556E-2</v>
      </c>
      <c r="M147" s="10">
        <f t="shared" si="16"/>
        <v>0.23274756668530042</v>
      </c>
      <c r="N147" s="10">
        <f t="shared" si="15"/>
        <v>2.5992897854448858</v>
      </c>
    </row>
    <row r="148" spans="3:14">
      <c r="C148" s="4">
        <f>Pressure!AB148*1000000</f>
        <v>4977118.066174197</v>
      </c>
      <c r="D148" s="78">
        <f>Pressure!I148</f>
        <v>8.1256230789298584E-5</v>
      </c>
      <c r="E148" s="40">
        <f>Pressure!H148</f>
        <v>81.256230789298584</v>
      </c>
      <c r="F148" s="10">
        <f t="shared" si="10"/>
        <v>4.5</v>
      </c>
      <c r="G148" s="4">
        <f t="shared" si="9"/>
        <v>210919.80342046541</v>
      </c>
      <c r="H148" s="42">
        <f t="shared" si="11"/>
        <v>7.9202464738188736</v>
      </c>
      <c r="I148" s="10">
        <f t="shared" si="12"/>
        <v>1.1942338441792277</v>
      </c>
      <c r="J148" s="4">
        <f t="shared" si="13"/>
        <v>482.97426567183078</v>
      </c>
      <c r="K148" s="4">
        <f t="shared" si="14"/>
        <v>108.57746182092325</v>
      </c>
      <c r="L148" s="42">
        <f>Pressure!Q148</f>
        <v>6.0653608011075541E-2</v>
      </c>
      <c r="M148" s="10">
        <f t="shared" si="16"/>
        <v>0.23277523270445002</v>
      </c>
      <c r="N148" s="10">
        <f t="shared" si="15"/>
        <v>2.5992897854448858</v>
      </c>
    </row>
    <row r="149" spans="3:14">
      <c r="C149" s="4">
        <f>Pressure!AB149*1000000</f>
        <v>4977895.7264593123</v>
      </c>
      <c r="D149" s="78">
        <f>Pressure!I149</f>
        <v>8.1256230789298584E-5</v>
      </c>
      <c r="E149" s="40">
        <f>Pressure!H149</f>
        <v>81.256230789298584</v>
      </c>
      <c r="F149" s="10">
        <f t="shared" si="10"/>
        <v>4.5</v>
      </c>
      <c r="G149" s="4">
        <f t="shared" si="9"/>
        <v>210952.7590289689</v>
      </c>
      <c r="H149" s="42">
        <f t="shared" si="11"/>
        <v>7.9212135065370095</v>
      </c>
      <c r="I149" s="10">
        <f t="shared" si="12"/>
        <v>1.1942481101086009</v>
      </c>
      <c r="J149" s="4">
        <f t="shared" si="13"/>
        <v>483.05549935731665</v>
      </c>
      <c r="K149" s="4">
        <f t="shared" si="14"/>
        <v>108.59572396864274</v>
      </c>
      <c r="L149" s="42">
        <f>Pressure!Q149</f>
        <v>6.1135586552323873E-2</v>
      </c>
      <c r="M149" s="10">
        <f t="shared" si="16"/>
        <v>0.23280280847560864</v>
      </c>
      <c r="N149" s="10">
        <f t="shared" si="15"/>
        <v>2.5992897854448858</v>
      </c>
    </row>
    <row r="150" spans="3:14">
      <c r="C150" s="4">
        <f>Pressure!AB150*1000000</f>
        <v>4978670.8848295473</v>
      </c>
      <c r="D150" s="78">
        <f>Pressure!I150</f>
        <v>8.1256230789298584E-5</v>
      </c>
      <c r="E150" s="40">
        <f>Pressure!H150</f>
        <v>81.256230789298584</v>
      </c>
      <c r="F150" s="10">
        <f t="shared" si="10"/>
        <v>4.5</v>
      </c>
      <c r="G150" s="4">
        <f t="shared" si="9"/>
        <v>210985.60861157792</v>
      </c>
      <c r="H150" s="42">
        <f t="shared" si="11"/>
        <v>7.9221774014498845</v>
      </c>
      <c r="I150" s="10">
        <f t="shared" si="12"/>
        <v>1.1942623257059992</v>
      </c>
      <c r="J150" s="4">
        <f t="shared" si="13"/>
        <v>483.13647169505151</v>
      </c>
      <c r="K150" s="4">
        <f t="shared" si="14"/>
        <v>108.61392736276505</v>
      </c>
      <c r="L150" s="42">
        <f>Pressure!Q150</f>
        <v>6.161754107287469E-2</v>
      </c>
      <c r="M150" s="10">
        <f t="shared" si="16"/>
        <v>0.2328302940842967</v>
      </c>
      <c r="N150" s="10">
        <f t="shared" si="15"/>
        <v>2.5992897854448858</v>
      </c>
    </row>
    <row r="151" spans="3:14">
      <c r="C151" s="4">
        <f>Pressure!AB151*1000000</f>
        <v>4979443.5429514591</v>
      </c>
      <c r="D151" s="78">
        <f>Pressure!I151</f>
        <v>8.1256230789298584E-5</v>
      </c>
      <c r="E151" s="40">
        <f>Pressure!H151</f>
        <v>81.256230789298584</v>
      </c>
      <c r="F151" s="10">
        <f t="shared" si="10"/>
        <v>4.5</v>
      </c>
      <c r="G151" s="4">
        <f t="shared" si="9"/>
        <v>211018.35223891769</v>
      </c>
      <c r="H151" s="42">
        <f t="shared" si="11"/>
        <v>7.9231381608922957</v>
      </c>
      <c r="I151" s="10">
        <f t="shared" si="12"/>
        <v>1.1942764910469053</v>
      </c>
      <c r="J151" s="4">
        <f t="shared" si="13"/>
        <v>483.21718285912249</v>
      </c>
      <c r="K151" s="4">
        <f t="shared" si="14"/>
        <v>108.63207204242671</v>
      </c>
      <c r="L151" s="42">
        <f>Pressure!Q151</f>
        <v>6.2099471654933472E-2</v>
      </c>
      <c r="M151" s="10">
        <f t="shared" si="16"/>
        <v>0.2328576896069619</v>
      </c>
      <c r="N151" s="10">
        <f t="shared" si="15"/>
        <v>2.5992897854448858</v>
      </c>
    </row>
    <row r="152" spans="3:14">
      <c r="C152" s="4">
        <f>Pressure!AB152*1000000</f>
        <v>4980213.7022740059</v>
      </c>
      <c r="D152" s="78">
        <f>Pressure!I152</f>
        <v>8.1256230789298584E-5</v>
      </c>
      <c r="E152" s="40">
        <f>Pressure!H152</f>
        <v>81.256230789298584</v>
      </c>
      <c r="F152" s="10">
        <f t="shared" si="10"/>
        <v>4.5</v>
      </c>
      <c r="G152" s="4">
        <f t="shared" si="9"/>
        <v>211050.98997239201</v>
      </c>
      <c r="H152" s="42">
        <f t="shared" si="11"/>
        <v>7.9240957869273227</v>
      </c>
      <c r="I152" s="10">
        <f t="shared" si="12"/>
        <v>1.1942906062025962</v>
      </c>
      <c r="J152" s="4">
        <f t="shared" si="13"/>
        <v>483.29763300088644</v>
      </c>
      <c r="K152" s="4">
        <f t="shared" si="14"/>
        <v>108.65015804165425</v>
      </c>
      <c r="L152" s="42">
        <f>Pressure!Q152</f>
        <v>6.2581378380604874E-2</v>
      </c>
      <c r="M152" s="10">
        <f t="shared" si="16"/>
        <v>0.23288499511199753</v>
      </c>
      <c r="N152" s="10">
        <f t="shared" si="15"/>
        <v>2.5992897854448858</v>
      </c>
    </row>
    <row r="153" spans="3:14">
      <c r="C153" s="4">
        <f>Pressure!AB153*1000000</f>
        <v>4980981.3640513988</v>
      </c>
      <c r="D153" s="78">
        <f>Pressure!I153</f>
        <v>8.1256230789298584E-5</v>
      </c>
      <c r="E153" s="40">
        <f>Pressure!H153</f>
        <v>81.256230789298584</v>
      </c>
      <c r="F153" s="10">
        <f t="shared" si="10"/>
        <v>4.5</v>
      </c>
      <c r="G153" s="4">
        <f t="shared" si="9"/>
        <v>211083.52186515171</v>
      </c>
      <c r="H153" s="42">
        <f t="shared" si="11"/>
        <v>7.9250502813747659</v>
      </c>
      <c r="I153" s="10">
        <f t="shared" si="12"/>
        <v>1.1943046712405707</v>
      </c>
      <c r="J153" s="4">
        <f t="shared" si="13"/>
        <v>483.37782225135714</v>
      </c>
      <c r="K153" s="4">
        <f t="shared" si="14"/>
        <v>108.6681853899009</v>
      </c>
      <c r="L153" s="42">
        <f>Pressure!Q153</f>
        <v>6.3063261331899656E-2</v>
      </c>
      <c r="M153" s="10">
        <f t="shared" si="16"/>
        <v>0.23291221066058906</v>
      </c>
      <c r="N153" s="10">
        <f t="shared" si="15"/>
        <v>2.5992897854448858</v>
      </c>
    </row>
    <row r="154" spans="3:14">
      <c r="C154" s="4">
        <f>Pressure!AB154*1000000</f>
        <v>4981746.5293663619</v>
      </c>
      <c r="D154" s="78">
        <f>Pressure!I154</f>
        <v>8.1256230789298584E-5</v>
      </c>
      <c r="E154" s="40">
        <f>Pressure!H154</f>
        <v>81.256230789298584</v>
      </c>
      <c r="F154" s="10">
        <f t="shared" si="10"/>
        <v>4.5</v>
      </c>
      <c r="G154" s="4">
        <f t="shared" si="9"/>
        <v>211115.94796308037</v>
      </c>
      <c r="H154" s="42">
        <f t="shared" si="11"/>
        <v>7.9260016458401275</v>
      </c>
      <c r="I154" s="10">
        <f t="shared" si="12"/>
        <v>1.1943186862249797</v>
      </c>
      <c r="J154" s="4">
        <f t="shared" si="13"/>
        <v>483.45775072363483</v>
      </c>
      <c r="K154" s="4">
        <f t="shared" si="14"/>
        <v>108.6861541125927</v>
      </c>
      <c r="L154" s="42">
        <f>Pressure!Q154</f>
        <v>6.3545120590740939E-2</v>
      </c>
      <c r="M154" s="10">
        <f t="shared" si="16"/>
        <v>0.23293933630755834</v>
      </c>
      <c r="N154" s="10">
        <f t="shared" si="15"/>
        <v>2.5992897854448858</v>
      </c>
    </row>
    <row r="155" spans="3:14">
      <c r="C155" s="4">
        <f>Pressure!AB155*1000000</f>
        <v>4982509.1991471015</v>
      </c>
      <c r="D155" s="78">
        <f>Pressure!I155</f>
        <v>8.1256230789298584E-5</v>
      </c>
      <c r="E155" s="40">
        <f>Pressure!H155</f>
        <v>81.256230789298584</v>
      </c>
      <c r="F155" s="10">
        <f t="shared" si="10"/>
        <v>4.5</v>
      </c>
      <c r="G155" s="4">
        <f t="shared" si="9"/>
        <v>211148.26830551337</v>
      </c>
      <c r="H155" s="42">
        <f t="shared" si="11"/>
        <v>7.9269498817357205</v>
      </c>
      <c r="I155" s="10">
        <f t="shared" si="12"/>
        <v>1.1943326512169434</v>
      </c>
      <c r="J155" s="4">
        <f t="shared" si="13"/>
        <v>483.53741851467925</v>
      </c>
      <c r="K155" s="4">
        <f t="shared" si="14"/>
        <v>108.7040642315272</v>
      </c>
      <c r="L155" s="42">
        <f>Pressure!Q155</f>
        <v>6.4026956238969701E-2</v>
      </c>
      <c r="M155" s="10">
        <f t="shared" si="16"/>
        <v>0.23296637210201235</v>
      </c>
      <c r="N155" s="10">
        <f t="shared" si="15"/>
        <v>2.5992897854448858</v>
      </c>
    </row>
    <row r="156" spans="3:14">
      <c r="C156" s="4">
        <f>Pressure!AB156*1000000</f>
        <v>4983269.3741859458</v>
      </c>
      <c r="D156" s="78">
        <f>Pressure!I156</f>
        <v>8.1256230789298584E-5</v>
      </c>
      <c r="E156" s="40">
        <f>Pressure!H156</f>
        <v>81.256230789298584</v>
      </c>
      <c r="F156" s="10">
        <f t="shared" si="10"/>
        <v>4.5</v>
      </c>
      <c r="G156" s="4">
        <f t="shared" ref="G156:G219" si="17">IF(C156/(1+(k-1)/2*N156^2)^(k/(k-1))&lt;patm*1000000,patm*1000000,C156/(1+(k-1)/2*N156^2)^(k/(k-1)))</f>
        <v>211180.48292602799</v>
      </c>
      <c r="H156" s="42">
        <f t="shared" si="11"/>
        <v>7.92789499030388</v>
      </c>
      <c r="I156" s="10">
        <f t="shared" si="12"/>
        <v>1.1943465662748971</v>
      </c>
      <c r="J156" s="4">
        <f t="shared" si="13"/>
        <v>483.61682570725628</v>
      </c>
      <c r="K156" s="4">
        <f t="shared" si="14"/>
        <v>108.72191576531098</v>
      </c>
      <c r="L156" s="42">
        <f>Pressure!Q156</f>
        <v>6.4508768358349761E-2</v>
      </c>
      <c r="M156" s="10">
        <f t="shared" si="16"/>
        <v>0.23299331808799523</v>
      </c>
      <c r="N156" s="10">
        <f t="shared" si="15"/>
        <v>2.5992897854448858</v>
      </c>
    </row>
    <row r="157" spans="3:14">
      <c r="C157" s="4">
        <f>Pressure!AB157*1000000</f>
        <v>4984027.0551530132</v>
      </c>
      <c r="D157" s="78">
        <f>Pressure!I157</f>
        <v>8.1256230789298584E-5</v>
      </c>
      <c r="E157" s="40">
        <f>Pressure!H157</f>
        <v>81.256230789298584</v>
      </c>
      <c r="F157" s="10">
        <f t="shared" ref="F157:F220" si="18">aexit/E157</f>
        <v>4.5</v>
      </c>
      <c r="G157" s="4">
        <f t="shared" si="17"/>
        <v>211212.59185302237</v>
      </c>
      <c r="H157" s="42">
        <f t="shared" ref="H157:H220" si="19">1/(((k+1)/2)^(1/(k-1))*(patm*1000000/C157)^(1/k)*SQRT((k+1)/(k-1)*(1-(patm*1000000/C157)^((k-1)/k))))</f>
        <v>7.9288369726339774</v>
      </c>
      <c r="I157" s="10">
        <f t="shared" ref="I157:I220" si="20">etanoz*SQRT(2*k^2/(k-1)*(2/(k+1))^((k+1)/(k-1))*(1-(G157/C157)^((k-1)/k)))+(G157-patm*1000000)/C157*(aexit/E157)</f>
        <v>1.1943604314548451</v>
      </c>
      <c r="J157" s="4">
        <f t="shared" ref="J157:J220" si="21">I157*D157*C157</f>
        <v>483.69597237136577</v>
      </c>
      <c r="K157" s="4">
        <f t="shared" ref="K157:K220" si="22">J157/4.4482</f>
        <v>108.73970872968071</v>
      </c>
      <c r="L157" s="42">
        <f>Pressure!Q157</f>
        <v>6.4990557030572174E-2</v>
      </c>
      <c r="M157" s="10">
        <f t="shared" si="16"/>
        <v>0.23302017430502348</v>
      </c>
      <c r="N157" s="10">
        <f t="shared" si="15"/>
        <v>2.5992897854448858</v>
      </c>
    </row>
    <row r="158" spans="3:14">
      <c r="C158" s="4">
        <f>Pressure!AB158*1000000</f>
        <v>4984782.2426109118</v>
      </c>
      <c r="D158" s="78">
        <f>Pressure!I158</f>
        <v>8.1256230789298584E-5</v>
      </c>
      <c r="E158" s="40">
        <f>Pressure!H158</f>
        <v>81.256230789298584</v>
      </c>
      <c r="F158" s="10">
        <f t="shared" si="18"/>
        <v>4.5</v>
      </c>
      <c r="G158" s="4">
        <f t="shared" si="17"/>
        <v>211244.59511033873</v>
      </c>
      <c r="H158" s="42">
        <f t="shared" si="19"/>
        <v>7.9297758296807146</v>
      </c>
      <c r="I158" s="10">
        <f t="shared" si="20"/>
        <v>1.1943742468106342</v>
      </c>
      <c r="J158" s="4">
        <f t="shared" si="21"/>
        <v>483.77485856577738</v>
      </c>
      <c r="K158" s="4">
        <f t="shared" si="22"/>
        <v>108.75744313784843</v>
      </c>
      <c r="L158" s="42">
        <f>Pressure!Q158</f>
        <v>6.5472322337259206E-2</v>
      </c>
      <c r="M158" s="10">
        <f t="shared" si="16"/>
        <v>0.2330469407885952</v>
      </c>
      <c r="N158" s="10">
        <f t="shared" ref="N158:N221" si="23">N157-1/834*(me-mef)</f>
        <v>2.5992897854448858</v>
      </c>
    </row>
    <row r="159" spans="3:14">
      <c r="C159" s="4">
        <f>Pressure!AB159*1000000</f>
        <v>4985534.9370258823</v>
      </c>
      <c r="D159" s="78">
        <f>Pressure!I159</f>
        <v>8.1256230789298584E-5</v>
      </c>
      <c r="E159" s="40">
        <f>Pressure!H159</f>
        <v>81.256230789298584</v>
      </c>
      <c r="F159" s="10">
        <f t="shared" si="18"/>
        <v>4.5</v>
      </c>
      <c r="G159" s="4">
        <f t="shared" si="17"/>
        <v>211276.49271773529</v>
      </c>
      <c r="H159" s="42">
        <f t="shared" si="19"/>
        <v>7.930711562278006</v>
      </c>
      <c r="I159" s="10">
        <f t="shared" si="20"/>
        <v>1.1943880123941604</v>
      </c>
      <c r="J159" s="4">
        <f t="shared" si="21"/>
        <v>483.85348433919404</v>
      </c>
      <c r="K159" s="4">
        <f t="shared" si="22"/>
        <v>108.77511900076301</v>
      </c>
      <c r="L159" s="42">
        <f>Pressure!Q159</f>
        <v>6.5954064359967882E-2</v>
      </c>
      <c r="M159" s="10">
        <f t="shared" si="16"/>
        <v>0.23307361757064241</v>
      </c>
      <c r="N159" s="10">
        <f t="shared" si="23"/>
        <v>2.5992897854448858</v>
      </c>
    </row>
    <row r="160" spans="3:14">
      <c r="C160" s="4">
        <f>Pressure!AB160*1000000</f>
        <v>4986285.1387782004</v>
      </c>
      <c r="D160" s="78">
        <f>Pressure!I160</f>
        <v>8.1256230789298584E-5</v>
      </c>
      <c r="E160" s="40">
        <f>Pressure!H160</f>
        <v>81.256230789298584</v>
      </c>
      <c r="F160" s="10">
        <f t="shared" si="18"/>
        <v>4.5</v>
      </c>
      <c r="G160" s="4">
        <f t="shared" si="17"/>
        <v>211308.28469132743</v>
      </c>
      <c r="H160" s="42">
        <f t="shared" si="19"/>
        <v>7.9316441711519152</v>
      </c>
      <c r="I160" s="10">
        <f t="shared" si="20"/>
        <v>1.194401728255563</v>
      </c>
      <c r="J160" s="4">
        <f t="shared" si="21"/>
        <v>483.93184973133913</v>
      </c>
      <c r="K160" s="4">
        <f t="shared" si="22"/>
        <v>108.79273632735469</v>
      </c>
      <c r="L160" s="42">
        <f>Pressure!Q160</f>
        <v>6.6435783180193109E-2</v>
      </c>
      <c r="M160" s="10">
        <f t="shared" si="16"/>
        <v>0.23310020467986722</v>
      </c>
      <c r="N160" s="10">
        <f t="shared" si="23"/>
        <v>2.5992897854448858</v>
      </c>
    </row>
    <row r="161" spans="3:14">
      <c r="C161" s="4">
        <f>Pressure!AB161*1000000</f>
        <v>4987032.8481726646</v>
      </c>
      <c r="D161" s="78">
        <f>Pressure!I161</f>
        <v>8.1256230789298584E-5</v>
      </c>
      <c r="E161" s="40">
        <f>Pressure!H161</f>
        <v>81.256230789298584</v>
      </c>
      <c r="F161" s="10">
        <f t="shared" si="18"/>
        <v>4.5</v>
      </c>
      <c r="G161" s="4">
        <f t="shared" si="17"/>
        <v>211339.97104403179</v>
      </c>
      <c r="H161" s="42">
        <f t="shared" si="19"/>
        <v>7.9325736569337151</v>
      </c>
      <c r="I161" s="10">
        <f t="shared" si="20"/>
        <v>1.1944153944434177</v>
      </c>
      <c r="J161" s="4">
        <f t="shared" si="21"/>
        <v>484.00995477405161</v>
      </c>
      <c r="K161" s="4">
        <f t="shared" si="22"/>
        <v>108.81029512478118</v>
      </c>
      <c r="L161" s="42">
        <f>Pressure!Q161</f>
        <v>6.6917478879370537E-2</v>
      </c>
      <c r="M161" s="10">
        <f t="shared" si="16"/>
        <v>0.23312670214214301</v>
      </c>
      <c r="N161" s="10">
        <f t="shared" si="23"/>
        <v>2.5992897854448858</v>
      </c>
    </row>
    <row r="162" spans="3:14">
      <c r="C162" s="4">
        <f>Pressure!AB162*1000000</f>
        <v>4987778.0654458404</v>
      </c>
      <c r="D162" s="78">
        <f>Pressure!I162</f>
        <v>8.1256230789298584E-5</v>
      </c>
      <c r="E162" s="40">
        <f>Pressure!H162</f>
        <v>81.256230789298584</v>
      </c>
      <c r="F162" s="10">
        <f t="shared" si="18"/>
        <v>4.5</v>
      </c>
      <c r="G162" s="4">
        <f t="shared" si="17"/>
        <v>211371.55178587351</v>
      </c>
      <c r="H162" s="42">
        <f t="shared" si="19"/>
        <v>7.933500020168907</v>
      </c>
      <c r="I162" s="10">
        <f t="shared" si="20"/>
        <v>1.1944290110048723</v>
      </c>
      <c r="J162" s="4">
        <f t="shared" si="21"/>
        <v>484.08779949204268</v>
      </c>
      <c r="K162" s="4">
        <f t="shared" si="22"/>
        <v>108.82779539859779</v>
      </c>
      <c r="L162" s="42">
        <f>Pressure!Q162</f>
        <v>6.7399151538879112E-2</v>
      </c>
      <c r="M162" s="10">
        <f t="shared" si="16"/>
        <v>0.23315310998081437</v>
      </c>
      <c r="N162" s="10">
        <f t="shared" si="23"/>
        <v>2.5992897854448858</v>
      </c>
    </row>
    <row r="163" spans="3:14">
      <c r="C163" s="4">
        <f>Pressure!AB163*1000000</f>
        <v>4988520.7907736693</v>
      </c>
      <c r="D163" s="78">
        <f>Pressure!I163</f>
        <v>8.1256230789298584E-5</v>
      </c>
      <c r="E163" s="40">
        <f>Pressure!H163</f>
        <v>81.256230789298584</v>
      </c>
      <c r="F163" s="10">
        <f t="shared" si="18"/>
        <v>4.5</v>
      </c>
      <c r="G163" s="4">
        <f t="shared" si="17"/>
        <v>211403.02692430871</v>
      </c>
      <c r="H163" s="42">
        <f t="shared" si="19"/>
        <v>7.9344232613266827</v>
      </c>
      <c r="I163" s="10">
        <f t="shared" si="20"/>
        <v>1.1944425779857886</v>
      </c>
      <c r="J163" s="4">
        <f t="shared" si="21"/>
        <v>484.16538390369135</v>
      </c>
      <c r="K163" s="4">
        <f t="shared" si="22"/>
        <v>108.84523715293632</v>
      </c>
      <c r="L163" s="42">
        <f>Pressure!Q163</f>
        <v>6.7880801240043309E-2</v>
      </c>
      <c r="M163" s="10">
        <f t="shared" si="16"/>
        <v>0.23317942821691878</v>
      </c>
      <c r="N163" s="10">
        <f t="shared" si="23"/>
        <v>2.5992897854448858</v>
      </c>
    </row>
    <row r="164" spans="3:14">
      <c r="C164" s="4">
        <f>Pressure!AB164*1000000</f>
        <v>4989261.0242789323</v>
      </c>
      <c r="D164" s="78">
        <f>Pressure!I164</f>
        <v>8.1256230789298584E-5</v>
      </c>
      <c r="E164" s="40">
        <f>Pressure!H164</f>
        <v>81.256230789298584</v>
      </c>
      <c r="F164" s="10">
        <f t="shared" si="18"/>
        <v>4.5</v>
      </c>
      <c r="G164" s="4">
        <f t="shared" si="17"/>
        <v>211434.39646454051</v>
      </c>
      <c r="H164" s="42">
        <f t="shared" si="19"/>
        <v>7.9353433808092211</v>
      </c>
      <c r="I164" s="10">
        <f t="shared" si="20"/>
        <v>1.1944560954308787</v>
      </c>
      <c r="J164" s="4">
        <f t="shared" si="21"/>
        <v>484.24270802182309</v>
      </c>
      <c r="K164" s="4">
        <f t="shared" si="22"/>
        <v>108.86262039068008</v>
      </c>
      <c r="L164" s="42">
        <f>Pressure!Q164</f>
        <v>6.8362428064135242E-2</v>
      </c>
      <c r="M164" s="10">
        <f t="shared" si="16"/>
        <v>0.23320565686950687</v>
      </c>
      <c r="N164" s="10">
        <f t="shared" si="23"/>
        <v>2.5992897854448858</v>
      </c>
    </row>
    <row r="165" spans="3:14">
      <c r="C165" s="4">
        <f>Pressure!AB165*1000000</f>
        <v>4989998.7660370525</v>
      </c>
      <c r="D165" s="78">
        <f>Pressure!I165</f>
        <v>8.1256230789298584E-5</v>
      </c>
      <c r="E165" s="40">
        <f>Pressure!H165</f>
        <v>81.256230789298584</v>
      </c>
      <c r="F165" s="10">
        <f t="shared" si="18"/>
        <v>4.5</v>
      </c>
      <c r="G165" s="4">
        <f t="shared" si="17"/>
        <v>211465.66040976523</v>
      </c>
      <c r="H165" s="42">
        <f t="shared" si="19"/>
        <v>7.9362603789589157</v>
      </c>
      <c r="I165" s="10">
        <f t="shared" si="20"/>
        <v>1.1944695633838149</v>
      </c>
      <c r="J165" s="4">
        <f t="shared" si="21"/>
        <v>484.31977185431646</v>
      </c>
      <c r="K165" s="4">
        <f t="shared" si="22"/>
        <v>108.87994511360021</v>
      </c>
      <c r="L165" s="42">
        <f>Pressure!Q165</f>
        <v>6.8844032092376467E-2</v>
      </c>
      <c r="M165" s="10">
        <f t="shared" si="16"/>
        <v>0.23323179595582982</v>
      </c>
      <c r="N165" s="10">
        <f t="shared" si="23"/>
        <v>2.5992897854448858</v>
      </c>
    </row>
    <row r="166" spans="3:14">
      <c r="C166" s="4">
        <f>Pressure!AB166*1000000</f>
        <v>4990734.0160797872</v>
      </c>
      <c r="D166" s="78">
        <f>Pressure!I166</f>
        <v>8.1256230789298584E-5</v>
      </c>
      <c r="E166" s="40">
        <f>Pressure!H166</f>
        <v>81.256230789298584</v>
      </c>
      <c r="F166" s="10">
        <f t="shared" si="18"/>
        <v>4.5</v>
      </c>
      <c r="G166" s="4">
        <f t="shared" si="17"/>
        <v>211496.81876132864</v>
      </c>
      <c r="H166" s="42">
        <f t="shared" si="19"/>
        <v>7.9371742560629484</v>
      </c>
      <c r="I166" s="10">
        <f t="shared" si="20"/>
        <v>1.1944829818872975</v>
      </c>
      <c r="J166" s="4">
        <f t="shared" si="21"/>
        <v>484.39657540448883</v>
      </c>
      <c r="K166" s="4">
        <f t="shared" si="22"/>
        <v>108.89721132244253</v>
      </c>
      <c r="L166" s="42">
        <f>Pressure!Q166</f>
        <v>6.932561340593961E-2</v>
      </c>
      <c r="M166" s="10">
        <f t="shared" si="16"/>
        <v>0.23325784549149237</v>
      </c>
      <c r="N166" s="10">
        <f t="shared" si="23"/>
        <v>2.5992897854448858</v>
      </c>
    </row>
    <row r="167" spans="3:14">
      <c r="C167" s="4">
        <f>Pressure!AB167*1000000</f>
        <v>4991466.7744024023</v>
      </c>
      <c r="D167" s="78">
        <f>Pressure!I167</f>
        <v>8.1256230789298584E-5</v>
      </c>
      <c r="E167" s="40">
        <f>Pressure!H167</f>
        <v>81.256230789298584</v>
      </c>
      <c r="F167" s="10">
        <f t="shared" si="18"/>
        <v>4.5</v>
      </c>
      <c r="G167" s="4">
        <f t="shared" si="17"/>
        <v>211527.87151903016</v>
      </c>
      <c r="H167" s="42">
        <f t="shared" si="19"/>
        <v>7.9380850123622473</v>
      </c>
      <c r="I167" s="10">
        <f t="shared" si="20"/>
        <v>1.1944963509831874</v>
      </c>
      <c r="J167" s="4">
        <f t="shared" si="21"/>
        <v>484.47311867184573</v>
      </c>
      <c r="K167" s="4">
        <f t="shared" si="22"/>
        <v>108.91441901709584</v>
      </c>
      <c r="L167" s="42">
        <f>Pressure!Q167</f>
        <v>6.9807172085949942E-2</v>
      </c>
      <c r="M167" s="10">
        <f t="shared" si="16"/>
        <v>0.23328380549070729</v>
      </c>
      <c r="N167" s="10">
        <f t="shared" si="23"/>
        <v>2.5992897854448858</v>
      </c>
    </row>
    <row r="168" spans="3:14">
      <c r="C168" s="4">
        <f>Pressure!AB168*1000000</f>
        <v>4992197.0409662146</v>
      </c>
      <c r="D168" s="78">
        <f>Pressure!I168</f>
        <v>8.1256230789298584E-5</v>
      </c>
      <c r="E168" s="40">
        <f>Pressure!H168</f>
        <v>81.256230789298584</v>
      </c>
      <c r="F168" s="10">
        <f t="shared" si="18"/>
        <v>4.5</v>
      </c>
      <c r="G168" s="4">
        <f t="shared" si="17"/>
        <v>211558.81868123042</v>
      </c>
      <c r="H168" s="42">
        <f t="shared" si="19"/>
        <v>7.9389926480546222</v>
      </c>
      <c r="I168" s="10">
        <f t="shared" si="20"/>
        <v>1.1945096707125535</v>
      </c>
      <c r="J168" s="4">
        <f t="shared" si="21"/>
        <v>484.54940165234626</v>
      </c>
      <c r="K168" s="4">
        <f t="shared" si="22"/>
        <v>108.93156819665174</v>
      </c>
      <c r="L168" s="42">
        <f>Pressure!Q168</f>
        <v>7.028870821348665E-2</v>
      </c>
      <c r="M168" s="10">
        <f t="shared" ref="M168:M231" si="24">(J168+J167)/2*(L168-L167)</f>
        <v>0.23330967596638619</v>
      </c>
      <c r="N168" s="10">
        <f t="shared" si="23"/>
        <v>2.5992897854448858</v>
      </c>
    </row>
    <row r="169" spans="3:14">
      <c r="C169" s="4">
        <f>Pressure!AB169*1000000</f>
        <v>4992924.8157023313</v>
      </c>
      <c r="D169" s="78">
        <f>Pressure!I169</f>
        <v>8.1256230789298584E-5</v>
      </c>
      <c r="E169" s="40">
        <f>Pressure!H169</f>
        <v>81.256230789298584</v>
      </c>
      <c r="F169" s="10">
        <f t="shared" si="18"/>
        <v>4.5</v>
      </c>
      <c r="G169" s="4">
        <f t="shared" si="17"/>
        <v>211589.66024500993</v>
      </c>
      <c r="H169" s="42">
        <f t="shared" si="19"/>
        <v>7.9398971632994462</v>
      </c>
      <c r="I169" s="10">
        <f t="shared" si="20"/>
        <v>1.1945229411157434</v>
      </c>
      <c r="J169" s="4">
        <f t="shared" si="21"/>
        <v>484.62542433879412</v>
      </c>
      <c r="K169" s="4">
        <f t="shared" si="22"/>
        <v>108.94865885949241</v>
      </c>
      <c r="L169" s="42">
        <f>Pressure!Q169</f>
        <v>7.077022186958408E-2</v>
      </c>
      <c r="M169" s="10">
        <f t="shared" si="24"/>
        <v>0.2333354569302919</v>
      </c>
      <c r="N169" s="10">
        <f t="shared" si="23"/>
        <v>2.5992897854448858</v>
      </c>
    </row>
    <row r="170" spans="3:14">
      <c r="C170" s="4">
        <f>Pressure!AB170*1000000</f>
        <v>4993650.0985158961</v>
      </c>
      <c r="D170" s="78">
        <f>Pressure!I170</f>
        <v>8.1256230789298584E-5</v>
      </c>
      <c r="E170" s="40">
        <f>Pressure!H170</f>
        <v>81.256230789298584</v>
      </c>
      <c r="F170" s="10">
        <f t="shared" si="18"/>
        <v>4.5</v>
      </c>
      <c r="G170" s="4">
        <f t="shared" si="17"/>
        <v>211620.3962063489</v>
      </c>
      <c r="H170" s="42">
        <f t="shared" si="19"/>
        <v>7.9407985582229124</v>
      </c>
      <c r="I170" s="10">
        <f t="shared" si="20"/>
        <v>1.19453616223246</v>
      </c>
      <c r="J170" s="4">
        <f t="shared" si="21"/>
        <v>484.70118672128046</v>
      </c>
      <c r="K170" s="4">
        <f t="shared" si="22"/>
        <v>108.96569100339025</v>
      </c>
      <c r="L170" s="42">
        <f>Pressure!Q170</f>
        <v>7.1251713135232819E-2</v>
      </c>
      <c r="M170" s="10">
        <f t="shared" si="24"/>
        <v>0.23336114839315947</v>
      </c>
      <c r="N170" s="10">
        <f t="shared" si="23"/>
        <v>2.5992897854448858</v>
      </c>
    </row>
    <row r="171" spans="3:14">
      <c r="C171" s="4">
        <f>Pressure!AB171*1000000</f>
        <v>4994372.8892881405</v>
      </c>
      <c r="D171" s="78">
        <f>Pressure!I171</f>
        <v>8.1256230789298584E-5</v>
      </c>
      <c r="E171" s="40">
        <f>Pressure!H171</f>
        <v>81.256230789298584</v>
      </c>
      <c r="F171" s="10">
        <f t="shared" si="18"/>
        <v>4.5</v>
      </c>
      <c r="G171" s="4">
        <f t="shared" si="17"/>
        <v>211651.02656021412</v>
      </c>
      <c r="H171" s="42">
        <f t="shared" si="19"/>
        <v>7.941696832920611</v>
      </c>
      <c r="I171" s="10">
        <f t="shared" si="20"/>
        <v>1.1945493341018012</v>
      </c>
      <c r="J171" s="4">
        <f t="shared" si="21"/>
        <v>484.77668878739894</v>
      </c>
      <c r="K171" s="4">
        <f t="shared" si="22"/>
        <v>108.98266462555617</v>
      </c>
      <c r="L171" s="42">
        <f>Pressure!Q171</f>
        <v>7.1733182091380701E-2</v>
      </c>
      <c r="M171" s="10">
        <f t="shared" si="24"/>
        <v>0.23338675036481502</v>
      </c>
      <c r="N171" s="10">
        <f t="shared" si="23"/>
        <v>2.5992897854448858</v>
      </c>
    </row>
    <row r="172" spans="3:14">
      <c r="C172" s="4">
        <f>Pressure!AB172*1000000</f>
        <v>4995093.1878796862</v>
      </c>
      <c r="D172" s="78">
        <f>Pressure!I172</f>
        <v>8.1256230789298584E-5</v>
      </c>
      <c r="E172" s="40">
        <f>Pressure!H172</f>
        <v>81.256230789298584</v>
      </c>
      <c r="F172" s="10">
        <f t="shared" si="18"/>
        <v>4.5</v>
      </c>
      <c r="G172" s="4">
        <f t="shared" si="17"/>
        <v>211681.55130069907</v>
      </c>
      <c r="H172" s="42">
        <f t="shared" si="19"/>
        <v>7.9425919874616087</v>
      </c>
      <c r="I172" s="10">
        <f t="shared" si="20"/>
        <v>1.194562456762321</v>
      </c>
      <c r="J172" s="4">
        <f t="shared" si="21"/>
        <v>484.85193052259041</v>
      </c>
      <c r="K172" s="4">
        <f t="shared" si="22"/>
        <v>108.99957972271714</v>
      </c>
      <c r="L172" s="42">
        <f>Pressure!Q172</f>
        <v>7.2214628818933729E-2</v>
      </c>
      <c r="M172" s="10">
        <f t="shared" si="24"/>
        <v>0.23341226285427766</v>
      </c>
      <c r="N172" s="10">
        <f t="shared" si="23"/>
        <v>2.5992897854448858</v>
      </c>
    </row>
    <row r="173" spans="3:14">
      <c r="C173" s="4">
        <f>Pressure!AB173*1000000</f>
        <v>4995810.9941325411</v>
      </c>
      <c r="D173" s="78">
        <f>Pressure!I173</f>
        <v>8.1256230789298584E-5</v>
      </c>
      <c r="E173" s="40">
        <f>Pressure!H173</f>
        <v>81.256230789298584</v>
      </c>
      <c r="F173" s="10">
        <f t="shared" si="18"/>
        <v>4.5</v>
      </c>
      <c r="G173" s="4">
        <f t="shared" si="17"/>
        <v>211711.97042110833</v>
      </c>
      <c r="H173" s="42">
        <f t="shared" si="19"/>
        <v>7.9434840218909857</v>
      </c>
      <c r="I173" s="10">
        <f t="shared" si="20"/>
        <v>1.1945755302520655</v>
      </c>
      <c r="J173" s="4">
        <f t="shared" si="21"/>
        <v>484.92691191035078</v>
      </c>
      <c r="K173" s="4">
        <f t="shared" si="22"/>
        <v>109.01643629116289</v>
      </c>
      <c r="L173" s="42">
        <f>Pressure!Q173</f>
        <v>7.2696053398756871E-2</v>
      </c>
      <c r="M173" s="10">
        <f t="shared" si="24"/>
        <v>0.23343768586982588</v>
      </c>
      <c r="N173" s="10">
        <f t="shared" si="23"/>
        <v>2.5992897854448858</v>
      </c>
    </row>
    <row r="174" spans="3:14">
      <c r="C174" s="4">
        <f>Pressure!AB174*1000000</f>
        <v>4996526.3078723913</v>
      </c>
      <c r="D174" s="78">
        <f>Pressure!I174</f>
        <v>8.1256230789298584E-5</v>
      </c>
      <c r="E174" s="40">
        <f>Pressure!H174</f>
        <v>81.256230789298584</v>
      </c>
      <c r="F174" s="10">
        <f t="shared" si="18"/>
        <v>4.5</v>
      </c>
      <c r="G174" s="4">
        <f t="shared" si="17"/>
        <v>211742.28391405489</v>
      </c>
      <c r="H174" s="42">
        <f t="shared" si="19"/>
        <v>7.9443729362326145</v>
      </c>
      <c r="I174" s="10">
        <f t="shared" si="20"/>
        <v>1.1945885546086172</v>
      </c>
      <c r="J174" s="4">
        <f t="shared" si="21"/>
        <v>485.00163293247175</v>
      </c>
      <c r="K174" s="4">
        <f t="shared" si="22"/>
        <v>109.0332343268</v>
      </c>
      <c r="L174" s="42">
        <f>Pressure!Q174</f>
        <v>7.3177455911674807E-2</v>
      </c>
      <c r="M174" s="10">
        <f t="shared" si="24"/>
        <v>0.23346301941908593</v>
      </c>
      <c r="N174" s="10">
        <f t="shared" si="23"/>
        <v>2.5992897854448858</v>
      </c>
    </row>
    <row r="175" spans="3:14">
      <c r="C175" s="4">
        <f>Pressure!AB175*1000000</f>
        <v>4997239.1289102444</v>
      </c>
      <c r="D175" s="78">
        <f>Pressure!I175</f>
        <v>8.1256230789298584E-5</v>
      </c>
      <c r="E175" s="40">
        <f>Pressure!H175</f>
        <v>81.256230789298584</v>
      </c>
      <c r="F175" s="10">
        <f t="shared" si="18"/>
        <v>4.5</v>
      </c>
      <c r="G175" s="4">
        <f t="shared" si="17"/>
        <v>211772.49177152963</v>
      </c>
      <c r="H175" s="42">
        <f t="shared" si="19"/>
        <v>7.9452587304912656</v>
      </c>
      <c r="I175" s="10">
        <f t="shared" si="20"/>
        <v>1.1946015298691244</v>
      </c>
      <c r="J175" s="4">
        <f t="shared" si="21"/>
        <v>485.07609356921114</v>
      </c>
      <c r="K175" s="4">
        <f t="shared" si="22"/>
        <v>109.04997382519022</v>
      </c>
      <c r="L175" s="42">
        <f>Pressure!Q175</f>
        <v>7.3658836438472639E-2</v>
      </c>
      <c r="M175" s="10">
        <f t="shared" si="24"/>
        <v>0.2334882635091112</v>
      </c>
      <c r="N175" s="10">
        <f t="shared" si="23"/>
        <v>2.5992897854448858</v>
      </c>
    </row>
    <row r="176" spans="3:14">
      <c r="C176" s="4">
        <f>Pressure!AB176*1000000</f>
        <v>4997949.457043916</v>
      </c>
      <c r="D176" s="78">
        <f>Pressure!I176</f>
        <v>8.1256230789298584E-5</v>
      </c>
      <c r="E176" s="40">
        <f>Pressure!H176</f>
        <v>81.256230789298584</v>
      </c>
      <c r="F176" s="10">
        <f t="shared" si="18"/>
        <v>4.5</v>
      </c>
      <c r="G176" s="4">
        <f t="shared" si="17"/>
        <v>211802.59398496439</v>
      </c>
      <c r="H176" s="42">
        <f t="shared" si="19"/>
        <v>7.9461414046544387</v>
      </c>
      <c r="I176" s="10">
        <f t="shared" si="20"/>
        <v>1.1946144560703285</v>
      </c>
      <c r="J176" s="4">
        <f t="shared" si="21"/>
        <v>485.15029379944895</v>
      </c>
      <c r="K176" s="4">
        <f t="shared" si="22"/>
        <v>109.06665478158557</v>
      </c>
      <c r="L176" s="42">
        <f>Pressure!Q176</f>
        <v>7.4140195059896455E-2</v>
      </c>
      <c r="M176" s="10">
        <f t="shared" si="24"/>
        <v>0.23351341814639393</v>
      </c>
      <c r="N176" s="10">
        <f t="shared" si="23"/>
        <v>2.5992897854448858</v>
      </c>
    </row>
    <row r="177" spans="3:14">
      <c r="C177" s="4">
        <f>Pressure!AB177*1000000</f>
        <v>4998657.2920606574</v>
      </c>
      <c r="D177" s="78">
        <f>Pressure!I177</f>
        <v>8.1256230789298584E-5</v>
      </c>
      <c r="E177" s="40">
        <f>Pressure!H177</f>
        <v>81.256230789298584</v>
      </c>
      <c r="F177" s="10">
        <f t="shared" si="18"/>
        <v>4.5</v>
      </c>
      <c r="G177" s="4">
        <f t="shared" si="17"/>
        <v>211832.59054534338</v>
      </c>
      <c r="H177" s="42">
        <f t="shared" si="19"/>
        <v>7.9470209586956111</v>
      </c>
      <c r="I177" s="10">
        <f t="shared" si="20"/>
        <v>1.1946273332486141</v>
      </c>
      <c r="J177" s="4">
        <f t="shared" si="21"/>
        <v>485.22423360096184</v>
      </c>
      <c r="K177" s="4">
        <f t="shared" si="22"/>
        <v>109.08327719099003</v>
      </c>
      <c r="L177" s="42">
        <f>Pressure!Q177</f>
        <v>7.4621531856653989E-2</v>
      </c>
      <c r="M177" s="10">
        <f t="shared" si="24"/>
        <v>0.23353848333700974</v>
      </c>
      <c r="N177" s="10">
        <f t="shared" si="23"/>
        <v>2.5992897854448858</v>
      </c>
    </row>
    <row r="178" spans="3:14">
      <c r="C178" s="4">
        <f>Pressure!AB178*1000000</f>
        <v>4999362.6337370938</v>
      </c>
      <c r="D178" s="78">
        <f>Pressure!I178</f>
        <v>8.1256230789298584E-5</v>
      </c>
      <c r="E178" s="40">
        <f>Pressure!H178</f>
        <v>81.256230789298584</v>
      </c>
      <c r="F178" s="10">
        <f t="shared" si="18"/>
        <v>4.5</v>
      </c>
      <c r="G178" s="4">
        <f t="shared" si="17"/>
        <v>211862.48144320038</v>
      </c>
      <c r="H178" s="42">
        <f t="shared" si="19"/>
        <v>7.9478973925741956</v>
      </c>
      <c r="I178" s="10">
        <f t="shared" si="20"/>
        <v>1.1946401614400068</v>
      </c>
      <c r="J178" s="4">
        <f t="shared" si="21"/>
        <v>485.29791295041599</v>
      </c>
      <c r="K178" s="4">
        <f t="shared" si="22"/>
        <v>109.09984104815791</v>
      </c>
      <c r="L178" s="42">
        <f>Pressure!Q178</f>
        <v>7.5102846909415058E-2</v>
      </c>
      <c r="M178" s="10">
        <f t="shared" si="24"/>
        <v>0.23356345908658133</v>
      </c>
      <c r="N178" s="10">
        <f t="shared" si="23"/>
        <v>2.5992897854448858</v>
      </c>
    </row>
    <row r="179" spans="3:14">
      <c r="C179" s="4">
        <f>Pressure!AB179*1000000</f>
        <v>5000065.4818408126</v>
      </c>
      <c r="D179" s="78">
        <f>Pressure!I179</f>
        <v>8.1256230789298584E-5</v>
      </c>
      <c r="E179" s="40">
        <f>Pressure!H179</f>
        <v>81.256230789298584</v>
      </c>
      <c r="F179" s="10">
        <f t="shared" si="18"/>
        <v>4.5</v>
      </c>
      <c r="G179" s="4">
        <f t="shared" si="17"/>
        <v>211892.26666868624</v>
      </c>
      <c r="H179" s="42">
        <f t="shared" si="19"/>
        <v>7.9487707062374842</v>
      </c>
      <c r="I179" s="10">
        <f t="shared" si="20"/>
        <v>1.1946529406802033</v>
      </c>
      <c r="J179" s="4">
        <f t="shared" si="21"/>
        <v>485.37133182353398</v>
      </c>
      <c r="K179" s="4">
        <f t="shared" si="22"/>
        <v>109.11634634763139</v>
      </c>
      <c r="L179" s="42">
        <f>Pressure!Q179</f>
        <v>7.5584140298812094E-2</v>
      </c>
      <c r="M179" s="10">
        <f t="shared" si="24"/>
        <v>0.23358834540035783</v>
      </c>
      <c r="N179" s="10">
        <f t="shared" si="23"/>
        <v>2.5992897854448858</v>
      </c>
    </row>
    <row r="180" spans="3:14">
      <c r="C180" s="4">
        <f>Pressure!AB180*1000000</f>
        <v>5000765.836132247</v>
      </c>
      <c r="D180" s="78">
        <f>Pressure!I180</f>
        <v>8.1256230789298584E-5</v>
      </c>
      <c r="E180" s="40">
        <f>Pressure!H180</f>
        <v>81.256230789298584</v>
      </c>
      <c r="F180" s="10">
        <f t="shared" si="18"/>
        <v>4.5</v>
      </c>
      <c r="G180" s="4">
        <f t="shared" si="17"/>
        <v>211921.94621164864</v>
      </c>
      <c r="H180" s="42">
        <f t="shared" si="19"/>
        <v>7.9496408996230201</v>
      </c>
      <c r="I180" s="10">
        <f t="shared" si="20"/>
        <v>1.1946656710046066</v>
      </c>
      <c r="J180" s="4">
        <f t="shared" si="21"/>
        <v>485.44449019529083</v>
      </c>
      <c r="K180" s="4">
        <f t="shared" si="22"/>
        <v>109.13279308378463</v>
      </c>
      <c r="L180" s="42">
        <f>Pressure!Q180</f>
        <v>7.60654121054406E-2</v>
      </c>
      <c r="M180" s="10">
        <f t="shared" si="24"/>
        <v>0.23361314228326868</v>
      </c>
      <c r="N180" s="10">
        <f t="shared" si="23"/>
        <v>2.5992897854448858</v>
      </c>
    </row>
    <row r="181" spans="3:14">
      <c r="C181" s="4">
        <f>Pressure!AB181*1000000</f>
        <v>5001463.6963643087</v>
      </c>
      <c r="D181" s="78">
        <f>Pressure!I181</f>
        <v>8.1256230789298584E-5</v>
      </c>
      <c r="E181" s="40">
        <f>Pressure!H181</f>
        <v>81.256230789298584</v>
      </c>
      <c r="F181" s="10">
        <f t="shared" si="18"/>
        <v>4.5</v>
      </c>
      <c r="G181" s="4">
        <f t="shared" si="17"/>
        <v>211951.52006161652</v>
      </c>
      <c r="H181" s="42">
        <f t="shared" si="19"/>
        <v>7.9505079726581256</v>
      </c>
      <c r="I181" s="10">
        <f t="shared" si="20"/>
        <v>1.1946783524483187</v>
      </c>
      <c r="J181" s="4">
        <f t="shared" si="21"/>
        <v>485.51738803987587</v>
      </c>
      <c r="K181" s="4">
        <f t="shared" si="22"/>
        <v>109.14918125081513</v>
      </c>
      <c r="L181" s="42">
        <f>Pressure!Q181</f>
        <v>7.6546662409859523E-2</v>
      </c>
      <c r="M181" s="10">
        <f t="shared" si="24"/>
        <v>0.23363784973992169</v>
      </c>
      <c r="N181" s="10">
        <f t="shared" si="23"/>
        <v>2.5992897854448858</v>
      </c>
    </row>
    <row r="182" spans="3:14">
      <c r="C182" s="4">
        <f>Pressure!AB182*1000000</f>
        <v>5002159.0622843774</v>
      </c>
      <c r="D182" s="78">
        <f>Pressure!I182</f>
        <v>8.1256230789298584E-5</v>
      </c>
      <c r="E182" s="40">
        <f>Pressure!H182</f>
        <v>81.256230789298584</v>
      </c>
      <c r="F182" s="10">
        <f t="shared" si="18"/>
        <v>4.5</v>
      </c>
      <c r="G182" s="4">
        <f t="shared" si="17"/>
        <v>211980.98820788434</v>
      </c>
      <c r="H182" s="42">
        <f t="shared" si="19"/>
        <v>7.9513719252623769</v>
      </c>
      <c r="I182" s="10">
        <f t="shared" si="20"/>
        <v>1.194690985046178</v>
      </c>
      <c r="J182" s="4">
        <f t="shared" si="21"/>
        <v>485.5900253309008</v>
      </c>
      <c r="K182" s="4">
        <f t="shared" si="22"/>
        <v>109.16551084279052</v>
      </c>
      <c r="L182" s="42">
        <f>Pressure!Q182</f>
        <v>7.7027891292591674E-2</v>
      </c>
      <c r="M182" s="10">
        <f t="shared" si="24"/>
        <v>0.23366246777466421</v>
      </c>
      <c r="N182" s="10">
        <f t="shared" si="23"/>
        <v>2.5992897854448858</v>
      </c>
    </row>
    <row r="183" spans="3:14">
      <c r="C183" s="4">
        <f>Pressure!AB183*1000000</f>
        <v>5002851.9336342504</v>
      </c>
      <c r="D183" s="78">
        <f>Pressure!I183</f>
        <v>8.1256230789298584E-5</v>
      </c>
      <c r="E183" s="40">
        <f>Pressure!H183</f>
        <v>81.256230789298584</v>
      </c>
      <c r="F183" s="10">
        <f t="shared" si="18"/>
        <v>4.5</v>
      </c>
      <c r="G183" s="4">
        <f t="shared" si="17"/>
        <v>212010.35063951</v>
      </c>
      <c r="H183" s="42">
        <f t="shared" si="19"/>
        <v>7.9522327573475406</v>
      </c>
      <c r="I183" s="10">
        <f t="shared" si="20"/>
        <v>1.1947035688327587</v>
      </c>
      <c r="J183" s="4">
        <f t="shared" si="21"/>
        <v>485.66240204139382</v>
      </c>
      <c r="K183" s="4">
        <f t="shared" si="22"/>
        <v>109.18178185364728</v>
      </c>
      <c r="L183" s="42">
        <f>Pressure!Q183</f>
        <v>7.7509098834124088E-2</v>
      </c>
      <c r="M183" s="10">
        <f t="shared" si="24"/>
        <v>0.23368699639160545</v>
      </c>
      <c r="N183" s="10">
        <f t="shared" si="23"/>
        <v>2.5992897854448858</v>
      </c>
    </row>
    <row r="184" spans="3:14">
      <c r="C184" s="4">
        <f>Pressure!AB184*1000000</f>
        <v>5003542.3101512026</v>
      </c>
      <c r="D184" s="78">
        <f>Pressure!I184</f>
        <v>8.1256230789298584E-5</v>
      </c>
      <c r="E184" s="40">
        <f>Pressure!H184</f>
        <v>81.256230789298584</v>
      </c>
      <c r="F184" s="10">
        <f t="shared" si="18"/>
        <v>4.5</v>
      </c>
      <c r="G184" s="4">
        <f t="shared" si="17"/>
        <v>212039.60734535978</v>
      </c>
      <c r="H184" s="42">
        <f t="shared" si="19"/>
        <v>7.953090468818905</v>
      </c>
      <c r="I184" s="10">
        <f t="shared" si="20"/>
        <v>1.1947161038423901</v>
      </c>
      <c r="J184" s="4">
        <f t="shared" si="21"/>
        <v>485.73451814391098</v>
      </c>
      <c r="K184" s="4">
        <f t="shared" si="22"/>
        <v>109.19799427721573</v>
      </c>
      <c r="L184" s="42">
        <f>Pressure!Q184</f>
        <v>7.7990285114908312E-2</v>
      </c>
      <c r="M184" s="10">
        <f t="shared" si="24"/>
        <v>0.23371143559460814</v>
      </c>
      <c r="N184" s="10">
        <f t="shared" si="23"/>
        <v>2.5992897854448858</v>
      </c>
    </row>
    <row r="185" spans="3:14">
      <c r="C185" s="4">
        <f>Pressure!AB185*1000000</f>
        <v>5004230.1915686876</v>
      </c>
      <c r="D185" s="78">
        <f>Pressure!I185</f>
        <v>8.1256230789298584E-5</v>
      </c>
      <c r="E185" s="40">
        <f>Pressure!H185</f>
        <v>81.256230789298584</v>
      </c>
      <c r="F185" s="10">
        <f t="shared" si="18"/>
        <v>4.5</v>
      </c>
      <c r="G185" s="4">
        <f t="shared" si="17"/>
        <v>212068.75831413799</v>
      </c>
      <c r="H185" s="42">
        <f t="shared" si="19"/>
        <v>7.9539450595761299</v>
      </c>
      <c r="I185" s="10">
        <f t="shared" si="20"/>
        <v>1.1947285901091698</v>
      </c>
      <c r="J185" s="4">
        <f t="shared" si="21"/>
        <v>485.80637361060894</v>
      </c>
      <c r="K185" s="4">
        <f t="shared" si="22"/>
        <v>109.2141481072364</v>
      </c>
      <c r="L185" s="42">
        <f>Pressure!Q185</f>
        <v>7.8471450215360769E-2</v>
      </c>
      <c r="M185" s="10">
        <f t="shared" si="24"/>
        <v>0.23373578538736686</v>
      </c>
      <c r="N185" s="10">
        <f t="shared" si="23"/>
        <v>2.5992897854448858</v>
      </c>
    </row>
    <row r="186" spans="3:14">
      <c r="C186" s="4">
        <f>Pressure!AB186*1000000</f>
        <v>5004915.5776167717</v>
      </c>
      <c r="D186" s="78">
        <f>Pressure!I186</f>
        <v>8.1256230789298584E-5</v>
      </c>
      <c r="E186" s="40">
        <f>Pressure!H186</f>
        <v>81.256230789298584</v>
      </c>
      <c r="F186" s="10">
        <f t="shared" si="18"/>
        <v>4.5</v>
      </c>
      <c r="G186" s="4">
        <f t="shared" si="17"/>
        <v>212097.80353440542</v>
      </c>
      <c r="H186" s="42">
        <f t="shared" si="19"/>
        <v>7.9547965295138212</v>
      </c>
      <c r="I186" s="10">
        <f t="shared" si="20"/>
        <v>1.1947410276669725</v>
      </c>
      <c r="J186" s="4">
        <f t="shared" si="21"/>
        <v>485.877968413291</v>
      </c>
      <c r="K186" s="4">
        <f t="shared" si="22"/>
        <v>109.2302433373704</v>
      </c>
      <c r="L186" s="42">
        <f>Pressure!Q186</f>
        <v>7.8952594215863051E-2</v>
      </c>
      <c r="M186" s="10">
        <f t="shared" si="24"/>
        <v>0.23376004577340323</v>
      </c>
      <c r="N186" s="10">
        <f t="shared" si="23"/>
        <v>2.5992897854448858</v>
      </c>
    </row>
    <row r="187" spans="3:14">
      <c r="C187" s="4">
        <f>Pressure!AB187*1000000</f>
        <v>5005598.4680221127</v>
      </c>
      <c r="D187" s="78">
        <f>Pressure!I187</f>
        <v>8.1256230789298584E-5</v>
      </c>
      <c r="E187" s="40">
        <f>Pressure!H187</f>
        <v>81.256230789298584</v>
      </c>
      <c r="F187" s="10">
        <f t="shared" si="18"/>
        <v>4.5</v>
      </c>
      <c r="G187" s="4">
        <f t="shared" si="17"/>
        <v>212126.74299457838</v>
      </c>
      <c r="H187" s="42">
        <f t="shared" si="19"/>
        <v>7.9556448785214622</v>
      </c>
      <c r="I187" s="10">
        <f t="shared" si="20"/>
        <v>1.1947534165494489</v>
      </c>
      <c r="J187" s="4">
        <f t="shared" si="21"/>
        <v>485.94930252340373</v>
      </c>
      <c r="K187" s="4">
        <f t="shared" si="22"/>
        <v>109.24627996119862</v>
      </c>
      <c r="L187" s="42">
        <f>Pressure!Q187</f>
        <v>7.9433717196762149E-2</v>
      </c>
      <c r="M187" s="10">
        <f t="shared" si="24"/>
        <v>0.23378421675604921</v>
      </c>
      <c r="N187" s="10">
        <f t="shared" si="23"/>
        <v>2.5992897854448858</v>
      </c>
    </row>
    <row r="188" spans="3:14">
      <c r="C188" s="4">
        <f>Pressure!AB188*1000000</f>
        <v>5006278.8625091277</v>
      </c>
      <c r="D188" s="78">
        <f>Pressure!I188</f>
        <v>8.1256230789298584E-5</v>
      </c>
      <c r="E188" s="40">
        <f>Pressure!H188</f>
        <v>81.256230789298584</v>
      </c>
      <c r="F188" s="10">
        <f t="shared" si="18"/>
        <v>4.5</v>
      </c>
      <c r="G188" s="4">
        <f t="shared" si="17"/>
        <v>212155.57668297828</v>
      </c>
      <c r="H188" s="42">
        <f t="shared" si="19"/>
        <v>7.956490106484905</v>
      </c>
      <c r="I188" s="10">
        <f t="shared" si="20"/>
        <v>1.194765756790048</v>
      </c>
      <c r="J188" s="4">
        <f t="shared" si="21"/>
        <v>486.02037591216009</v>
      </c>
      <c r="K188" s="4">
        <f t="shared" si="22"/>
        <v>109.26225797224947</v>
      </c>
      <c r="L188" s="42">
        <f>Pressure!Q188</f>
        <v>7.9914819238370766E-2</v>
      </c>
      <c r="M188" s="10">
        <f t="shared" si="24"/>
        <v>0.23380829833851008</v>
      </c>
      <c r="N188" s="10">
        <f t="shared" si="23"/>
        <v>2.5992897854448858</v>
      </c>
    </row>
    <row r="189" spans="3:14">
      <c r="C189" s="4">
        <f>Pressure!AB189*1000000</f>
        <v>5006956.7608002555</v>
      </c>
      <c r="D189" s="78">
        <f>Pressure!I189</f>
        <v>8.1256230789298584E-5</v>
      </c>
      <c r="E189" s="40">
        <f>Pressure!H189</f>
        <v>81.256230789298584</v>
      </c>
      <c r="F189" s="10">
        <f t="shared" si="18"/>
        <v>4.5</v>
      </c>
      <c r="G189" s="4">
        <f t="shared" si="17"/>
        <v>212184.30458784263</v>
      </c>
      <c r="H189" s="42">
        <f t="shared" si="19"/>
        <v>7.957332213286664</v>
      </c>
      <c r="I189" s="10">
        <f t="shared" si="20"/>
        <v>1.1947780484220225</v>
      </c>
      <c r="J189" s="4">
        <f t="shared" si="21"/>
        <v>486.09118855056653</v>
      </c>
      <c r="K189" s="4">
        <f t="shared" si="22"/>
        <v>109.27817736400489</v>
      </c>
      <c r="L189" s="42">
        <f>Pressure!Q189</f>
        <v>8.0395900420967545E-2</v>
      </c>
      <c r="M189" s="10">
        <f t="shared" si="24"/>
        <v>0.23383229052386686</v>
      </c>
      <c r="N189" s="10">
        <f t="shared" si="23"/>
        <v>2.5992897854448858</v>
      </c>
    </row>
    <row r="190" spans="3:14">
      <c r="C190" s="4">
        <f>Pressure!AB190*1000000</f>
        <v>5007632.1626159186</v>
      </c>
      <c r="D190" s="78">
        <f>Pressure!I190</f>
        <v>8.1256230789298584E-5</v>
      </c>
      <c r="E190" s="40">
        <f>Pressure!H190</f>
        <v>81.256230789298584</v>
      </c>
      <c r="F190" s="10">
        <f t="shared" si="18"/>
        <v>4.5</v>
      </c>
      <c r="G190" s="4">
        <f t="shared" si="17"/>
        <v>212212.92669732356</v>
      </c>
      <c r="H190" s="42">
        <f t="shared" si="19"/>
        <v>7.9581711988059043</v>
      </c>
      <c r="I190" s="10">
        <f t="shared" si="20"/>
        <v>1.194790291478427</v>
      </c>
      <c r="J190" s="4">
        <f t="shared" si="21"/>
        <v>486.16174040941831</v>
      </c>
      <c r="K190" s="4">
        <f t="shared" si="22"/>
        <v>109.29403812989936</v>
      </c>
      <c r="L190" s="42">
        <f>Pressure!Q190</f>
        <v>8.0876960824797312E-2</v>
      </c>
      <c r="M190" s="10">
        <f t="shared" si="24"/>
        <v>0.23385619331508187</v>
      </c>
      <c r="N190" s="10">
        <f t="shared" si="23"/>
        <v>2.5992897854448858</v>
      </c>
    </row>
    <row r="191" spans="3:14">
      <c r="C191" s="4">
        <f>Pressure!AB191*1000000</f>
        <v>5008305.0676748585</v>
      </c>
      <c r="D191" s="78">
        <f>Pressure!I191</f>
        <v>8.1256230789298584E-5</v>
      </c>
      <c r="E191" s="40">
        <f>Pressure!H191</f>
        <v>81.256230789298584</v>
      </c>
      <c r="F191" s="10">
        <f t="shared" si="18"/>
        <v>4.5</v>
      </c>
      <c r="G191" s="4">
        <f t="shared" si="17"/>
        <v>212241.44299950189</v>
      </c>
      <c r="H191" s="42">
        <f t="shared" si="19"/>
        <v>7.9590070629188148</v>
      </c>
      <c r="I191" s="10">
        <f t="shared" si="20"/>
        <v>1.1948024859921256</v>
      </c>
      <c r="J191" s="4">
        <f t="shared" si="21"/>
        <v>486.23203145933559</v>
      </c>
      <c r="K191" s="4">
        <f t="shared" si="22"/>
        <v>109.309840263328</v>
      </c>
      <c r="L191" s="42">
        <f>Pressure!Q191</f>
        <v>8.1358000530071292E-2</v>
      </c>
      <c r="M191" s="10">
        <f t="shared" si="24"/>
        <v>0.23388000671499987</v>
      </c>
      <c r="N191" s="10">
        <f t="shared" si="23"/>
        <v>2.5992897854448858</v>
      </c>
    </row>
    <row r="192" spans="3:14">
      <c r="C192" s="4">
        <f>Pressure!AB192*1000000</f>
        <v>5008975.4756948715</v>
      </c>
      <c r="D192" s="78">
        <f>Pressure!I192</f>
        <v>8.1256230789298584E-5</v>
      </c>
      <c r="E192" s="40">
        <f>Pressure!H192</f>
        <v>81.256230789298584</v>
      </c>
      <c r="F192" s="10">
        <f t="shared" si="18"/>
        <v>4.5</v>
      </c>
      <c r="G192" s="4">
        <f t="shared" si="17"/>
        <v>212269.85348241843</v>
      </c>
      <c r="H192" s="42">
        <f t="shared" si="19"/>
        <v>7.9598398054995734</v>
      </c>
      <c r="I192" s="10">
        <f t="shared" si="20"/>
        <v>1.1948146319958053</v>
      </c>
      <c r="J192" s="4">
        <f t="shared" si="21"/>
        <v>486.30206167083963</v>
      </c>
      <c r="K192" s="4">
        <f t="shared" si="22"/>
        <v>109.32558375766369</v>
      </c>
      <c r="L192" s="42">
        <f>Pressure!Q192</f>
        <v>8.1839019616967351E-2</v>
      </c>
      <c r="M192" s="10">
        <f t="shared" si="24"/>
        <v>0.23390373072638185</v>
      </c>
      <c r="N192" s="10">
        <f t="shared" si="23"/>
        <v>2.5992897854448858</v>
      </c>
    </row>
    <row r="193" spans="3:14">
      <c r="C193" s="4">
        <f>Pressure!AB193*1000000</f>
        <v>5009643.3863926837</v>
      </c>
      <c r="D193" s="78">
        <f>Pressure!I193</f>
        <v>8.1256230789298584E-5</v>
      </c>
      <c r="E193" s="40">
        <f>Pressure!H193</f>
        <v>81.256230789298584</v>
      </c>
      <c r="F193" s="10">
        <f t="shared" si="18"/>
        <v>4.5</v>
      </c>
      <c r="G193" s="4">
        <f t="shared" si="17"/>
        <v>212298.15813406862</v>
      </c>
      <c r="H193" s="42">
        <f t="shared" si="19"/>
        <v>7.9606694264201501</v>
      </c>
      <c r="I193" s="10">
        <f t="shared" si="20"/>
        <v>1.1948267295219737</v>
      </c>
      <c r="J193" s="4">
        <f t="shared" si="21"/>
        <v>486.37183101433976</v>
      </c>
      <c r="K193" s="4">
        <f t="shared" si="22"/>
        <v>109.34126860625416</v>
      </c>
      <c r="L193" s="42">
        <f>Pressure!Q193</f>
        <v>8.2320018165630171E-2</v>
      </c>
      <c r="M193" s="10">
        <f t="shared" si="24"/>
        <v>0.23392736535189337</v>
      </c>
      <c r="N193" s="10">
        <f t="shared" si="23"/>
        <v>2.5992897854448858</v>
      </c>
    </row>
    <row r="194" spans="3:14">
      <c r="C194" s="4">
        <f>Pressure!AB194*1000000</f>
        <v>5010308.7994843302</v>
      </c>
      <c r="D194" s="78">
        <f>Pressure!I194</f>
        <v>8.1256230789298584E-5</v>
      </c>
      <c r="E194" s="40">
        <f>Pressure!H194</f>
        <v>81.256230789298584</v>
      </c>
      <c r="F194" s="10">
        <f t="shared" si="18"/>
        <v>4.5</v>
      </c>
      <c r="G194" s="4">
        <f t="shared" si="17"/>
        <v>212326.35694241867</v>
      </c>
      <c r="H194" s="42">
        <f t="shared" si="19"/>
        <v>7.9614959255507962</v>
      </c>
      <c r="I194" s="10">
        <f t="shared" si="20"/>
        <v>1.1948387786029664</v>
      </c>
      <c r="J194" s="4">
        <f t="shared" si="21"/>
        <v>486.44133946017348</v>
      </c>
      <c r="K194" s="4">
        <f t="shared" si="22"/>
        <v>109.35689480243099</v>
      </c>
      <c r="L194" s="42">
        <f>Pressure!Q194</f>
        <v>8.2800996256171475E-2</v>
      </c>
      <c r="M194" s="10">
        <f t="shared" si="24"/>
        <v>0.23395091059413153</v>
      </c>
      <c r="N194" s="10">
        <f t="shared" si="23"/>
        <v>2.5992897854448858</v>
      </c>
    </row>
    <row r="195" spans="3:14">
      <c r="C195" s="4">
        <f>Pressure!AB195*1000000</f>
        <v>5010971.7146850787</v>
      </c>
      <c r="D195" s="78">
        <f>Pressure!I195</f>
        <v>8.1256230789298584E-5</v>
      </c>
      <c r="E195" s="40">
        <f>Pressure!H195</f>
        <v>81.256230789298584</v>
      </c>
      <c r="F195" s="10">
        <f t="shared" si="18"/>
        <v>4.5</v>
      </c>
      <c r="G195" s="4">
        <f t="shared" si="17"/>
        <v>212354.44989540215</v>
      </c>
      <c r="H195" s="42">
        <f t="shared" si="19"/>
        <v>7.9623193027599592</v>
      </c>
      <c r="I195" s="10">
        <f t="shared" si="20"/>
        <v>1.1948507792709453</v>
      </c>
      <c r="J195" s="4">
        <f t="shared" si="21"/>
        <v>486.51058697859776</v>
      </c>
      <c r="K195" s="4">
        <f t="shared" si="22"/>
        <v>109.37246233950761</v>
      </c>
      <c r="L195" s="42">
        <f>Pressure!Q195</f>
        <v>8.3281953968670219E-2</v>
      </c>
      <c r="M195" s="10">
        <f t="shared" si="24"/>
        <v>0.23397436645561914</v>
      </c>
      <c r="N195" s="10">
        <f t="shared" si="23"/>
        <v>2.5992897854448858</v>
      </c>
    </row>
    <row r="196" spans="3:14">
      <c r="C196" s="4">
        <f>Pressure!AB196*1000000</f>
        <v>5011632.1317097424</v>
      </c>
      <c r="D196" s="78">
        <f>Pressure!I196</f>
        <v>8.1256230789298584E-5</v>
      </c>
      <c r="E196" s="40">
        <f>Pressure!H196</f>
        <v>81.256230789298584</v>
      </c>
      <c r="F196" s="10">
        <f t="shared" si="18"/>
        <v>4.5</v>
      </c>
      <c r="G196" s="4">
        <f t="shared" si="17"/>
        <v>212382.43698093347</v>
      </c>
      <c r="H196" s="42">
        <f t="shared" si="19"/>
        <v>7.9631395579146487</v>
      </c>
      <c r="I196" s="10">
        <f t="shared" si="20"/>
        <v>1.1948627315579059</v>
      </c>
      <c r="J196" s="4">
        <f t="shared" si="21"/>
        <v>486.57957353982232</v>
      </c>
      <c r="K196" s="4">
        <f t="shared" si="22"/>
        <v>109.38797121078692</v>
      </c>
      <c r="L196" s="42">
        <f>Pressure!Q196</f>
        <v>8.3762891383172763E-2</v>
      </c>
      <c r="M196" s="10">
        <f t="shared" si="24"/>
        <v>0.2339977329387973</v>
      </c>
      <c r="N196" s="10">
        <f t="shared" si="23"/>
        <v>2.5992897854448858</v>
      </c>
    </row>
    <row r="197" spans="3:14">
      <c r="C197" s="4">
        <f>Pressure!AB197*1000000</f>
        <v>5012290.0502734259</v>
      </c>
      <c r="D197" s="78">
        <f>Pressure!I197</f>
        <v>8.1256230789298584E-5</v>
      </c>
      <c r="E197" s="40">
        <f>Pressure!H197</f>
        <v>81.256230789298584</v>
      </c>
      <c r="F197" s="10">
        <f t="shared" si="18"/>
        <v>4.5</v>
      </c>
      <c r="G197" s="4">
        <f t="shared" si="17"/>
        <v>212410.3181869394</v>
      </c>
      <c r="H197" s="42">
        <f t="shared" si="19"/>
        <v>7.9639566908813837</v>
      </c>
      <c r="I197" s="10">
        <f t="shared" si="20"/>
        <v>1.1948746354956892</v>
      </c>
      <c r="J197" s="4">
        <f t="shared" si="21"/>
        <v>486.64829911408708</v>
      </c>
      <c r="K197" s="4">
        <f t="shared" si="22"/>
        <v>109.4034214095785</v>
      </c>
      <c r="L197" s="42">
        <f>Pressure!Q197</f>
        <v>8.4243808579693089E-2</v>
      </c>
      <c r="M197" s="10">
        <f t="shared" si="24"/>
        <v>0.23402101004607906</v>
      </c>
      <c r="N197" s="10">
        <f t="shared" si="23"/>
        <v>2.5992897854448858</v>
      </c>
    </row>
    <row r="198" spans="3:14">
      <c r="C198" s="4">
        <f>Pressure!AB198*1000000</f>
        <v>5012945.4700906724</v>
      </c>
      <c r="D198" s="78">
        <f>Pressure!I198</f>
        <v>8.1256230789298584E-5</v>
      </c>
      <c r="E198" s="40">
        <f>Pressure!H198</f>
        <v>81.256230789298584</v>
      </c>
      <c r="F198" s="10">
        <f t="shared" si="18"/>
        <v>4.5</v>
      </c>
      <c r="G198" s="4">
        <f t="shared" si="17"/>
        <v>212438.09350132284</v>
      </c>
      <c r="H198" s="42">
        <f t="shared" si="19"/>
        <v>7.9647707015251248</v>
      </c>
      <c r="I198" s="10">
        <f t="shared" si="20"/>
        <v>1.194886491115968</v>
      </c>
      <c r="J198" s="4">
        <f t="shared" si="21"/>
        <v>486.71676367157386</v>
      </c>
      <c r="K198" s="4">
        <f t="shared" si="22"/>
        <v>109.41881292917897</v>
      </c>
      <c r="L198" s="42">
        <f>Pressure!Q198</f>
        <v>8.4724705638212924E-2</v>
      </c>
      <c r="M198" s="10">
        <f t="shared" si="24"/>
        <v>0.23404419777979982</v>
      </c>
      <c r="N198" s="10">
        <f t="shared" si="23"/>
        <v>2.5992897854448858</v>
      </c>
    </row>
    <row r="199" spans="3:14">
      <c r="C199" s="4">
        <f>Pressure!AB199*1000000</f>
        <v>5013598.3908759784</v>
      </c>
      <c r="D199" s="78">
        <f>Pressure!I199</f>
        <v>8.1256230789298584E-5</v>
      </c>
      <c r="E199" s="40">
        <f>Pressure!H199</f>
        <v>81.256230789298584</v>
      </c>
      <c r="F199" s="10">
        <f t="shared" si="18"/>
        <v>4.5</v>
      </c>
      <c r="G199" s="4">
        <f t="shared" si="17"/>
        <v>212465.76291198478</v>
      </c>
      <c r="H199" s="42">
        <f t="shared" si="19"/>
        <v>7.9655815897099167</v>
      </c>
      <c r="I199" s="10">
        <f t="shared" si="20"/>
        <v>1.1948982984502556</v>
      </c>
      <c r="J199" s="4">
        <f t="shared" si="21"/>
        <v>486.78496718245879</v>
      </c>
      <c r="K199" s="4">
        <f t="shared" si="22"/>
        <v>109.43414576288359</v>
      </c>
      <c r="L199" s="42">
        <f>Pressure!Q199</f>
        <v>8.5205582638681943E-2</v>
      </c>
      <c r="M199" s="10">
        <f t="shared" si="24"/>
        <v>0.23406729614224236</v>
      </c>
      <c r="N199" s="10">
        <f t="shared" si="23"/>
        <v>2.5992897854448858</v>
      </c>
    </row>
    <row r="200" spans="3:14">
      <c r="C200" s="4">
        <f>Pressure!AB200*1000000</f>
        <v>5014248.8123440528</v>
      </c>
      <c r="D200" s="78">
        <f>Pressure!I200</f>
        <v>8.1256230789298584E-5</v>
      </c>
      <c r="E200" s="40">
        <f>Pressure!H200</f>
        <v>81.256230789298584</v>
      </c>
      <c r="F200" s="10">
        <f t="shared" si="18"/>
        <v>4.5</v>
      </c>
      <c r="G200" s="4">
        <f t="shared" si="17"/>
        <v>212493.32640683517</v>
      </c>
      <c r="H200" s="42">
        <f t="shared" si="19"/>
        <v>7.9663893552991949</v>
      </c>
      <c r="I200" s="10">
        <f t="shared" si="20"/>
        <v>1.194910057529911</v>
      </c>
      <c r="J200" s="4">
        <f t="shared" si="21"/>
        <v>486.85290961694091</v>
      </c>
      <c r="K200" s="4">
        <f t="shared" si="22"/>
        <v>109.44941990399283</v>
      </c>
      <c r="L200" s="42">
        <f>Pressure!Q200</f>
        <v>8.5686439661017966E-2</v>
      </c>
      <c r="M200" s="10">
        <f t="shared" si="24"/>
        <v>0.23409030513566353</v>
      </c>
      <c r="N200" s="10">
        <f t="shared" si="23"/>
        <v>2.5992897854448858</v>
      </c>
    </row>
    <row r="201" spans="3:14">
      <c r="C201" s="4">
        <f>Pressure!AB201*1000000</f>
        <v>5014896.7342104381</v>
      </c>
      <c r="D201" s="78">
        <f>Pressure!I201</f>
        <v>8.1256230789298584E-5</v>
      </c>
      <c r="E201" s="40">
        <f>Pressure!H201</f>
        <v>81.256230789298584</v>
      </c>
      <c r="F201" s="10">
        <f t="shared" si="18"/>
        <v>4.5</v>
      </c>
      <c r="G201" s="4">
        <f t="shared" si="17"/>
        <v>212520.78397381926</v>
      </c>
      <c r="H201" s="42">
        <f t="shared" si="19"/>
        <v>7.9671939981565947</v>
      </c>
      <c r="I201" s="10">
        <f t="shared" si="20"/>
        <v>1.1949217683861504</v>
      </c>
      <c r="J201" s="4">
        <f t="shared" si="21"/>
        <v>486.92059094530583</v>
      </c>
      <c r="K201" s="4">
        <f t="shared" si="22"/>
        <v>109.46463534582659</v>
      </c>
      <c r="L201" s="42">
        <f>Pressure!Q201</f>
        <v>8.6167276785107064E-2</v>
      </c>
      <c r="M201" s="10">
        <f t="shared" si="24"/>
        <v>0.23411322476226215</v>
      </c>
      <c r="N201" s="10">
        <f t="shared" si="23"/>
        <v>2.5992897854448858</v>
      </c>
    </row>
    <row r="202" spans="3:14">
      <c r="C202" s="4">
        <f>Pressure!AB202*1000000</f>
        <v>5015542.1561900936</v>
      </c>
      <c r="D202" s="78">
        <f>Pressure!I202</f>
        <v>8.1256230789298584E-5</v>
      </c>
      <c r="E202" s="40">
        <f>Pressure!H202</f>
        <v>81.256230789298584</v>
      </c>
      <c r="F202" s="10">
        <f t="shared" si="18"/>
        <v>4.5</v>
      </c>
      <c r="G202" s="4">
        <f t="shared" si="17"/>
        <v>212548.1356008577</v>
      </c>
      <c r="H202" s="42">
        <f t="shared" si="19"/>
        <v>7.96799551814415</v>
      </c>
      <c r="I202" s="10">
        <f t="shared" si="20"/>
        <v>1.1949334310500221</v>
      </c>
      <c r="J202" s="4">
        <f t="shared" si="21"/>
        <v>486.9880111377787</v>
      </c>
      <c r="K202" s="4">
        <f t="shared" si="22"/>
        <v>109.47979208169119</v>
      </c>
      <c r="L202" s="42">
        <f>Pressure!Q202</f>
        <v>8.6648094090803776E-2</v>
      </c>
      <c r="M202" s="10">
        <f t="shared" si="24"/>
        <v>0.23413605502422019</v>
      </c>
      <c r="N202" s="10">
        <f t="shared" si="23"/>
        <v>2.5992897854448858</v>
      </c>
    </row>
    <row r="203" spans="3:14">
      <c r="C203" s="4">
        <f>Pressure!AB203*1000000</f>
        <v>5016185.0779989436</v>
      </c>
      <c r="D203" s="78">
        <f>Pressure!I203</f>
        <v>8.1256230789298584E-5</v>
      </c>
      <c r="E203" s="40">
        <f>Pressure!H203</f>
        <v>81.256230789298584</v>
      </c>
      <c r="F203" s="10">
        <f t="shared" si="18"/>
        <v>4.5</v>
      </c>
      <c r="G203" s="4">
        <f t="shared" si="17"/>
        <v>212575.3812759119</v>
      </c>
      <c r="H203" s="42">
        <f t="shared" si="19"/>
        <v>7.9687939151242473</v>
      </c>
      <c r="I203" s="10">
        <f t="shared" si="20"/>
        <v>1.1949450455524337</v>
      </c>
      <c r="J203" s="4">
        <f t="shared" si="21"/>
        <v>487.05517016468508</v>
      </c>
      <c r="K203" s="4">
        <f t="shared" si="22"/>
        <v>109.49489010491548</v>
      </c>
      <c r="L203" s="42">
        <f>Pressure!Q203</f>
        <v>8.7128891657931209E-2</v>
      </c>
      <c r="M203" s="10">
        <f t="shared" si="24"/>
        <v>0.23415879592364505</v>
      </c>
      <c r="N203" s="10">
        <f t="shared" si="23"/>
        <v>2.5992897854448858</v>
      </c>
    </row>
    <row r="204" spans="3:14">
      <c r="C204" s="4">
        <f>Pressure!AB204*1000000</f>
        <v>5016825.4993531536</v>
      </c>
      <c r="D204" s="78">
        <f>Pressure!I204</f>
        <v>8.1256230789298584E-5</v>
      </c>
      <c r="E204" s="40">
        <f>Pressure!H204</f>
        <v>81.256230789298584</v>
      </c>
      <c r="F204" s="10">
        <f t="shared" si="18"/>
        <v>4.5</v>
      </c>
      <c r="G204" s="4">
        <f t="shared" si="17"/>
        <v>212602.52098695358</v>
      </c>
      <c r="H204" s="42">
        <f t="shared" si="19"/>
        <v>7.9695891889587065</v>
      </c>
      <c r="I204" s="10">
        <f t="shared" si="20"/>
        <v>1.1949566119241406</v>
      </c>
      <c r="J204" s="4">
        <f t="shared" si="21"/>
        <v>487.1220679963759</v>
      </c>
      <c r="K204" s="4">
        <f t="shared" si="22"/>
        <v>109.50992940883411</v>
      </c>
      <c r="L204" s="42">
        <f>Pressure!Q204</f>
        <v>8.7609669566281259E-2</v>
      </c>
      <c r="M204" s="10">
        <f t="shared" si="24"/>
        <v>0.23418144746265154</v>
      </c>
      <c r="N204" s="10">
        <f t="shared" si="23"/>
        <v>2.5992897854448858</v>
      </c>
    </row>
    <row r="205" spans="3:14">
      <c r="C205" s="4">
        <f>Pressure!AB205*1000000</f>
        <v>5017463.4199698269</v>
      </c>
      <c r="D205" s="78">
        <f>Pressure!I205</f>
        <v>8.1256230789298584E-5</v>
      </c>
      <c r="E205" s="40">
        <f>Pressure!H205</f>
        <v>81.256230789298584</v>
      </c>
      <c r="F205" s="10">
        <f t="shared" si="18"/>
        <v>4.5</v>
      </c>
      <c r="G205" s="4">
        <f t="shared" si="17"/>
        <v>212629.55472199412</v>
      </c>
      <c r="H205" s="42">
        <f t="shared" si="19"/>
        <v>7.9703813395096574</v>
      </c>
      <c r="I205" s="10">
        <f t="shared" si="20"/>
        <v>1.1949681301957575</v>
      </c>
      <c r="J205" s="4">
        <f t="shared" si="21"/>
        <v>487.18870460330004</v>
      </c>
      <c r="K205" s="4">
        <f t="shared" si="22"/>
        <v>109.52490998680366</v>
      </c>
      <c r="L205" s="42">
        <f>Pressure!Q205</f>
        <v>8.809042789561472E-2</v>
      </c>
      <c r="M205" s="10">
        <f t="shared" si="24"/>
        <v>0.23420400964330695</v>
      </c>
      <c r="N205" s="10">
        <f t="shared" si="23"/>
        <v>2.5992897854448858</v>
      </c>
    </row>
    <row r="206" spans="3:14">
      <c r="C206" s="4">
        <f>Pressure!AB206*1000000</f>
        <v>5018098.8395660147</v>
      </c>
      <c r="D206" s="78">
        <f>Pressure!I206</f>
        <v>8.1256230789298584E-5</v>
      </c>
      <c r="E206" s="40">
        <f>Pressure!H206</f>
        <v>81.256230789298584</v>
      </c>
      <c r="F206" s="10">
        <f t="shared" si="18"/>
        <v>4.5</v>
      </c>
      <c r="G206" s="4">
        <f t="shared" si="17"/>
        <v>212656.48246904282</v>
      </c>
      <c r="H206" s="42">
        <f t="shared" si="19"/>
        <v>7.9711703666383062</v>
      </c>
      <c r="I206" s="10">
        <f t="shared" si="20"/>
        <v>1.194979600397742</v>
      </c>
      <c r="J206" s="4">
        <f t="shared" si="21"/>
        <v>487.25507995590095</v>
      </c>
      <c r="K206" s="4">
        <f t="shared" si="22"/>
        <v>109.53983183217953</v>
      </c>
      <c r="L206" s="42">
        <f>Pressure!Q206</f>
        <v>8.857116672566144E-2</v>
      </c>
      <c r="M206" s="10">
        <f t="shared" si="24"/>
        <v>0.23422648246764433</v>
      </c>
      <c r="N206" s="10">
        <f t="shared" si="23"/>
        <v>2.5992897854448858</v>
      </c>
    </row>
    <row r="207" spans="3:14">
      <c r="C207" s="4">
        <f>Pressure!AB207*1000000</f>
        <v>5018731.7578601688</v>
      </c>
      <c r="D207" s="78">
        <f>Pressure!I207</f>
        <v>8.1256230789298584E-5</v>
      </c>
      <c r="E207" s="40">
        <f>Pressure!H207</f>
        <v>81.256230789298584</v>
      </c>
      <c r="F207" s="10">
        <f t="shared" si="18"/>
        <v>4.5</v>
      </c>
      <c r="G207" s="4">
        <f t="shared" si="17"/>
        <v>212683.30421616824</v>
      </c>
      <c r="H207" s="42">
        <f t="shared" si="19"/>
        <v>7.9719562702067464</v>
      </c>
      <c r="I207" s="10">
        <f t="shared" si="20"/>
        <v>1.1949910225604197</v>
      </c>
      <c r="J207" s="4">
        <f t="shared" si="21"/>
        <v>487.32119402476837</v>
      </c>
      <c r="K207" s="4">
        <f t="shared" si="22"/>
        <v>109.55469493834998</v>
      </c>
      <c r="L207" s="42">
        <f>Pressure!Q207</f>
        <v>8.9051886136120501E-2</v>
      </c>
      <c r="M207" s="10">
        <f t="shared" si="24"/>
        <v>0.2342488659376874</v>
      </c>
      <c r="N207" s="10">
        <f t="shared" si="23"/>
        <v>2.5992897854448858</v>
      </c>
    </row>
    <row r="208" spans="3:14">
      <c r="C208" s="4">
        <f>Pressure!AB208*1000000</f>
        <v>5019362.1745707868</v>
      </c>
      <c r="D208" s="78">
        <f>Pressure!I208</f>
        <v>8.1256230789298584E-5</v>
      </c>
      <c r="E208" s="40">
        <f>Pressure!H208</f>
        <v>81.256230789298584</v>
      </c>
      <c r="F208" s="10">
        <f t="shared" si="18"/>
        <v>4.5</v>
      </c>
      <c r="G208" s="4">
        <f t="shared" si="17"/>
        <v>212710.01995144086</v>
      </c>
      <c r="H208" s="42">
        <f t="shared" si="19"/>
        <v>7.9727390500762629</v>
      </c>
      <c r="I208" s="10">
        <f t="shared" si="20"/>
        <v>1.1950023967139607</v>
      </c>
      <c r="J208" s="4">
        <f t="shared" si="21"/>
        <v>487.38704678049663</v>
      </c>
      <c r="K208" s="4">
        <f t="shared" si="22"/>
        <v>109.56949929870434</v>
      </c>
      <c r="L208" s="42">
        <f>Pressure!Q208</f>
        <v>8.9532586206660325E-2</v>
      </c>
      <c r="M208" s="10">
        <f t="shared" si="24"/>
        <v>0.23427116005541959</v>
      </c>
      <c r="N208" s="10">
        <f t="shared" si="23"/>
        <v>2.5992897854448858</v>
      </c>
    </row>
    <row r="209" spans="3:14">
      <c r="C209" s="4">
        <f>Pressure!AB209*1000000</f>
        <v>5019990.0894174138</v>
      </c>
      <c r="D209" s="78">
        <f>Pressure!I209</f>
        <v>8.1256230789298584E-5</v>
      </c>
      <c r="E209" s="40">
        <f>Pressure!H209</f>
        <v>81.256230789298584</v>
      </c>
      <c r="F209" s="10">
        <f t="shared" si="18"/>
        <v>4.5</v>
      </c>
      <c r="G209" s="4">
        <f t="shared" si="17"/>
        <v>212736.62966297561</v>
      </c>
      <c r="H209" s="42">
        <f t="shared" si="19"/>
        <v>7.9735187061085915</v>
      </c>
      <c r="I209" s="10">
        <f t="shared" si="20"/>
        <v>1.1950137228883986</v>
      </c>
      <c r="J209" s="4">
        <f t="shared" si="21"/>
        <v>487.45263819378994</v>
      </c>
      <c r="K209" s="4">
        <f t="shared" si="22"/>
        <v>109.58424490665661</v>
      </c>
      <c r="L209" s="42">
        <f>Pressure!Q209</f>
        <v>9.0013267016918849E-2</v>
      </c>
      <c r="M209" s="10">
        <f t="shared" si="24"/>
        <v>0.23429336482280225</v>
      </c>
      <c r="N209" s="10">
        <f t="shared" si="23"/>
        <v>2.5992897854448858</v>
      </c>
    </row>
    <row r="210" spans="3:14">
      <c r="C210" s="4">
        <f>Pressure!AB210*1000000</f>
        <v>5020615.5021206457</v>
      </c>
      <c r="D210" s="78">
        <f>Pressure!I210</f>
        <v>8.1256230789298584E-5</v>
      </c>
      <c r="E210" s="40">
        <f>Pressure!H210</f>
        <v>81.256230789298584</v>
      </c>
      <c r="F210" s="10">
        <f t="shared" si="18"/>
        <v>4.5</v>
      </c>
      <c r="G210" s="4">
        <f t="shared" si="17"/>
        <v>212763.13333893198</v>
      </c>
      <c r="H210" s="42">
        <f t="shared" si="19"/>
        <v>7.9742952381659178</v>
      </c>
      <c r="I210" s="10">
        <f t="shared" si="20"/>
        <v>1.195025001113629</v>
      </c>
      <c r="J210" s="4">
        <f t="shared" si="21"/>
        <v>487.51796823546181</v>
      </c>
      <c r="K210" s="4">
        <f t="shared" si="22"/>
        <v>109.59893175564538</v>
      </c>
      <c r="L210" s="42">
        <f>Pressure!Q210</f>
        <v>9.0493928646503657E-2</v>
      </c>
      <c r="M210" s="10">
        <f t="shared" si="24"/>
        <v>0.23431548024178642</v>
      </c>
      <c r="N210" s="10">
        <f t="shared" si="23"/>
        <v>2.5992897854448858</v>
      </c>
    </row>
    <row r="211" spans="3:14">
      <c r="C211" s="4">
        <f>Pressure!AB211*1000000</f>
        <v>5021238.4124013977</v>
      </c>
      <c r="D211" s="78">
        <f>Pressure!I211</f>
        <v>8.1256230789298584E-5</v>
      </c>
      <c r="E211" s="40">
        <f>Pressure!H211</f>
        <v>81.256230789298584</v>
      </c>
      <c r="F211" s="10">
        <f t="shared" si="18"/>
        <v>4.5</v>
      </c>
      <c r="G211" s="4">
        <f t="shared" si="17"/>
        <v>212789.53096748286</v>
      </c>
      <c r="H211" s="42">
        <f t="shared" si="19"/>
        <v>7.9750686461099614</v>
      </c>
      <c r="I211" s="10">
        <f t="shared" si="20"/>
        <v>1.1950362314193983</v>
      </c>
      <c r="J211" s="4">
        <f t="shared" si="21"/>
        <v>487.58303687635942</v>
      </c>
      <c r="K211" s="4">
        <f t="shared" si="22"/>
        <v>109.61355983911682</v>
      </c>
      <c r="L211" s="42">
        <f>Pressure!Q211</f>
        <v>9.0974571174992136E-2</v>
      </c>
      <c r="M211" s="10">
        <f t="shared" si="24"/>
        <v>0.23433750631430131</v>
      </c>
      <c r="N211" s="10">
        <f t="shared" si="23"/>
        <v>2.5992897854448858</v>
      </c>
    </row>
    <row r="212" spans="3:14">
      <c r="C212" s="4">
        <f>Pressure!AB212*1000000</f>
        <v>5021858.8199815648</v>
      </c>
      <c r="D212" s="78">
        <f>Pressure!I212</f>
        <v>8.1256230789298584E-5</v>
      </c>
      <c r="E212" s="40">
        <f>Pressure!H212</f>
        <v>81.256230789298584</v>
      </c>
      <c r="F212" s="10">
        <f t="shared" si="18"/>
        <v>4.5</v>
      </c>
      <c r="G212" s="4">
        <f t="shared" si="17"/>
        <v>212815.82253684278</v>
      </c>
      <c r="H212" s="42">
        <f t="shared" si="19"/>
        <v>7.9758389298028094</v>
      </c>
      <c r="I212" s="10">
        <f t="shared" si="20"/>
        <v>1.1950474138353142</v>
      </c>
      <c r="J212" s="4">
        <f t="shared" si="21"/>
        <v>487.64784408743202</v>
      </c>
      <c r="K212" s="4">
        <f t="shared" si="22"/>
        <v>109.62812915054</v>
      </c>
      <c r="L212" s="42">
        <f>Pressure!Q212</f>
        <v>9.1455194681931598E-2</v>
      </c>
      <c r="M212" s="10">
        <f t="shared" si="24"/>
        <v>0.23435944304223927</v>
      </c>
      <c r="N212" s="10">
        <f t="shared" si="23"/>
        <v>2.5992897854448858</v>
      </c>
    </row>
    <row r="213" spans="3:14">
      <c r="C213" s="4">
        <f>Pressure!AB213*1000000</f>
        <v>5022476.7245841892</v>
      </c>
      <c r="D213" s="78">
        <f>Pressure!I213</f>
        <v>8.1256230789298584E-5</v>
      </c>
      <c r="E213" s="40">
        <f>Pressure!H213</f>
        <v>81.256230789298584</v>
      </c>
      <c r="F213" s="10">
        <f t="shared" si="18"/>
        <v>4.5</v>
      </c>
      <c r="G213" s="4">
        <f t="shared" si="17"/>
        <v>212842.00803527489</v>
      </c>
      <c r="H213" s="42">
        <f t="shared" si="19"/>
        <v>7.9766060891071175</v>
      </c>
      <c r="I213" s="10">
        <f t="shared" si="20"/>
        <v>1.1950585483908505</v>
      </c>
      <c r="J213" s="4">
        <f t="shared" si="21"/>
        <v>487.71238983974905</v>
      </c>
      <c r="K213" s="4">
        <f t="shared" si="22"/>
        <v>109.64263968341106</v>
      </c>
      <c r="L213" s="42">
        <f>Pressure!Q213</f>
        <v>9.1935799246839436E-2</v>
      </c>
      <c r="M213" s="10">
        <f t="shared" si="24"/>
        <v>0.23438129042749012</v>
      </c>
      <c r="N213" s="10">
        <f t="shared" si="23"/>
        <v>2.5992897854448858</v>
      </c>
    </row>
    <row r="214" spans="3:14">
      <c r="C214" s="4">
        <f>Pressure!AB214*1000000</f>
        <v>5023092.1259327205</v>
      </c>
      <c r="D214" s="78">
        <f>Pressure!I214</f>
        <v>8.1256230789298584E-5</v>
      </c>
      <c r="E214" s="40">
        <f>Pressure!H214</f>
        <v>81.256230789298584</v>
      </c>
      <c r="F214" s="10">
        <f t="shared" si="18"/>
        <v>4.5</v>
      </c>
      <c r="G214" s="4">
        <f t="shared" si="17"/>
        <v>212868.08745105952</v>
      </c>
      <c r="H214" s="42">
        <f t="shared" si="19"/>
        <v>7.9773701238851826</v>
      </c>
      <c r="I214" s="10">
        <f t="shared" si="20"/>
        <v>1.1950696351153327</v>
      </c>
      <c r="J214" s="4">
        <f t="shared" si="21"/>
        <v>487.77667410442223</v>
      </c>
      <c r="K214" s="4">
        <f t="shared" si="22"/>
        <v>109.65709143123561</v>
      </c>
      <c r="L214" s="42">
        <f>Pressure!Q214</f>
        <v>9.2416384949203276E-2</v>
      </c>
      <c r="M214" s="10">
        <f t="shared" si="24"/>
        <v>0.23440304847192686</v>
      </c>
      <c r="N214" s="10">
        <f t="shared" si="23"/>
        <v>2.5992897854448858</v>
      </c>
    </row>
    <row r="215" spans="3:14">
      <c r="C215" s="4">
        <f>Pressure!AB215*1000000</f>
        <v>5023705.023752274</v>
      </c>
      <c r="D215" s="78">
        <f>Pressure!I215</f>
        <v>8.1256230789298584E-5</v>
      </c>
      <c r="E215" s="40">
        <f>Pressure!H215</f>
        <v>81.256230789298584</v>
      </c>
      <c r="F215" s="10">
        <f t="shared" si="18"/>
        <v>4.5</v>
      </c>
      <c r="G215" s="4">
        <f t="shared" si="17"/>
        <v>212894.06077254761</v>
      </c>
      <c r="H215" s="42">
        <f t="shared" si="19"/>
        <v>7.9781310340005263</v>
      </c>
      <c r="I215" s="10">
        <f t="shared" si="20"/>
        <v>1.1950806740379611</v>
      </c>
      <c r="J215" s="4">
        <f t="shared" si="21"/>
        <v>487.84069685273721</v>
      </c>
      <c r="K215" s="4">
        <f t="shared" si="22"/>
        <v>109.67148438755839</v>
      </c>
      <c r="L215" s="42">
        <f>Pressure!Q215</f>
        <v>9.2896951868481098E-2</v>
      </c>
      <c r="M215" s="10">
        <f t="shared" si="24"/>
        <v>0.23442471717740521</v>
      </c>
      <c r="N215" s="10">
        <f t="shared" si="23"/>
        <v>2.5992897854448858</v>
      </c>
    </row>
    <row r="216" spans="3:14">
      <c r="C216" s="4">
        <f>Pressure!AB216*1000000</f>
        <v>5024315.4177679792</v>
      </c>
      <c r="D216" s="78">
        <f>Pressure!I216</f>
        <v>8.1256230789298584E-5</v>
      </c>
      <c r="E216" s="40">
        <f>Pressure!H216</f>
        <v>81.256230789298584</v>
      </c>
      <c r="F216" s="10">
        <f t="shared" si="18"/>
        <v>4.5</v>
      </c>
      <c r="G216" s="4">
        <f t="shared" si="17"/>
        <v>212919.92798809081</v>
      </c>
      <c r="H216" s="42">
        <f t="shared" si="19"/>
        <v>7.9788888193158325</v>
      </c>
      <c r="I216" s="10">
        <f t="shared" si="20"/>
        <v>1.1950916651877823</v>
      </c>
      <c r="J216" s="4">
        <f t="shared" si="21"/>
        <v>487.90445805598142</v>
      </c>
      <c r="K216" s="4">
        <f t="shared" si="22"/>
        <v>109.68581854592452</v>
      </c>
      <c r="L216" s="42">
        <f>Pressure!Q216</f>
        <v>9.3377500084101367E-2</v>
      </c>
      <c r="M216" s="10">
        <f t="shared" si="24"/>
        <v>0.23444629654575383</v>
      </c>
      <c r="N216" s="10">
        <f t="shared" si="23"/>
        <v>2.5992897854448858</v>
      </c>
    </row>
    <row r="217" spans="3:14">
      <c r="C217" s="4">
        <f>Pressure!AB217*1000000</f>
        <v>5024923.3077065796</v>
      </c>
      <c r="D217" s="78">
        <f>Pressure!I217</f>
        <v>8.1256230789298584E-5</v>
      </c>
      <c r="E217" s="40">
        <f>Pressure!H217</f>
        <v>81.256230789298584</v>
      </c>
      <c r="F217" s="10">
        <f t="shared" si="18"/>
        <v>4.5</v>
      </c>
      <c r="G217" s="4">
        <f t="shared" si="17"/>
        <v>212945.68908610899</v>
      </c>
      <c r="H217" s="42">
        <f t="shared" si="19"/>
        <v>7.9796434796949187</v>
      </c>
      <c r="I217" s="10">
        <f t="shared" si="20"/>
        <v>1.1951026085937169</v>
      </c>
      <c r="J217" s="4">
        <f t="shared" si="21"/>
        <v>487.96795768561077</v>
      </c>
      <c r="K217" s="4">
        <f t="shared" si="22"/>
        <v>109.70009389991699</v>
      </c>
      <c r="L217" s="42">
        <f>Pressure!Q217</f>
        <v>9.3858029675463195E-2</v>
      </c>
      <c r="M217" s="10">
        <f t="shared" si="24"/>
        <v>0.23446778657879358</v>
      </c>
      <c r="N217" s="10">
        <f t="shared" si="23"/>
        <v>2.5992897854448858</v>
      </c>
    </row>
    <row r="218" spans="3:14">
      <c r="C218" s="4">
        <f>Pressure!AB218*1000000</f>
        <v>5025528.693295585</v>
      </c>
      <c r="D218" s="78">
        <f>Pressure!I218</f>
        <v>8.1256230789298584E-5</v>
      </c>
      <c r="E218" s="40">
        <f>Pressure!H218</f>
        <v>81.256230789298584</v>
      </c>
      <c r="F218" s="10">
        <f t="shared" si="18"/>
        <v>4.5</v>
      </c>
      <c r="G218" s="4">
        <f t="shared" si="17"/>
        <v>212971.34405505468</v>
      </c>
      <c r="H218" s="42">
        <f t="shared" si="19"/>
        <v>7.9803950150017231</v>
      </c>
      <c r="I218" s="10">
        <f t="shared" si="20"/>
        <v>1.1951135042845447</v>
      </c>
      <c r="J218" s="4">
        <f t="shared" si="21"/>
        <v>488.03119571316114</v>
      </c>
      <c r="K218" s="4">
        <f t="shared" si="22"/>
        <v>109.71431044313681</v>
      </c>
      <c r="L218" s="42">
        <f>Pressure!Q218</f>
        <v>9.4338540721936467E-2</v>
      </c>
      <c r="M218" s="10">
        <f t="shared" si="24"/>
        <v>0.23448918727833598</v>
      </c>
      <c r="N218" s="10">
        <f t="shared" si="23"/>
        <v>2.5992897854448858</v>
      </c>
    </row>
    <row r="219" spans="3:14">
      <c r="C219" s="4">
        <f>Pressure!AB219*1000000</f>
        <v>5026131.5742635923</v>
      </c>
      <c r="D219" s="78">
        <f>Pressure!I219</f>
        <v>8.1256230789298584E-5</v>
      </c>
      <c r="E219" s="40">
        <f>Pressure!H219</f>
        <v>81.256230789298584</v>
      </c>
      <c r="F219" s="10">
        <f t="shared" si="18"/>
        <v>4.5</v>
      </c>
      <c r="G219" s="4">
        <f t="shared" si="17"/>
        <v>212996.89288342631</v>
      </c>
      <c r="H219" s="42">
        <f t="shared" si="19"/>
        <v>7.981143425100659</v>
      </c>
      <c r="I219" s="10">
        <f t="shared" si="20"/>
        <v>1.195124352288911</v>
      </c>
      <c r="J219" s="4">
        <f t="shared" si="21"/>
        <v>488.09417211028182</v>
      </c>
      <c r="K219" s="4">
        <f t="shared" si="22"/>
        <v>109.72846816921043</v>
      </c>
      <c r="L219" s="42">
        <f>Pressure!Q219</f>
        <v>9.4819033302861969E-2</v>
      </c>
      <c r="M219" s="10">
        <f t="shared" si="24"/>
        <v>0.23451049864617013</v>
      </c>
      <c r="N219" s="10">
        <f t="shared" si="23"/>
        <v>2.5992897854448858</v>
      </c>
    </row>
    <row r="220" spans="3:14">
      <c r="C220" s="4">
        <f>Pressure!AB220*1000000</f>
        <v>5026731.9503399748</v>
      </c>
      <c r="D220" s="78">
        <f>Pressure!I220</f>
        <v>8.1256230789298584E-5</v>
      </c>
      <c r="E220" s="40">
        <f>Pressure!H220</f>
        <v>81.256230789298584</v>
      </c>
      <c r="F220" s="10">
        <f t="shared" si="18"/>
        <v>4.5</v>
      </c>
      <c r="G220" s="4">
        <f t="shared" ref="G220:G283" si="25">IF(C220/(1+(k-1)/2*N220^2)^(k/(k-1))&lt;patm*1000000,patm*1000000,C220/(1+(k-1)/2*N220^2)^(k/(k-1)))</f>
        <v>213022.3355597553</v>
      </c>
      <c r="H220" s="42">
        <f t="shared" si="19"/>
        <v>7.9818887098562605</v>
      </c>
      <c r="I220" s="10">
        <f t="shared" si="20"/>
        <v>1.1951351526353218</v>
      </c>
      <c r="J220" s="4">
        <f t="shared" si="21"/>
        <v>488.15688684870372</v>
      </c>
      <c r="K220" s="4">
        <f t="shared" si="22"/>
        <v>109.74256707178269</v>
      </c>
      <c r="L220" s="42">
        <f>Pressure!Q220</f>
        <v>9.5299507497551547E-2</v>
      </c>
      <c r="M220" s="10">
        <f t="shared" si="24"/>
        <v>0.23453172068408343</v>
      </c>
      <c r="N220" s="10">
        <f t="shared" si="23"/>
        <v>2.5992897854448858</v>
      </c>
    </row>
    <row r="221" spans="3:14">
      <c r="C221" s="4">
        <f>Pressure!AB221*1000000</f>
        <v>5027329.821255072</v>
      </c>
      <c r="D221" s="78">
        <f>Pressure!I221</f>
        <v>8.1256230789298584E-5</v>
      </c>
      <c r="E221" s="40">
        <f>Pressure!H221</f>
        <v>81.256230789298584</v>
      </c>
      <c r="F221" s="10">
        <f t="shared" ref="F221:F284" si="26">aexit/E221</f>
        <v>4.5</v>
      </c>
      <c r="G221" s="4">
        <f t="shared" si="25"/>
        <v>213047.67207261405</v>
      </c>
      <c r="H221" s="42">
        <f t="shared" ref="H221:H284" si="27">1/(((k+1)/2)^(1/(k-1))*(patm*1000000/C221)^(1/k)*SQRT((k+1)/(k-1)*(1-(patm*1000000/C221)^((k-1)/k))))</f>
        <v>7.9826308691334145</v>
      </c>
      <c r="I221" s="10">
        <f t="shared" ref="I221:I284" si="28">etanoz*SQRT(2*k^2/(k-1)*(2/(k+1))^((k+1)/(k-1))*(1-(G221/C221)^((k-1)/k)))+(G221-patm*1000000)/C221*(aexit/E221)</f>
        <v>1.1951459053521454</v>
      </c>
      <c r="J221" s="4">
        <f t="shared" ref="J221:J284" si="29">I221*D221*C221</f>
        <v>488.21933990025809</v>
      </c>
      <c r="K221" s="4">
        <f t="shared" ref="K221:K284" si="30">J221/4.4482</f>
        <v>109.75660714452096</v>
      </c>
      <c r="L221" s="42">
        <f>Pressure!Q221</f>
        <v>9.5779963385288214E-2</v>
      </c>
      <c r="M221" s="10">
        <f t="shared" si="24"/>
        <v>0.23455285339382465</v>
      </c>
      <c r="N221" s="10">
        <f t="shared" si="23"/>
        <v>2.5992897854448858</v>
      </c>
    </row>
    <row r="222" spans="3:14">
      <c r="C222" s="4">
        <f>Pressure!AB222*1000000</f>
        <v>5027925.1867408529</v>
      </c>
      <c r="D222" s="78">
        <f>Pressure!I222</f>
        <v>8.1256230789298584E-5</v>
      </c>
      <c r="E222" s="40">
        <f>Pressure!H222</f>
        <v>81.256230789298584</v>
      </c>
      <c r="F222" s="10">
        <f t="shared" si="26"/>
        <v>4.5</v>
      </c>
      <c r="G222" s="4">
        <f t="shared" si="25"/>
        <v>213072.90241064393</v>
      </c>
      <c r="H222" s="42">
        <f t="shared" si="27"/>
        <v>7.9833699027981533</v>
      </c>
      <c r="I222" s="10">
        <f t="shared" si="28"/>
        <v>1.195156610467627</v>
      </c>
      <c r="J222" s="4">
        <f t="shared" si="29"/>
        <v>488.28153123694676</v>
      </c>
      <c r="K222" s="4">
        <f t="shared" si="30"/>
        <v>109.77058838113096</v>
      </c>
      <c r="L222" s="42">
        <f>Pressure!Q222</f>
        <v>9.6260401045326308E-2</v>
      </c>
      <c r="M222" s="10">
        <f t="shared" si="24"/>
        <v>0.23457389677715945</v>
      </c>
      <c r="N222" s="10">
        <f t="shared" ref="N222:N285" si="31">N221-1/834*(me-mef)</f>
        <v>2.5992897854448858</v>
      </c>
    </row>
    <row r="223" spans="3:14">
      <c r="C223" s="4">
        <f>Pressure!AB223*1000000</f>
        <v>5028518.0465293936</v>
      </c>
      <c r="D223" s="78">
        <f>Pressure!I223</f>
        <v>8.1256230789298584E-5</v>
      </c>
      <c r="E223" s="40">
        <f>Pressure!H223</f>
        <v>81.256230789298584</v>
      </c>
      <c r="F223" s="10">
        <f t="shared" si="26"/>
        <v>4.5</v>
      </c>
      <c r="G223" s="4">
        <f t="shared" si="25"/>
        <v>213098.02656249094</v>
      </c>
      <c r="H223" s="42">
        <f t="shared" si="27"/>
        <v>7.9841058107158078</v>
      </c>
      <c r="I223" s="10">
        <f t="shared" si="28"/>
        <v>1.1951672680098595</v>
      </c>
      <c r="J223" s="4">
        <f t="shared" si="29"/>
        <v>488.34346083078265</v>
      </c>
      <c r="K223" s="4">
        <f t="shared" si="30"/>
        <v>109.78451077532095</v>
      </c>
      <c r="L223" s="42">
        <f>Pressure!Q223</f>
        <v>9.6740820556891607E-2</v>
      </c>
      <c r="M223" s="10">
        <f t="shared" si="24"/>
        <v>0.23459485083582168</v>
      </c>
      <c r="N223" s="10">
        <f t="shared" si="31"/>
        <v>2.5992897854448858</v>
      </c>
    </row>
    <row r="224" spans="3:14">
      <c r="C224" s="4">
        <f>Pressure!AB224*1000000</f>
        <v>5029108.4003545549</v>
      </c>
      <c r="D224" s="78">
        <f>Pressure!I224</f>
        <v>8.1256230789298584E-5</v>
      </c>
      <c r="E224" s="40">
        <f>Pressure!H224</f>
        <v>81.256230789298584</v>
      </c>
      <c r="F224" s="10">
        <f t="shared" si="26"/>
        <v>4.5</v>
      </c>
      <c r="G224" s="4">
        <f t="shared" si="25"/>
        <v>213123.04451687657</v>
      </c>
      <c r="H224" s="42">
        <f t="shared" si="27"/>
        <v>7.9848385927530714</v>
      </c>
      <c r="I224" s="10">
        <f t="shared" si="28"/>
        <v>1.1951778780068152</v>
      </c>
      <c r="J224" s="4">
        <f t="shared" si="29"/>
        <v>488.40512865396511</v>
      </c>
      <c r="K224" s="4">
        <f t="shared" si="30"/>
        <v>109.79837432084103</v>
      </c>
      <c r="L224" s="42">
        <f>Pressure!Q224</f>
        <v>9.7221221999181484E-2</v>
      </c>
      <c r="M224" s="10">
        <f t="shared" si="24"/>
        <v>0.23461571557153776</v>
      </c>
      <c r="N224" s="10">
        <f t="shared" si="31"/>
        <v>2.5992897854448858</v>
      </c>
    </row>
    <row r="225" spans="3:14">
      <c r="C225" s="4">
        <f>Pressure!AB225*1000000</f>
        <v>5029696.2479508314</v>
      </c>
      <c r="D225" s="78">
        <f>Pressure!I225</f>
        <v>8.1256230789298584E-5</v>
      </c>
      <c r="E225" s="40">
        <f>Pressure!H225</f>
        <v>81.256230789298584</v>
      </c>
      <c r="F225" s="10">
        <f t="shared" si="26"/>
        <v>4.5</v>
      </c>
      <c r="G225" s="4">
        <f t="shared" si="25"/>
        <v>213147.95626254933</v>
      </c>
      <c r="H225" s="42">
        <f t="shared" si="27"/>
        <v>7.985568248776568</v>
      </c>
      <c r="I225" s="10">
        <f t="shared" si="28"/>
        <v>1.1951884404863242</v>
      </c>
      <c r="J225" s="4">
        <f t="shared" si="29"/>
        <v>488.46653467875961</v>
      </c>
      <c r="K225" s="4">
        <f t="shared" si="30"/>
        <v>109.81217901145624</v>
      </c>
      <c r="L225" s="42">
        <f>Pressure!Q225</f>
        <v>9.7701605451365039E-2</v>
      </c>
      <c r="M225" s="10">
        <f t="shared" si="24"/>
        <v>0.23463649098603306</v>
      </c>
      <c r="N225" s="10">
        <f t="shared" si="31"/>
        <v>2.5992897854448858</v>
      </c>
    </row>
    <row r="226" spans="3:14">
      <c r="C226" s="4">
        <f>Pressure!AB226*1000000</f>
        <v>5030281.5890538162</v>
      </c>
      <c r="D226" s="78">
        <f>Pressure!I226</f>
        <v>8.1256230789298584E-5</v>
      </c>
      <c r="E226" s="40">
        <f>Pressure!H226</f>
        <v>81.256230789298584</v>
      </c>
      <c r="F226" s="10">
        <f t="shared" si="26"/>
        <v>4.5</v>
      </c>
      <c r="G226" s="4">
        <f t="shared" si="25"/>
        <v>213172.7617883042</v>
      </c>
      <c r="H226" s="42">
        <f t="shared" si="27"/>
        <v>7.986294778653428</v>
      </c>
      <c r="I226" s="10">
        <f t="shared" si="28"/>
        <v>1.1951989554760842</v>
      </c>
      <c r="J226" s="4">
        <f t="shared" si="29"/>
        <v>488.52767887754658</v>
      </c>
      <c r="K226" s="4">
        <f t="shared" si="30"/>
        <v>109.82592484095737</v>
      </c>
      <c r="L226" s="42">
        <f>Pressure!Q226</f>
        <v>9.8181970992583203E-2</v>
      </c>
      <c r="M226" s="10">
        <f t="shared" si="24"/>
        <v>0.23465717708099476</v>
      </c>
      <c r="N226" s="10">
        <f t="shared" si="31"/>
        <v>2.5992897854448858</v>
      </c>
    </row>
    <row r="227" spans="3:14">
      <c r="C227" s="4">
        <f>Pressure!AB227*1000000</f>
        <v>5030864.4234004598</v>
      </c>
      <c r="D227" s="78">
        <f>Pressure!I227</f>
        <v>8.1256230789298584E-5</v>
      </c>
      <c r="E227" s="40">
        <f>Pressure!H227</f>
        <v>81.256230789298584</v>
      </c>
      <c r="F227" s="10">
        <f t="shared" si="26"/>
        <v>4.5</v>
      </c>
      <c r="G227" s="4">
        <f t="shared" si="25"/>
        <v>213197.46108299369</v>
      </c>
      <c r="H227" s="42">
        <f t="shared" si="27"/>
        <v>7.9870181822516182</v>
      </c>
      <c r="I227" s="10">
        <f t="shared" si="28"/>
        <v>1.1952094230036638</v>
      </c>
      <c r="J227" s="4">
        <f t="shared" si="29"/>
        <v>488.58856122284794</v>
      </c>
      <c r="K227" s="4">
        <f t="shared" si="30"/>
        <v>109.83961180316712</v>
      </c>
      <c r="L227" s="42">
        <f>Pressure!Q227</f>
        <v>9.8662318701948928E-2</v>
      </c>
      <c r="M227" s="10">
        <f t="shared" si="24"/>
        <v>0.2346777738581371</v>
      </c>
      <c r="N227" s="10">
        <f t="shared" si="31"/>
        <v>2.5992897854448858</v>
      </c>
    </row>
    <row r="228" spans="3:14">
      <c r="C228" s="4">
        <f>Pressure!AB228*1000000</f>
        <v>5031444.7507280977</v>
      </c>
      <c r="D228" s="78">
        <f>Pressure!I228</f>
        <v>8.1256230789298584E-5</v>
      </c>
      <c r="E228" s="40">
        <f>Pressure!H228</f>
        <v>81.256230789298584</v>
      </c>
      <c r="F228" s="10">
        <f t="shared" si="26"/>
        <v>4.5</v>
      </c>
      <c r="G228" s="4">
        <f t="shared" si="25"/>
        <v>213222.0541354866</v>
      </c>
      <c r="H228" s="42">
        <f t="shared" si="27"/>
        <v>7.9877384594387326</v>
      </c>
      <c r="I228" s="10">
        <f t="shared" si="28"/>
        <v>1.1952198430964867</v>
      </c>
      <c r="J228" s="4">
        <f t="shared" si="29"/>
        <v>488.64918168722613</v>
      </c>
      <c r="K228" s="4">
        <f t="shared" si="30"/>
        <v>109.85323989191721</v>
      </c>
      <c r="L228" s="42">
        <f>Pressure!Q228</f>
        <v>9.9142648658547244E-2</v>
      </c>
      <c r="M228" s="10">
        <f t="shared" si="24"/>
        <v>0.2346982813191161</v>
      </c>
      <c r="N228" s="10">
        <f t="shared" si="31"/>
        <v>2.5992897854448858</v>
      </c>
    </row>
    <row r="229" spans="3:14">
      <c r="C229" s="4">
        <f>Pressure!AB229*1000000</f>
        <v>5032022.5707759187</v>
      </c>
      <c r="D229" s="78">
        <f>Pressure!I229</f>
        <v>8.1256230789298584E-5</v>
      </c>
      <c r="E229" s="40">
        <f>Pressure!H229</f>
        <v>81.256230789298584</v>
      </c>
      <c r="F229" s="10">
        <f t="shared" si="26"/>
        <v>4.5</v>
      </c>
      <c r="G229" s="4">
        <f t="shared" si="25"/>
        <v>213246.54093473035</v>
      </c>
      <c r="H229" s="42">
        <f t="shared" si="27"/>
        <v>7.9884556100838164</v>
      </c>
      <c r="I229" s="10">
        <f t="shared" si="28"/>
        <v>1.1952302157818568</v>
      </c>
      <c r="J229" s="4">
        <f t="shared" si="29"/>
        <v>488.70954024343689</v>
      </c>
      <c r="K229" s="4">
        <f t="shared" si="30"/>
        <v>109.86680910108289</v>
      </c>
      <c r="L229" s="42">
        <f>Pressure!Q229</f>
        <v>9.9622960941435468E-2</v>
      </c>
      <c r="M229" s="10">
        <f t="shared" si="24"/>
        <v>0.23471869946561652</v>
      </c>
      <c r="N229" s="10">
        <f t="shared" si="31"/>
        <v>2.5992897854448858</v>
      </c>
    </row>
    <row r="230" spans="3:14">
      <c r="C230" s="4">
        <f>Pressure!AB230*1000000</f>
        <v>5032597.8832838908</v>
      </c>
      <c r="D230" s="78">
        <f>Pressure!I230</f>
        <v>8.1256230789298584E-5</v>
      </c>
      <c r="E230" s="40">
        <f>Pressure!H230</f>
        <v>81.256230789298584</v>
      </c>
      <c r="F230" s="10">
        <f t="shared" si="26"/>
        <v>4.5</v>
      </c>
      <c r="G230" s="4">
        <f t="shared" si="25"/>
        <v>213270.9214697053</v>
      </c>
      <c r="H230" s="42">
        <f t="shared" si="27"/>
        <v>7.9891696340560152</v>
      </c>
      <c r="I230" s="10">
        <f t="shared" si="28"/>
        <v>1.1952405410869411</v>
      </c>
      <c r="J230" s="4">
        <f t="shared" si="29"/>
        <v>488.76963686431782</v>
      </c>
      <c r="K230" s="4">
        <f t="shared" si="30"/>
        <v>109.88031942455775</v>
      </c>
      <c r="L230" s="42">
        <f>Pressure!Q230</f>
        <v>0.10010325562964328</v>
      </c>
      <c r="M230" s="10">
        <f t="shared" si="24"/>
        <v>0.23473902829930093</v>
      </c>
      <c r="N230" s="10">
        <f t="shared" si="31"/>
        <v>2.5992897854448858</v>
      </c>
    </row>
    <row r="231" spans="3:14">
      <c r="C231" s="4">
        <f>Pressure!AB231*1000000</f>
        <v>5033170.6879926994</v>
      </c>
      <c r="D231" s="78">
        <f>Pressure!I231</f>
        <v>8.1256230789298584E-5</v>
      </c>
      <c r="E231" s="40">
        <f>Pressure!H231</f>
        <v>81.256230789298584</v>
      </c>
      <c r="F231" s="10">
        <f t="shared" si="26"/>
        <v>4.5</v>
      </c>
      <c r="G231" s="4">
        <f t="shared" si="25"/>
        <v>213295.19572942224</v>
      </c>
      <c r="H231" s="42">
        <f t="shared" si="27"/>
        <v>7.9898805312245367</v>
      </c>
      <c r="I231" s="10">
        <f t="shared" si="28"/>
        <v>1.1952508190387661</v>
      </c>
      <c r="J231" s="4">
        <f t="shared" si="29"/>
        <v>488.82947152278075</v>
      </c>
      <c r="K231" s="4">
        <f t="shared" si="30"/>
        <v>109.89377085625213</v>
      </c>
      <c r="L231" s="42">
        <f>Pressure!Q231</f>
        <v>0.10058353280217289</v>
      </c>
      <c r="M231" s="10">
        <f t="shared" si="24"/>
        <v>0.23475926782180825</v>
      </c>
      <c r="N231" s="10">
        <f t="shared" si="31"/>
        <v>2.5992897854448858</v>
      </c>
    </row>
    <row r="232" spans="3:14">
      <c r="C232" s="4">
        <f>Pressure!AB232*1000000</f>
        <v>5033740.9846443003</v>
      </c>
      <c r="D232" s="78">
        <f>Pressure!I232</f>
        <v>8.1256230789298584E-5</v>
      </c>
      <c r="E232" s="40">
        <f>Pressure!H232</f>
        <v>81.256230789298584</v>
      </c>
      <c r="F232" s="10">
        <f t="shared" si="26"/>
        <v>4.5</v>
      </c>
      <c r="G232" s="4">
        <f t="shared" si="25"/>
        <v>213319.36370294582</v>
      </c>
      <c r="H232" s="42">
        <f t="shared" si="27"/>
        <v>7.9905883014592902</v>
      </c>
      <c r="I232" s="10">
        <f t="shared" si="28"/>
        <v>1.1952610496642304</v>
      </c>
      <c r="J232" s="4">
        <f t="shared" si="29"/>
        <v>488.88904419187094</v>
      </c>
      <c r="K232" s="4">
        <f t="shared" si="30"/>
        <v>109.90716339010632</v>
      </c>
      <c r="L232" s="42">
        <f>Pressure!Q232</f>
        <v>0.10106379253799913</v>
      </c>
      <c r="M232" s="10">
        <f t="shared" ref="M232:M295" si="32">(J232+J231)/2*(L232-L231)</f>
        <v>0.23477941803477295</v>
      </c>
      <c r="N232" s="10">
        <f t="shared" si="31"/>
        <v>2.5992897854448858</v>
      </c>
    </row>
    <row r="233" spans="3:14">
      <c r="C233" s="4">
        <f>Pressure!AB233*1000000</f>
        <v>5034308.7729821345</v>
      </c>
      <c r="D233" s="78">
        <f>Pressure!I233</f>
        <v>8.1256230789298584E-5</v>
      </c>
      <c r="E233" s="40">
        <f>Pressure!H233</f>
        <v>81.256230789298584</v>
      </c>
      <c r="F233" s="10">
        <f t="shared" si="26"/>
        <v>4.5</v>
      </c>
      <c r="G233" s="4">
        <f t="shared" si="25"/>
        <v>213343.42537940358</v>
      </c>
      <c r="H233" s="42">
        <f t="shared" si="27"/>
        <v>7.9912929446311987</v>
      </c>
      <c r="I233" s="10">
        <f t="shared" si="28"/>
        <v>1.1952712329901072</v>
      </c>
      <c r="J233" s="4">
        <f t="shared" si="29"/>
        <v>488.94835484478841</v>
      </c>
      <c r="K233" s="4">
        <f t="shared" si="30"/>
        <v>109.92049702009541</v>
      </c>
      <c r="L233" s="42">
        <f>Pressure!Q233</f>
        <v>0.10154403491606967</v>
      </c>
      <c r="M233" s="10">
        <f t="shared" si="32"/>
        <v>0.23479947893983791</v>
      </c>
      <c r="N233" s="10">
        <f t="shared" si="31"/>
        <v>2.5992897854448858</v>
      </c>
    </row>
    <row r="234" spans="3:14">
      <c r="C234" s="4">
        <f>Pressure!AB234*1000000</f>
        <v>5034874.052750133</v>
      </c>
      <c r="D234" s="78">
        <f>Pressure!I234</f>
        <v>8.1256230789298584E-5</v>
      </c>
      <c r="E234" s="40">
        <f>Pressure!H234</f>
        <v>81.256230789298584</v>
      </c>
      <c r="F234" s="10">
        <f t="shared" si="26"/>
        <v>4.5</v>
      </c>
      <c r="G234" s="4">
        <f t="shared" si="25"/>
        <v>213367.38074794388</v>
      </c>
      <c r="H234" s="42">
        <f t="shared" si="27"/>
        <v>7.9919944606109272</v>
      </c>
      <c r="I234" s="10">
        <f t="shared" si="28"/>
        <v>1.1952813690430271</v>
      </c>
      <c r="J234" s="4">
        <f t="shared" si="29"/>
        <v>489.00740345478431</v>
      </c>
      <c r="K234" s="4">
        <f t="shared" si="30"/>
        <v>109.933771740206</v>
      </c>
      <c r="L234" s="42">
        <f>Pressure!Q234</f>
        <v>0.10202426001530503</v>
      </c>
      <c r="M234" s="10">
        <f t="shared" si="32"/>
        <v>0.23481945053860048</v>
      </c>
      <c r="N234" s="10">
        <f t="shared" si="31"/>
        <v>2.5992897854448858</v>
      </c>
    </row>
    <row r="235" spans="3:14">
      <c r="C235" s="4">
        <f>Pressure!AB235*1000000</f>
        <v>5035436.8236938249</v>
      </c>
      <c r="D235" s="78">
        <f>Pressure!I235</f>
        <v>8.1256230789298584E-5</v>
      </c>
      <c r="E235" s="40">
        <f>Pressure!H235</f>
        <v>81.256230789298584</v>
      </c>
      <c r="F235" s="10">
        <f t="shared" si="26"/>
        <v>4.5</v>
      </c>
      <c r="G235" s="4">
        <f t="shared" si="25"/>
        <v>213391.22979778278</v>
      </c>
      <c r="H235" s="42">
        <f t="shared" si="27"/>
        <v>7.9926928492702736</v>
      </c>
      <c r="I235" s="10">
        <f t="shared" si="28"/>
        <v>1.195291457849498</v>
      </c>
      <c r="J235" s="4">
        <f t="shared" si="29"/>
        <v>489.06618999527689</v>
      </c>
      <c r="K235" s="4">
        <f t="shared" si="30"/>
        <v>109.94698754446223</v>
      </c>
      <c r="L235" s="42">
        <f>Pressure!Q235</f>
        <v>0.10250446791459879</v>
      </c>
      <c r="M235" s="10">
        <f t="shared" si="32"/>
        <v>0.23483933283267691</v>
      </c>
      <c r="N235" s="10">
        <f t="shared" si="31"/>
        <v>2.5992897854448858</v>
      </c>
    </row>
    <row r="236" spans="3:14">
      <c r="C236" s="4">
        <f>Pressure!AB236*1000000</f>
        <v>5035997.0855591651</v>
      </c>
      <c r="D236" s="78">
        <f>Pressure!I236</f>
        <v>8.1256230789298584E-5</v>
      </c>
      <c r="E236" s="40">
        <f>Pressure!H236</f>
        <v>81.256230789298584</v>
      </c>
      <c r="F236" s="10">
        <f t="shared" si="26"/>
        <v>4.5</v>
      </c>
      <c r="G236" s="4">
        <f t="shared" si="25"/>
        <v>213414.97251815436</v>
      </c>
      <c r="H236" s="42">
        <f t="shared" si="27"/>
        <v>7.9933881104807263</v>
      </c>
      <c r="I236" s="10">
        <f t="shared" si="28"/>
        <v>1.1953014994358848</v>
      </c>
      <c r="J236" s="4">
        <f t="shared" si="29"/>
        <v>489.12471443972885</v>
      </c>
      <c r="K236" s="4">
        <f t="shared" si="30"/>
        <v>109.96014442689827</v>
      </c>
      <c r="L236" s="42">
        <f>Pressure!Q236</f>
        <v>0.10298465869281773</v>
      </c>
      <c r="M236" s="10">
        <f t="shared" si="32"/>
        <v>0.23485912582366661</v>
      </c>
      <c r="N236" s="10">
        <f t="shared" si="31"/>
        <v>2.5992897854448858</v>
      </c>
    </row>
    <row r="237" spans="3:14">
      <c r="C237" s="4">
        <f>Pressure!AB237*1000000</f>
        <v>5036554.8380939551</v>
      </c>
      <c r="D237" s="78">
        <f>Pressure!I237</f>
        <v>8.1256230789298584E-5</v>
      </c>
      <c r="E237" s="40">
        <f>Pressure!H237</f>
        <v>81.256230789298584</v>
      </c>
      <c r="F237" s="10">
        <f t="shared" si="26"/>
        <v>4.5</v>
      </c>
      <c r="G237" s="4">
        <f t="shared" si="25"/>
        <v>213438.60889837099</v>
      </c>
      <c r="H237" s="42">
        <f t="shared" si="27"/>
        <v>7.9940802441152012</v>
      </c>
      <c r="I237" s="10">
        <f t="shared" si="28"/>
        <v>1.1953114938284344</v>
      </c>
      <c r="J237" s="4">
        <f t="shared" si="29"/>
        <v>489.18297676179571</v>
      </c>
      <c r="K237" s="4">
        <f t="shared" si="30"/>
        <v>109.97324238159159</v>
      </c>
      <c r="L237" s="42">
        <f>Pressure!Q237</f>
        <v>0.1034648324288019</v>
      </c>
      <c r="M237" s="10">
        <f t="shared" si="32"/>
        <v>0.2348788295131452</v>
      </c>
      <c r="N237" s="10">
        <f t="shared" si="31"/>
        <v>2.5992897854448858</v>
      </c>
    </row>
    <row r="238" spans="3:14">
      <c r="C238" s="4">
        <f>Pressure!AB238*1000000</f>
        <v>5037110.0810462562</v>
      </c>
      <c r="D238" s="78">
        <f>Pressure!I238</f>
        <v>8.1256230789298584E-5</v>
      </c>
      <c r="E238" s="40">
        <f>Pressure!H238</f>
        <v>81.256230789298584</v>
      </c>
      <c r="F238" s="10">
        <f t="shared" si="26"/>
        <v>4.5</v>
      </c>
      <c r="G238" s="4">
        <f t="shared" si="25"/>
        <v>213462.13892775605</v>
      </c>
      <c r="H238" s="42">
        <f t="shared" si="27"/>
        <v>7.9947692500460992</v>
      </c>
      <c r="I238" s="10">
        <f t="shared" si="28"/>
        <v>1.1953214410532476</v>
      </c>
      <c r="J238" s="4">
        <f t="shared" si="29"/>
        <v>489.2409769351604</v>
      </c>
      <c r="K238" s="4">
        <f t="shared" si="30"/>
        <v>109.98628140262588</v>
      </c>
      <c r="L238" s="42">
        <f>Pressure!Q238</f>
        <v>0.10394498920136482</v>
      </c>
      <c r="M238" s="10">
        <f t="shared" si="32"/>
        <v>0.23489844390268719</v>
      </c>
      <c r="N238" s="10">
        <f t="shared" si="31"/>
        <v>2.5992897854448858</v>
      </c>
    </row>
    <row r="239" spans="3:14">
      <c r="C239" s="4">
        <f>Pressure!AB239*1000000</f>
        <v>5037662.8141662031</v>
      </c>
      <c r="D239" s="78">
        <f>Pressure!I239</f>
        <v>8.1256230789298584E-5</v>
      </c>
      <c r="E239" s="40">
        <f>Pressure!H239</f>
        <v>81.256230789298584</v>
      </c>
      <c r="F239" s="10">
        <f t="shared" si="26"/>
        <v>4.5</v>
      </c>
      <c r="G239" s="4">
        <f t="shared" si="25"/>
        <v>213485.56259572075</v>
      </c>
      <c r="H239" s="42">
        <f t="shared" si="27"/>
        <v>7.9954551281475297</v>
      </c>
      <c r="I239" s="10">
        <f t="shared" si="28"/>
        <v>1.1953313411363113</v>
      </c>
      <c r="J239" s="4">
        <f t="shared" si="29"/>
        <v>489.2987149337219</v>
      </c>
      <c r="K239" s="4">
        <f t="shared" si="30"/>
        <v>109.99926148413334</v>
      </c>
      <c r="L239" s="42">
        <f>Pressure!Q239</f>
        <v>0.10442512908929354</v>
      </c>
      <c r="M239" s="10">
        <f t="shared" si="32"/>
        <v>0.23491796899386522</v>
      </c>
      <c r="N239" s="10">
        <f t="shared" si="31"/>
        <v>2.5992897854448858</v>
      </c>
    </row>
    <row r="240" spans="3:14">
      <c r="C240" s="4">
        <f>Pressure!AB240*1000000</f>
        <v>5038213.03720403</v>
      </c>
      <c r="D240" s="78">
        <f>Pressure!I240</f>
        <v>8.1256230789298584E-5</v>
      </c>
      <c r="E240" s="40">
        <f>Pressure!H240</f>
        <v>81.256230789298584</v>
      </c>
      <c r="F240" s="10">
        <f t="shared" si="26"/>
        <v>4.5</v>
      </c>
      <c r="G240" s="4">
        <f t="shared" si="25"/>
        <v>213508.87989168055</v>
      </c>
      <c r="H240" s="42">
        <f t="shared" si="27"/>
        <v>7.9961378782928882</v>
      </c>
      <c r="I240" s="10">
        <f t="shared" si="28"/>
        <v>1.1953411941034651</v>
      </c>
      <c r="J240" s="4">
        <f t="shared" si="29"/>
        <v>489.35619073139009</v>
      </c>
      <c r="K240" s="4">
        <f t="shared" si="30"/>
        <v>110.01218262024867</v>
      </c>
      <c r="L240" s="42">
        <f>Pressure!Q240</f>
        <v>0.10490525217134881</v>
      </c>
      <c r="M240" s="10">
        <f t="shared" si="32"/>
        <v>0.23493740478822556</v>
      </c>
      <c r="N240" s="10">
        <f t="shared" si="31"/>
        <v>2.5992897854448858</v>
      </c>
    </row>
    <row r="241" spans="3:14">
      <c r="C241" s="4">
        <f>Pressure!AB241*1000000</f>
        <v>5038760.7499115998</v>
      </c>
      <c r="D241" s="78">
        <f>Pressure!I241</f>
        <v>8.1256230789298584E-5</v>
      </c>
      <c r="E241" s="40">
        <f>Pressure!H241</f>
        <v>81.256230789298584</v>
      </c>
      <c r="F241" s="10">
        <f t="shared" si="26"/>
        <v>4.5</v>
      </c>
      <c r="G241" s="4">
        <f t="shared" si="25"/>
        <v>213532.09080511992</v>
      </c>
      <c r="H241" s="42">
        <f t="shared" si="27"/>
        <v>7.9968175003567357</v>
      </c>
      <c r="I241" s="10">
        <f t="shared" si="28"/>
        <v>1.1953509999804264</v>
      </c>
      <c r="J241" s="4">
        <f t="shared" si="29"/>
        <v>489.41340430224477</v>
      </c>
      <c r="K241" s="4">
        <f t="shared" si="30"/>
        <v>110.02504480514473</v>
      </c>
      <c r="L241" s="42">
        <f>Pressure!Q241</f>
        <v>0.10538535852626525</v>
      </c>
      <c r="M241" s="10">
        <f t="shared" si="32"/>
        <v>0.23495675128731805</v>
      </c>
      <c r="N241" s="10">
        <f t="shared" si="31"/>
        <v>2.5992897854448858</v>
      </c>
    </row>
    <row r="242" spans="3:14">
      <c r="C242" s="4">
        <f>Pressure!AB242*1000000</f>
        <v>5039305.9520420246</v>
      </c>
      <c r="D242" s="78">
        <f>Pressure!I242</f>
        <v>8.1256230789298584E-5</v>
      </c>
      <c r="E242" s="40">
        <f>Pressure!H242</f>
        <v>81.256230789298584</v>
      </c>
      <c r="F242" s="10">
        <f t="shared" si="26"/>
        <v>4.5</v>
      </c>
      <c r="G242" s="4">
        <f t="shared" si="25"/>
        <v>213555.19532557629</v>
      </c>
      <c r="H242" s="42">
        <f t="shared" si="27"/>
        <v>7.997493994214337</v>
      </c>
      <c r="I242" s="10">
        <f t="shared" si="28"/>
        <v>1.1953607587927852</v>
      </c>
      <c r="J242" s="4">
        <f t="shared" si="29"/>
        <v>489.47035562049621</v>
      </c>
      <c r="K242" s="4">
        <f t="shared" si="30"/>
        <v>110.03784803302375</v>
      </c>
      <c r="L242" s="42">
        <f>Pressure!Q242</f>
        <v>0.1058654482327514</v>
      </c>
      <c r="M242" s="10">
        <f t="shared" si="32"/>
        <v>0.23497600849268399</v>
      </c>
      <c r="N242" s="10">
        <f t="shared" si="31"/>
        <v>2.5992897854448858</v>
      </c>
    </row>
    <row r="243" spans="3:14">
      <c r="C243" s="4">
        <f>Pressure!AB243*1000000</f>
        <v>5039848.6433490599</v>
      </c>
      <c r="D243" s="78">
        <f>Pressure!I243</f>
        <v>8.1256230789298584E-5</v>
      </c>
      <c r="E243" s="40">
        <f>Pressure!H243</f>
        <v>81.256230789298584</v>
      </c>
      <c r="F243" s="10">
        <f t="shared" si="26"/>
        <v>4.5</v>
      </c>
      <c r="G243" s="4">
        <f t="shared" si="25"/>
        <v>213578.19344261431</v>
      </c>
      <c r="H243" s="42">
        <f t="shared" si="27"/>
        <v>7.9981673597409015</v>
      </c>
      <c r="I243" s="10">
        <f t="shared" si="28"/>
        <v>1.1953704705659938</v>
      </c>
      <c r="J243" s="4">
        <f t="shared" si="29"/>
        <v>489.52704466042195</v>
      </c>
      <c r="K243" s="4">
        <f t="shared" si="30"/>
        <v>110.05059229810304</v>
      </c>
      <c r="L243" s="42">
        <f>Pressure!Q243</f>
        <v>0.1063455213694899</v>
      </c>
      <c r="M243" s="10">
        <f t="shared" si="32"/>
        <v>0.23499517640584522</v>
      </c>
      <c r="N243" s="10">
        <f t="shared" si="31"/>
        <v>2.5992897854448858</v>
      </c>
    </row>
    <row r="244" spans="3:14">
      <c r="C244" s="4">
        <f>Pressure!AB244*1000000</f>
        <v>5040388.8235877482</v>
      </c>
      <c r="D244" s="78">
        <f>Pressure!I244</f>
        <v>8.1256230789298584E-5</v>
      </c>
      <c r="E244" s="40">
        <f>Pressure!H244</f>
        <v>81.256230789298584</v>
      </c>
      <c r="F244" s="10">
        <f t="shared" si="26"/>
        <v>4.5</v>
      </c>
      <c r="G244" s="4">
        <f t="shared" si="25"/>
        <v>213601.0851458532</v>
      </c>
      <c r="H244" s="42">
        <f t="shared" si="27"/>
        <v>7.9988375968123906</v>
      </c>
      <c r="I244" s="10">
        <f t="shared" si="28"/>
        <v>1.1953801353253768</v>
      </c>
      <c r="J244" s="4">
        <f t="shared" si="29"/>
        <v>489.58347139643399</v>
      </c>
      <c r="K244" s="4">
        <f t="shared" si="30"/>
        <v>110.06327759463019</v>
      </c>
      <c r="L244" s="42">
        <f>Pressure!Q244</f>
        <v>0.10682557801513758</v>
      </c>
      <c r="M244" s="10">
        <f t="shared" si="32"/>
        <v>0.23501425502831191</v>
      </c>
      <c r="N244" s="10">
        <f t="shared" si="31"/>
        <v>2.5992897854448858</v>
      </c>
    </row>
    <row r="245" spans="3:14">
      <c r="C245" s="4">
        <f>Pressure!AB245*1000000</f>
        <v>5040926.4925140589</v>
      </c>
      <c r="D245" s="78">
        <f>Pressure!I245</f>
        <v>8.1256230789298584E-5</v>
      </c>
      <c r="E245" s="40">
        <f>Pressure!H245</f>
        <v>81.256230789298584</v>
      </c>
      <c r="F245" s="10">
        <f t="shared" si="26"/>
        <v>4.5</v>
      </c>
      <c r="G245" s="4">
        <f t="shared" si="25"/>
        <v>213623.87042495146</v>
      </c>
      <c r="H245" s="42">
        <f t="shared" si="27"/>
        <v>7.9995047053050614</v>
      </c>
      <c r="I245" s="10">
        <f t="shared" si="28"/>
        <v>1.1953897530961268</v>
      </c>
      <c r="J245" s="4">
        <f t="shared" si="29"/>
        <v>489.63963580304113</v>
      </c>
      <c r="K245" s="4">
        <f t="shared" si="30"/>
        <v>110.07590391687449</v>
      </c>
      <c r="L245" s="42">
        <f>Pressure!Q245</f>
        <v>0.10730561824832563</v>
      </c>
      <c r="M245" s="10">
        <f t="shared" si="32"/>
        <v>0.23503324436158304</v>
      </c>
      <c r="N245" s="10">
        <f t="shared" si="31"/>
        <v>2.5992897854448858</v>
      </c>
    </row>
    <row r="246" spans="3:14">
      <c r="C246" s="4">
        <f>Pressure!AB246*1000000</f>
        <v>5041461.6498854589</v>
      </c>
      <c r="D246" s="78">
        <f>Pressure!I246</f>
        <v>8.1256230789298584E-5</v>
      </c>
      <c r="E246" s="40">
        <f>Pressure!H246</f>
        <v>81.256230789298584</v>
      </c>
      <c r="F246" s="10">
        <f t="shared" si="26"/>
        <v>4.5</v>
      </c>
      <c r="G246" s="4">
        <f t="shared" si="25"/>
        <v>213646.54926963101</v>
      </c>
      <c r="H246" s="42">
        <f t="shared" si="27"/>
        <v>8.0001686850961988</v>
      </c>
      <c r="I246" s="10">
        <f t="shared" si="28"/>
        <v>1.1953993239033134</v>
      </c>
      <c r="J246" s="4">
        <f t="shared" si="29"/>
        <v>489.69553785490842</v>
      </c>
      <c r="K246" s="4">
        <f t="shared" si="30"/>
        <v>110.08847125914042</v>
      </c>
      <c r="L246" s="42">
        <f>Pressure!Q246</f>
        <v>0.10778564214765975</v>
      </c>
      <c r="M246" s="10">
        <f t="shared" si="32"/>
        <v>0.23505214440717187</v>
      </c>
      <c r="N246" s="10">
        <f t="shared" si="31"/>
        <v>2.5992897854448858</v>
      </c>
    </row>
    <row r="247" spans="3:14">
      <c r="C247" s="4">
        <f>Pressure!AB247*1000000</f>
        <v>5041994.295460253</v>
      </c>
      <c r="D247" s="78">
        <f>Pressure!I247</f>
        <v>8.1256230789298584E-5</v>
      </c>
      <c r="E247" s="40">
        <f>Pressure!H247</f>
        <v>81.256230789298584</v>
      </c>
      <c r="F247" s="10">
        <f t="shared" si="26"/>
        <v>4.5</v>
      </c>
      <c r="G247" s="4">
        <f t="shared" si="25"/>
        <v>213669.12166964941</v>
      </c>
      <c r="H247" s="42">
        <f t="shared" si="27"/>
        <v>8.0008295360632449</v>
      </c>
      <c r="I247" s="10">
        <f t="shared" si="28"/>
        <v>1.1954088477718721</v>
      </c>
      <c r="J247" s="4">
        <f t="shared" si="29"/>
        <v>489.75117752678892</v>
      </c>
      <c r="K247" s="4">
        <f t="shared" si="30"/>
        <v>110.10097961575219</v>
      </c>
      <c r="L247" s="42">
        <f>Pressure!Q247</f>
        <v>0.10826564979172019</v>
      </c>
      <c r="M247" s="10">
        <f t="shared" si="32"/>
        <v>0.23507095516655654</v>
      </c>
      <c r="N247" s="10">
        <f t="shared" si="31"/>
        <v>2.5992897854448858</v>
      </c>
    </row>
    <row r="248" spans="3:14">
      <c r="C248" s="4">
        <f>Pressure!AB248*1000000</f>
        <v>5042524.4289976563</v>
      </c>
      <c r="D248" s="78">
        <f>Pressure!I248</f>
        <v>8.1256230789298584E-5</v>
      </c>
      <c r="E248" s="40">
        <f>Pressure!H248</f>
        <v>81.256230789298584</v>
      </c>
      <c r="F248" s="10">
        <f t="shared" si="26"/>
        <v>4.5</v>
      </c>
      <c r="G248" s="4">
        <f t="shared" si="25"/>
        <v>213691.58761480261</v>
      </c>
      <c r="H248" s="42">
        <f t="shared" si="27"/>
        <v>8.0014872580839569</v>
      </c>
      <c r="I248" s="10">
        <f t="shared" si="28"/>
        <v>1.1954183247266053</v>
      </c>
      <c r="J248" s="4">
        <f t="shared" si="29"/>
        <v>489.80655479353004</v>
      </c>
      <c r="K248" s="4">
        <f t="shared" si="30"/>
        <v>110.11342898105526</v>
      </c>
      <c r="L248" s="42">
        <f>Pressure!Q248</f>
        <v>0.10874564125906198</v>
      </c>
      <c r="M248" s="10">
        <f t="shared" si="32"/>
        <v>0.2350896766412128</v>
      </c>
      <c r="N248" s="10">
        <f t="shared" si="31"/>
        <v>2.5992897854448858</v>
      </c>
    </row>
    <row r="249" spans="3:14">
      <c r="C249" s="4">
        <f>Pressure!AB249*1000000</f>
        <v>5043052.0502582714</v>
      </c>
      <c r="D249" s="78">
        <f>Pressure!I249</f>
        <v>8.1256230789298584E-5</v>
      </c>
      <c r="E249" s="40">
        <f>Pressure!H249</f>
        <v>81.256230789298584</v>
      </c>
      <c r="F249" s="10">
        <f t="shared" si="26"/>
        <v>4.5</v>
      </c>
      <c r="G249" s="4">
        <f t="shared" si="25"/>
        <v>213713.94709494547</v>
      </c>
      <c r="H249" s="42">
        <f t="shared" si="27"/>
        <v>8.0021418510369493</v>
      </c>
      <c r="I249" s="10">
        <f t="shared" si="28"/>
        <v>1.1954277547921919</v>
      </c>
      <c r="J249" s="4">
        <f t="shared" si="29"/>
        <v>489.86166963012494</v>
      </c>
      <c r="K249" s="4">
        <f t="shared" si="30"/>
        <v>110.12581934942784</v>
      </c>
      <c r="L249" s="42">
        <f>Pressure!Q249</f>
        <v>0.10922561662821498</v>
      </c>
      <c r="M249" s="10">
        <f t="shared" si="32"/>
        <v>0.2351083088326007</v>
      </c>
      <c r="N249" s="10">
        <f t="shared" si="31"/>
        <v>2.5992897854448858</v>
      </c>
    </row>
    <row r="250" spans="3:14">
      <c r="C250" s="4">
        <f>Pressure!AB250*1000000</f>
        <v>5043577.1590038389</v>
      </c>
      <c r="D250" s="78">
        <f>Pressure!I250</f>
        <v>8.1256230789298584E-5</v>
      </c>
      <c r="E250" s="40">
        <f>Pressure!H250</f>
        <v>81.256230789298584</v>
      </c>
      <c r="F250" s="10">
        <f t="shared" si="26"/>
        <v>4.5</v>
      </c>
      <c r="G250" s="4">
        <f t="shared" si="25"/>
        <v>213736.2000999811</v>
      </c>
      <c r="H250" s="42">
        <f t="shared" si="27"/>
        <v>8.0027933148014014</v>
      </c>
      <c r="I250" s="10">
        <f t="shared" si="28"/>
        <v>1.1954371379931821</v>
      </c>
      <c r="J250" s="4">
        <f t="shared" si="29"/>
        <v>489.916522011685</v>
      </c>
      <c r="K250" s="4">
        <f t="shared" si="30"/>
        <v>110.13815071527472</v>
      </c>
      <c r="L250" s="42">
        <f>Pressure!Q250</f>
        <v>0.10970557597768404</v>
      </c>
      <c r="M250" s="10">
        <f t="shared" si="32"/>
        <v>0.23512685174219089</v>
      </c>
      <c r="N250" s="10">
        <f t="shared" si="31"/>
        <v>2.5992897854448858</v>
      </c>
    </row>
    <row r="251" spans="3:14">
      <c r="C251" s="4">
        <f>Pressure!AB251*1000000</f>
        <v>5044099.7549965866</v>
      </c>
      <c r="D251" s="78">
        <f>Pressure!I251</f>
        <v>8.1256230789298584E-5</v>
      </c>
      <c r="E251" s="40">
        <f>Pressure!H251</f>
        <v>81.256230789298584</v>
      </c>
      <c r="F251" s="10">
        <f t="shared" si="26"/>
        <v>4.5</v>
      </c>
      <c r="G251" s="4">
        <f t="shared" si="25"/>
        <v>213758.34661983317</v>
      </c>
      <c r="H251" s="42">
        <f t="shared" si="27"/>
        <v>8.0034416492562475</v>
      </c>
      <c r="I251" s="10">
        <f t="shared" si="28"/>
        <v>1.1954464743539865</v>
      </c>
      <c r="J251" s="4">
        <f t="shared" si="29"/>
        <v>489.97111191337285</v>
      </c>
      <c r="K251" s="4">
        <f t="shared" si="30"/>
        <v>110.15042307301219</v>
      </c>
      <c r="L251" s="42">
        <f>Pressure!Q251</f>
        <v>0.11018551938594917</v>
      </c>
      <c r="M251" s="10">
        <f t="shared" si="32"/>
        <v>0.23514530537142148</v>
      </c>
      <c r="N251" s="10">
        <f t="shared" si="31"/>
        <v>2.5992897854448858</v>
      </c>
    </row>
    <row r="252" spans="3:14">
      <c r="C252" s="4">
        <f>Pressure!AB252*1000000</f>
        <v>5044619.838000644</v>
      </c>
      <c r="D252" s="78">
        <f>Pressure!I252</f>
        <v>8.1256230789298584E-5</v>
      </c>
      <c r="E252" s="40">
        <f>Pressure!H252</f>
        <v>81.256230789298584</v>
      </c>
      <c r="F252" s="10">
        <f t="shared" si="26"/>
        <v>4.5</v>
      </c>
      <c r="G252" s="4">
        <f t="shared" si="25"/>
        <v>213780.38664450601</v>
      </c>
      <c r="H252" s="42">
        <f t="shared" si="27"/>
        <v>8.0040868542819439</v>
      </c>
      <c r="I252" s="10">
        <f t="shared" si="28"/>
        <v>1.1954557638989012</v>
      </c>
      <c r="J252" s="4">
        <f t="shared" si="29"/>
        <v>490.0254393105497</v>
      </c>
      <c r="K252" s="4">
        <f t="shared" si="30"/>
        <v>110.16263641710124</v>
      </c>
      <c r="L252" s="42">
        <f>Pressure!Q252</f>
        <v>0.1106654469314656</v>
      </c>
      <c r="M252" s="10">
        <f t="shared" si="32"/>
        <v>0.23516366972173111</v>
      </c>
      <c r="N252" s="10">
        <f t="shared" si="31"/>
        <v>2.5992897854448858</v>
      </c>
    </row>
    <row r="253" spans="3:14">
      <c r="C253" s="4">
        <f>Pressure!AB253*1000000</f>
        <v>5045137.4077807954</v>
      </c>
      <c r="D253" s="78">
        <f>Pressure!I253</f>
        <v>8.1256230789298584E-5</v>
      </c>
      <c r="E253" s="40">
        <f>Pressure!H253</f>
        <v>81.256230789298584</v>
      </c>
      <c r="F253" s="10">
        <f t="shared" si="26"/>
        <v>4.5</v>
      </c>
      <c r="G253" s="4">
        <f t="shared" si="25"/>
        <v>213802.32016403167</v>
      </c>
      <c r="H253" s="42">
        <f t="shared" si="27"/>
        <v>8.0047289297588957</v>
      </c>
      <c r="I253" s="10">
        <f t="shared" si="28"/>
        <v>1.1954650066520855</v>
      </c>
      <c r="J253" s="4">
        <f t="shared" si="29"/>
        <v>490.0795041786451</v>
      </c>
      <c r="K253" s="4">
        <f t="shared" si="30"/>
        <v>110.17479074201815</v>
      </c>
      <c r="L253" s="42">
        <f>Pressure!Q253</f>
        <v>0.11114535869266393</v>
      </c>
      <c r="M253" s="10">
        <f t="shared" si="32"/>
        <v>0.23518194479454269</v>
      </c>
      <c r="N253" s="10">
        <f t="shared" si="31"/>
        <v>2.5992897854448858</v>
      </c>
    </row>
    <row r="254" spans="3:14">
      <c r="C254" s="4">
        <f>Pressure!AB254*1000000</f>
        <v>5045652.4641029732</v>
      </c>
      <c r="D254" s="78">
        <f>Pressure!I254</f>
        <v>8.1256230789298584E-5</v>
      </c>
      <c r="E254" s="40">
        <f>Pressure!H254</f>
        <v>81.256230789298584</v>
      </c>
      <c r="F254" s="10">
        <f t="shared" si="26"/>
        <v>4.5</v>
      </c>
      <c r="G254" s="4">
        <f t="shared" si="25"/>
        <v>213824.14716849086</v>
      </c>
      <c r="H254" s="42">
        <f t="shared" si="27"/>
        <v>8.0053678755680995</v>
      </c>
      <c r="I254" s="10">
        <f t="shared" si="28"/>
        <v>1.1954742026375715</v>
      </c>
      <c r="J254" s="4">
        <f t="shared" si="29"/>
        <v>490.13330649320852</v>
      </c>
      <c r="K254" s="4">
        <f t="shared" si="30"/>
        <v>110.18688604226621</v>
      </c>
      <c r="L254" s="42">
        <f>Pressure!Q254</f>
        <v>0.11162525474795028</v>
      </c>
      <c r="M254" s="10">
        <f t="shared" si="32"/>
        <v>0.23520013059128536</v>
      </c>
      <c r="N254" s="10">
        <f t="shared" si="31"/>
        <v>2.5992897854448858</v>
      </c>
    </row>
    <row r="255" spans="3:14">
      <c r="C255" s="4">
        <f>Pressure!AB255*1000000</f>
        <v>5046165.0067342361</v>
      </c>
      <c r="D255" s="78">
        <f>Pressure!I255</f>
        <v>8.1256230789298584E-5</v>
      </c>
      <c r="E255" s="40">
        <f>Pressure!H255</f>
        <v>81.256230789298584</v>
      </c>
      <c r="F255" s="10">
        <f t="shared" si="26"/>
        <v>4.5</v>
      </c>
      <c r="G255" s="4">
        <f t="shared" si="25"/>
        <v>213845.86764801198</v>
      </c>
      <c r="H255" s="42">
        <f t="shared" si="27"/>
        <v>8.0060036915910935</v>
      </c>
      <c r="I255" s="10">
        <f t="shared" si="28"/>
        <v>1.1954833518792634</v>
      </c>
      <c r="J255" s="4">
        <f t="shared" si="29"/>
        <v>490.18684622990725</v>
      </c>
      <c r="K255" s="4">
        <f t="shared" si="30"/>
        <v>110.19892231237517</v>
      </c>
      <c r="L255" s="42">
        <f>Pressure!Q255</f>
        <v>0.1121051351757064</v>
      </c>
      <c r="M255" s="10">
        <f t="shared" si="32"/>
        <v>0.23521822711335891</v>
      </c>
      <c r="N255" s="10">
        <f t="shared" si="31"/>
        <v>2.5992897854448858</v>
      </c>
    </row>
    <row r="256" spans="3:14">
      <c r="C256" s="4">
        <f>Pressure!AB256*1000000</f>
        <v>5046675.0354427164</v>
      </c>
      <c r="D256" s="78">
        <f>Pressure!I256</f>
        <v>8.1256230789298584E-5</v>
      </c>
      <c r="E256" s="40">
        <f>Pressure!H256</f>
        <v>81.256230789298584</v>
      </c>
      <c r="F256" s="10">
        <f t="shared" si="26"/>
        <v>4.5</v>
      </c>
      <c r="G256" s="4">
        <f t="shared" si="25"/>
        <v>213867.48159276901</v>
      </c>
      <c r="H256" s="42">
        <f t="shared" si="27"/>
        <v>8.0066363777099134</v>
      </c>
      <c r="I256" s="10">
        <f t="shared" si="28"/>
        <v>1.1954924544009367</v>
      </c>
      <c r="J256" s="4">
        <f t="shared" si="29"/>
        <v>490.24012336452034</v>
      </c>
      <c r="K256" s="4">
        <f t="shared" si="30"/>
        <v>110.21089954689995</v>
      </c>
      <c r="L256" s="42">
        <f>Pressure!Q256</f>
        <v>0.11258500005428981</v>
      </c>
      <c r="M256" s="10">
        <f t="shared" si="32"/>
        <v>0.23523623436216573</v>
      </c>
      <c r="N256" s="10">
        <f t="shared" si="31"/>
        <v>2.5992897854448858</v>
      </c>
    </row>
    <row r="257" spans="3:14">
      <c r="C257" s="4">
        <f>Pressure!AB257*1000000</f>
        <v>5047182.549997637</v>
      </c>
      <c r="D257" s="78">
        <f>Pressure!I257</f>
        <v>8.1256230789298584E-5</v>
      </c>
      <c r="E257" s="40">
        <f>Pressure!H257</f>
        <v>81.256230789298584</v>
      </c>
      <c r="F257" s="10">
        <f t="shared" si="26"/>
        <v>4.5</v>
      </c>
      <c r="G257" s="4">
        <f t="shared" si="25"/>
        <v>213888.98899298208</v>
      </c>
      <c r="H257" s="42">
        <f t="shared" si="27"/>
        <v>8.00726593380708</v>
      </c>
      <c r="I257" s="10">
        <f t="shared" si="28"/>
        <v>1.1955015102262392</v>
      </c>
      <c r="J257" s="4">
        <f t="shared" si="29"/>
        <v>490.29313787294137</v>
      </c>
      <c r="K257" s="4">
        <f t="shared" si="30"/>
        <v>110.22281774042115</v>
      </c>
      <c r="L257" s="42">
        <f>Pressure!Q257</f>
        <v>0.11306484946203392</v>
      </c>
      <c r="M257" s="10">
        <f t="shared" si="32"/>
        <v>0.23525415233909677</v>
      </c>
      <c r="N257" s="10">
        <f t="shared" si="31"/>
        <v>2.5992897854448858</v>
      </c>
    </row>
    <row r="258" spans="3:14">
      <c r="C258" s="4">
        <f>Pressure!AB258*1000000</f>
        <v>5047687.5501692295</v>
      </c>
      <c r="D258" s="78">
        <f>Pressure!I258</f>
        <v>8.1256230789298584E-5</v>
      </c>
      <c r="E258" s="40">
        <f>Pressure!H258</f>
        <v>81.256230789298584</v>
      </c>
      <c r="F258" s="10">
        <f t="shared" si="26"/>
        <v>4.5</v>
      </c>
      <c r="G258" s="4">
        <f t="shared" si="25"/>
        <v>213910.38983891407</v>
      </c>
      <c r="H258" s="42">
        <f t="shared" si="27"/>
        <v>8.0078923597655383</v>
      </c>
      <c r="I258" s="10">
        <f t="shared" si="28"/>
        <v>1.1955105193786886</v>
      </c>
      <c r="J258" s="4">
        <f t="shared" si="29"/>
        <v>490.3458897311686</v>
      </c>
      <c r="K258" s="4">
        <f t="shared" si="30"/>
        <v>110.23467688754296</v>
      </c>
      <c r="L258" s="42">
        <f>Pressure!Q258</f>
        <v>0.11354468347724815</v>
      </c>
      <c r="M258" s="10">
        <f t="shared" si="32"/>
        <v>0.23527198104552963</v>
      </c>
      <c r="N258" s="10">
        <f t="shared" si="31"/>
        <v>2.5992897854448858</v>
      </c>
    </row>
    <row r="259" spans="3:14">
      <c r="C259" s="4">
        <f>Pressure!AB259*1000000</f>
        <v>5048190.0357291037</v>
      </c>
      <c r="D259" s="78">
        <f>Pressure!I259</f>
        <v>8.1256230789298584E-5</v>
      </c>
      <c r="E259" s="40">
        <f>Pressure!H259</f>
        <v>81.256230789298584</v>
      </c>
      <c r="F259" s="10">
        <f t="shared" si="26"/>
        <v>4.5</v>
      </c>
      <c r="G259" s="4">
        <f t="shared" si="25"/>
        <v>213931.68412088632</v>
      </c>
      <c r="H259" s="42">
        <f t="shared" si="27"/>
        <v>8.0085156554690844</v>
      </c>
      <c r="I259" s="10">
        <f t="shared" si="28"/>
        <v>1.1955194818816806</v>
      </c>
      <c r="J259" s="4">
        <f t="shared" si="29"/>
        <v>490.39837891534489</v>
      </c>
      <c r="K259" s="4">
        <f t="shared" si="30"/>
        <v>110.24647698290205</v>
      </c>
      <c r="L259" s="42">
        <f>Pressure!Q259</f>
        <v>0.11402450217821807</v>
      </c>
      <c r="M259" s="10">
        <f t="shared" si="32"/>
        <v>0.23528972048282923</v>
      </c>
      <c r="N259" s="10">
        <f t="shared" si="31"/>
        <v>2.5992897854448858</v>
      </c>
    </row>
    <row r="260" spans="3:14">
      <c r="C260" s="4">
        <f>Pressure!AB260*1000000</f>
        <v>5048690.0064495681</v>
      </c>
      <c r="D260" s="78">
        <f>Pressure!I260</f>
        <v>8.1256230789298584E-5</v>
      </c>
      <c r="E260" s="40">
        <f>Pressure!H260</f>
        <v>81.256230789298584</v>
      </c>
      <c r="F260" s="10">
        <f t="shared" si="26"/>
        <v>4.5</v>
      </c>
      <c r="G260" s="4">
        <f t="shared" si="25"/>
        <v>213952.87182924972</v>
      </c>
      <c r="H260" s="42">
        <f t="shared" si="27"/>
        <v>8.0091358208015428</v>
      </c>
      <c r="I260" s="10">
        <f t="shared" si="28"/>
        <v>1.1955283977584756</v>
      </c>
      <c r="J260" s="4">
        <f t="shared" si="29"/>
        <v>490.45060540168566</v>
      </c>
      <c r="K260" s="4">
        <f t="shared" si="30"/>
        <v>110.25821802115141</v>
      </c>
      <c r="L260" s="42">
        <f>Pressure!Q260</f>
        <v>0.11450430564320552</v>
      </c>
      <c r="M260" s="10">
        <f t="shared" si="32"/>
        <v>0.2353073706523672</v>
      </c>
      <c r="N260" s="10">
        <f t="shared" si="31"/>
        <v>2.5992897854448858</v>
      </c>
    </row>
    <row r="261" spans="3:14">
      <c r="C261" s="4">
        <f>Pressure!AB261*1000000</f>
        <v>5049187.4621043969</v>
      </c>
      <c r="D261" s="78">
        <f>Pressure!I261</f>
        <v>8.1256230789298584E-5</v>
      </c>
      <c r="E261" s="40">
        <f>Pressure!H261</f>
        <v>81.256230789298584</v>
      </c>
      <c r="F261" s="10">
        <f t="shared" si="26"/>
        <v>4.5</v>
      </c>
      <c r="G261" s="4">
        <f t="shared" si="25"/>
        <v>213973.9529544173</v>
      </c>
      <c r="H261" s="42">
        <f t="shared" si="27"/>
        <v>8.0097528556477098</v>
      </c>
      <c r="I261" s="10">
        <f t="shared" si="28"/>
        <v>1.1955372670322137</v>
      </c>
      <c r="J261" s="4">
        <f t="shared" si="29"/>
        <v>490.50256916655951</v>
      </c>
      <c r="K261" s="4">
        <f t="shared" si="30"/>
        <v>110.26989999697844</v>
      </c>
      <c r="L261" s="42">
        <f>Pressure!Q261</f>
        <v>0.11498409395044876</v>
      </c>
      <c r="M261" s="10">
        <f t="shared" si="32"/>
        <v>0.23532493155549025</v>
      </c>
      <c r="N261" s="10">
        <f t="shared" si="31"/>
        <v>2.5992897854448858</v>
      </c>
    </row>
    <row r="262" spans="3:14">
      <c r="C262" s="4">
        <f>Pressure!AB262*1000000</f>
        <v>5049682.4024682604</v>
      </c>
      <c r="D262" s="78">
        <f>Pressure!I262</f>
        <v>8.1256230789298584E-5</v>
      </c>
      <c r="E262" s="40">
        <f>Pressure!H262</f>
        <v>81.256230789298584</v>
      </c>
      <c r="F262" s="10">
        <f t="shared" si="26"/>
        <v>4.5</v>
      </c>
      <c r="G262" s="4">
        <f t="shared" si="25"/>
        <v>213994.92748684008</v>
      </c>
      <c r="H262" s="42">
        <f t="shared" si="27"/>
        <v>8.0103667598926371</v>
      </c>
      <c r="I262" s="10">
        <f t="shared" si="28"/>
        <v>1.195546089725904</v>
      </c>
      <c r="J262" s="4">
        <f t="shared" si="29"/>
        <v>490.55427018642882</v>
      </c>
      <c r="K262" s="4">
        <f t="shared" si="30"/>
        <v>110.28152290509169</v>
      </c>
      <c r="L262" s="42">
        <f>Pressure!Q262</f>
        <v>0.11546386717816257</v>
      </c>
      <c r="M262" s="10">
        <f t="shared" si="32"/>
        <v>0.23534240319354549</v>
      </c>
      <c r="N262" s="10">
        <f t="shared" si="31"/>
        <v>2.5992897854448858</v>
      </c>
    </row>
    <row r="263" spans="3:14">
      <c r="C263" s="4">
        <f>Pressure!AB263*1000000</f>
        <v>5050174.8273166222</v>
      </c>
      <c r="D263" s="78">
        <f>Pressure!I263</f>
        <v>8.1256230789298584E-5</v>
      </c>
      <c r="E263" s="40">
        <f>Pressure!H263</f>
        <v>81.256230789298584</v>
      </c>
      <c r="F263" s="10">
        <f t="shared" si="26"/>
        <v>4.5</v>
      </c>
      <c r="G263" s="4">
        <f t="shared" si="25"/>
        <v>214015.79541700266</v>
      </c>
      <c r="H263" s="42">
        <f t="shared" si="27"/>
        <v>8.0109775334215261</v>
      </c>
      <c r="I263" s="10">
        <f t="shared" si="28"/>
        <v>1.1955548658624229</v>
      </c>
      <c r="J263" s="4">
        <f t="shared" si="29"/>
        <v>490.60570843783876</v>
      </c>
      <c r="K263" s="4">
        <f t="shared" si="30"/>
        <v>110.29308674021824</v>
      </c>
      <c r="L263" s="42">
        <f>Pressure!Q263</f>
        <v>0.11594362540453836</v>
      </c>
      <c r="M263" s="10">
        <f t="shared" si="32"/>
        <v>0.23535978556784326</v>
      </c>
      <c r="N263" s="10">
        <f t="shared" si="31"/>
        <v>2.5992897854448858</v>
      </c>
    </row>
    <row r="264" spans="3:14">
      <c r="C264" s="4">
        <f>Pressure!AB264*1000000</f>
        <v>5050664.7364266794</v>
      </c>
      <c r="D264" s="78">
        <f>Pressure!I264</f>
        <v>8.1256230789298584E-5</v>
      </c>
      <c r="E264" s="40">
        <f>Pressure!H264</f>
        <v>81.256230789298584</v>
      </c>
      <c r="F264" s="10">
        <f t="shared" si="26"/>
        <v>4.5</v>
      </c>
      <c r="G264" s="4">
        <f t="shared" si="25"/>
        <v>214036.55673546312</v>
      </c>
      <c r="H264" s="42">
        <f t="shared" si="27"/>
        <v>8.0115851761208852</v>
      </c>
      <c r="I264" s="10">
        <f t="shared" si="28"/>
        <v>1.1955635954645312</v>
      </c>
      <c r="J264" s="4">
        <f t="shared" si="29"/>
        <v>490.65688389751534</v>
      </c>
      <c r="K264" s="4">
        <f t="shared" si="30"/>
        <v>110.30459149712588</v>
      </c>
      <c r="L264" s="42">
        <f>Pressure!Q264</f>
        <v>0.11642336870774438</v>
      </c>
      <c r="M264" s="10">
        <f t="shared" si="32"/>
        <v>0.23537707867973276</v>
      </c>
      <c r="N264" s="10">
        <f t="shared" si="31"/>
        <v>2.5992897854448858</v>
      </c>
    </row>
    <row r="265" spans="3:14">
      <c r="C265" s="4">
        <f>Pressure!AB265*1000000</f>
        <v>5051152.129576399</v>
      </c>
      <c r="D265" s="78">
        <f>Pressure!I265</f>
        <v>8.1256230789298584E-5</v>
      </c>
      <c r="E265" s="40">
        <f>Pressure!H265</f>
        <v>81.256230789298584</v>
      </c>
      <c r="F265" s="10">
        <f t="shared" si="26"/>
        <v>4.5</v>
      </c>
      <c r="G265" s="4">
        <f t="shared" si="25"/>
        <v>214057.21143281218</v>
      </c>
      <c r="H265" s="42">
        <f t="shared" si="27"/>
        <v>8.0121896878773136</v>
      </c>
      <c r="I265" s="10">
        <f t="shared" si="28"/>
        <v>1.195572278554857</v>
      </c>
      <c r="J265" s="4">
        <f t="shared" si="29"/>
        <v>490.70779654226521</v>
      </c>
      <c r="K265" s="4">
        <f t="shared" si="30"/>
        <v>110.31603717060052</v>
      </c>
      <c r="L265" s="42">
        <f>Pressure!Q265</f>
        <v>0.11690309716592574</v>
      </c>
      <c r="M265" s="10">
        <f t="shared" si="32"/>
        <v>0.23539428253051273</v>
      </c>
      <c r="N265" s="10">
        <f t="shared" si="31"/>
        <v>2.5992897854448858</v>
      </c>
    </row>
    <row r="266" spans="3:14">
      <c r="C266" s="4">
        <f>Pressure!AB266*1000000</f>
        <v>5051637.0065446496</v>
      </c>
      <c r="D266" s="78">
        <f>Pressure!I266</f>
        <v>8.1256230789298584E-5</v>
      </c>
      <c r="E266" s="40">
        <f>Pressure!H266</f>
        <v>81.256230789298584</v>
      </c>
      <c r="F266" s="10">
        <f t="shared" si="26"/>
        <v>4.5</v>
      </c>
      <c r="G266" s="4">
        <f t="shared" si="25"/>
        <v>214077.75949967874</v>
      </c>
      <c r="H266" s="42">
        <f t="shared" si="27"/>
        <v>8.0127910685777053</v>
      </c>
      <c r="I266" s="10">
        <f t="shared" si="28"/>
        <v>1.1955809151558989</v>
      </c>
      <c r="J266" s="4">
        <f t="shared" si="29"/>
        <v>490.75844634898942</v>
      </c>
      <c r="K266" s="4">
        <f t="shared" si="30"/>
        <v>110.32742375544927</v>
      </c>
      <c r="L266" s="42">
        <f>Pressure!Q266</f>
        <v>0.11738281085720463</v>
      </c>
      <c r="M266" s="10">
        <f t="shared" si="32"/>
        <v>0.2354113971214927</v>
      </c>
      <c r="N266" s="10">
        <f t="shared" si="31"/>
        <v>2.5992897854448858</v>
      </c>
    </row>
    <row r="267" spans="3:14">
      <c r="C267" s="4">
        <f>Pressure!AB267*1000000</f>
        <v>5052119.367111668</v>
      </c>
      <c r="D267" s="78">
        <f>Pressure!I267</f>
        <v>8.1256230789298584E-5</v>
      </c>
      <c r="E267" s="40">
        <f>Pressure!H267</f>
        <v>81.256230789298584</v>
      </c>
      <c r="F267" s="10">
        <f t="shared" si="26"/>
        <v>4.5</v>
      </c>
      <c r="G267" s="4">
        <f t="shared" si="25"/>
        <v>214098.20092674971</v>
      </c>
      <c r="H267" s="42">
        <f t="shared" si="27"/>
        <v>8.0133893181097982</v>
      </c>
      <c r="I267" s="10">
        <f t="shared" si="28"/>
        <v>1.1955895052900329</v>
      </c>
      <c r="J267" s="4">
        <f t="shared" si="29"/>
        <v>490.80883329473164</v>
      </c>
      <c r="K267" s="4">
        <f t="shared" si="30"/>
        <v>110.33875124651132</v>
      </c>
      <c r="L267" s="42">
        <f>Pressure!Q267</f>
        <v>0.11786250985968037</v>
      </c>
      <c r="M267" s="10">
        <f t="shared" si="32"/>
        <v>0.23542842245396031</v>
      </c>
      <c r="N267" s="10">
        <f t="shared" si="31"/>
        <v>2.5992897854448858</v>
      </c>
    </row>
    <row r="268" spans="3:14">
      <c r="C268" s="4">
        <f>Pressure!AB268*1000000</f>
        <v>5052599.2110586884</v>
      </c>
      <c r="D268" s="78">
        <f>Pressure!I268</f>
        <v>8.1256230789298584E-5</v>
      </c>
      <c r="E268" s="40">
        <f>Pressure!H268</f>
        <v>81.256230789298584</v>
      </c>
      <c r="F268" s="10">
        <f t="shared" si="26"/>
        <v>4.5</v>
      </c>
      <c r="G268" s="4">
        <f t="shared" si="25"/>
        <v>214118.53570475426</v>
      </c>
      <c r="H268" s="42">
        <f t="shared" si="27"/>
        <v>8.013984436361719</v>
      </c>
      <c r="I268" s="10">
        <f t="shared" si="28"/>
        <v>1.1955980489795073</v>
      </c>
      <c r="J268" s="4">
        <f t="shared" si="29"/>
        <v>490.85895735663968</v>
      </c>
      <c r="K268" s="4">
        <f t="shared" si="30"/>
        <v>110.35001963864927</v>
      </c>
      <c r="L268" s="42">
        <f>Pressure!Q268</f>
        <v>0.1183421942514296</v>
      </c>
      <c r="M268" s="10">
        <f t="shared" si="32"/>
        <v>0.23544535852920401</v>
      </c>
      <c r="N268" s="10">
        <f t="shared" si="31"/>
        <v>2.5992897854448858</v>
      </c>
    </row>
    <row r="269" spans="3:14">
      <c r="C269" s="4">
        <f>Pressure!AB269*1000000</f>
        <v>5053076.5381681109</v>
      </c>
      <c r="D269" s="78">
        <f>Pressure!I269</f>
        <v>8.1256230789298584E-5</v>
      </c>
      <c r="E269" s="40">
        <f>Pressure!H269</f>
        <v>81.256230789298584</v>
      </c>
      <c r="F269" s="10">
        <f t="shared" si="26"/>
        <v>4.5</v>
      </c>
      <c r="G269" s="4">
        <f t="shared" si="25"/>
        <v>214138.76382447095</v>
      </c>
      <c r="H269" s="42">
        <f t="shared" si="27"/>
        <v>8.0145764232221932</v>
      </c>
      <c r="I269" s="10">
        <f t="shared" si="28"/>
        <v>1.1956065462464451</v>
      </c>
      <c r="J269" s="4">
        <f t="shared" si="29"/>
        <v>490.90881851198316</v>
      </c>
      <c r="K269" s="4">
        <f t="shared" si="30"/>
        <v>110.3612289267531</v>
      </c>
      <c r="L269" s="42">
        <f>Pressure!Q269</f>
        <v>0.11882186411050635</v>
      </c>
      <c r="M269" s="10">
        <f t="shared" si="32"/>
        <v>0.23546220534850135</v>
      </c>
      <c r="N269" s="10">
        <f t="shared" si="31"/>
        <v>2.5992897854448858</v>
      </c>
    </row>
    <row r="270" spans="3:14">
      <c r="C270" s="4">
        <f>Pressure!AB270*1000000</f>
        <v>5053551.3482231684</v>
      </c>
      <c r="D270" s="78">
        <f>Pressure!I270</f>
        <v>8.1256230789298584E-5</v>
      </c>
      <c r="E270" s="40">
        <f>Pressure!H270</f>
        <v>81.256230789298584</v>
      </c>
      <c r="F270" s="10">
        <f t="shared" si="26"/>
        <v>4.5</v>
      </c>
      <c r="G270" s="4">
        <f t="shared" si="25"/>
        <v>214158.88527671364</v>
      </c>
      <c r="H270" s="42">
        <f t="shared" si="27"/>
        <v>8.0151652785801453</v>
      </c>
      <c r="I270" s="10">
        <f t="shared" si="28"/>
        <v>1.1956149971128389</v>
      </c>
      <c r="J270" s="4">
        <f t="shared" si="29"/>
        <v>490.95841673811907</v>
      </c>
      <c r="K270" s="4">
        <f t="shared" si="30"/>
        <v>110.37237910573245</v>
      </c>
      <c r="L270" s="42">
        <f>Pressure!Q270</f>
        <v>0.11930151951494224</v>
      </c>
      <c r="M270" s="10">
        <f t="shared" si="32"/>
        <v>0.23547896291311507</v>
      </c>
      <c r="N270" s="10">
        <f t="shared" si="31"/>
        <v>2.5992897854448858</v>
      </c>
    </row>
    <row r="271" spans="3:14">
      <c r="C271" s="4">
        <f>Pressure!AB271*1000000</f>
        <v>5054023.6410083789</v>
      </c>
      <c r="D271" s="78">
        <f>Pressure!I271</f>
        <v>8.1256230789298584E-5</v>
      </c>
      <c r="E271" s="40">
        <f>Pressure!H271</f>
        <v>81.256230789298584</v>
      </c>
      <c r="F271" s="10">
        <f t="shared" si="26"/>
        <v>4.5</v>
      </c>
      <c r="G271" s="4">
        <f t="shared" si="25"/>
        <v>214178.90005235068</v>
      </c>
      <c r="H271" s="42">
        <f t="shared" si="27"/>
        <v>8.0157510023252403</v>
      </c>
      <c r="I271" s="10">
        <f t="shared" si="28"/>
        <v>1.1956234016005587</v>
      </c>
      <c r="J271" s="4">
        <f t="shared" si="29"/>
        <v>491.00775201253822</v>
      </c>
      <c r="K271" s="4">
        <f t="shared" si="30"/>
        <v>110.383470170527</v>
      </c>
      <c r="L271" s="42">
        <f>Pressure!Q271</f>
        <v>0.11978116054274651</v>
      </c>
      <c r="M271" s="10">
        <f t="shared" si="32"/>
        <v>0.23549563122429601</v>
      </c>
      <c r="N271" s="10">
        <f t="shared" si="31"/>
        <v>2.5992897854448858</v>
      </c>
    </row>
    <row r="272" spans="3:14">
      <c r="C272" s="4">
        <f>Pressure!AB272*1000000</f>
        <v>5054493.4163095783</v>
      </c>
      <c r="D272" s="78">
        <f>Pressure!I272</f>
        <v>8.1256230789298584E-5</v>
      </c>
      <c r="E272" s="40">
        <f>Pressure!H272</f>
        <v>81.256230789298584</v>
      </c>
      <c r="F272" s="10">
        <f t="shared" si="26"/>
        <v>4.5</v>
      </c>
      <c r="G272" s="4">
        <f t="shared" si="25"/>
        <v>214198.80814230622</v>
      </c>
      <c r="H272" s="42">
        <f t="shared" si="27"/>
        <v>8.0163335943479463</v>
      </c>
      <c r="I272" s="10">
        <f t="shared" si="28"/>
        <v>1.1956317597313517</v>
      </c>
      <c r="J272" s="4">
        <f t="shared" si="29"/>
        <v>491.05682431286914</v>
      </c>
      <c r="K272" s="4">
        <f t="shared" si="30"/>
        <v>110.39450211610745</v>
      </c>
      <c r="L272" s="42">
        <f>Pressure!Q272</f>
        <v>0.12026078727190626</v>
      </c>
      <c r="M272" s="10">
        <f t="shared" si="32"/>
        <v>0.23551221028330216</v>
      </c>
      <c r="N272" s="10">
        <f t="shared" si="31"/>
        <v>2.5992897854448858</v>
      </c>
    </row>
    <row r="273" spans="3:14">
      <c r="C273" s="4">
        <f>Pressure!AB273*1000000</f>
        <v>5054960.6739130877</v>
      </c>
      <c r="D273" s="78">
        <f>Pressure!I273</f>
        <v>8.1256230789298584E-5</v>
      </c>
      <c r="E273" s="40">
        <f>Pressure!H273</f>
        <v>81.256230789298584</v>
      </c>
      <c r="F273" s="10">
        <f t="shared" si="26"/>
        <v>4.5</v>
      </c>
      <c r="G273" s="4">
        <f t="shared" si="25"/>
        <v>214218.60953752502</v>
      </c>
      <c r="H273" s="42">
        <f t="shared" si="27"/>
        <v>8.016913054538465</v>
      </c>
      <c r="I273" s="10">
        <f t="shared" si="28"/>
        <v>1.1956400715268296</v>
      </c>
      <c r="J273" s="4">
        <f t="shared" si="29"/>
        <v>491.10563361679118</v>
      </c>
      <c r="K273" s="4">
        <f t="shared" si="30"/>
        <v>110.40547493745586</v>
      </c>
      <c r="L273" s="42">
        <f>Pressure!Q273</f>
        <v>0.12074039978038646</v>
      </c>
      <c r="M273" s="10">
        <f t="shared" si="32"/>
        <v>0.23552870009136492</v>
      </c>
      <c r="N273" s="10">
        <f t="shared" si="31"/>
        <v>2.5992897854448858</v>
      </c>
    </row>
    <row r="274" spans="3:14">
      <c r="C274" s="4">
        <f>Pressure!AB274*1000000</f>
        <v>5055425.4136069529</v>
      </c>
      <c r="D274" s="78">
        <f>Pressure!I274</f>
        <v>8.1256230789298584E-5</v>
      </c>
      <c r="E274" s="40">
        <f>Pressure!H274</f>
        <v>81.256230789298584</v>
      </c>
      <c r="F274" s="10">
        <f t="shared" si="26"/>
        <v>4.5</v>
      </c>
      <c r="G274" s="4">
        <f t="shared" si="25"/>
        <v>214238.30422902488</v>
      </c>
      <c r="H274" s="42">
        <f t="shared" si="27"/>
        <v>8.0174893827883214</v>
      </c>
      <c r="I274" s="10">
        <f t="shared" si="28"/>
        <v>1.1956483370084894</v>
      </c>
      <c r="J274" s="4">
        <f t="shared" si="29"/>
        <v>491.15417990216389</v>
      </c>
      <c r="K274" s="4">
        <f t="shared" si="30"/>
        <v>110.41638862959486</v>
      </c>
      <c r="L274" s="42">
        <f>Pressure!Q274</f>
        <v>0.12121999814613017</v>
      </c>
      <c r="M274" s="10">
        <f t="shared" si="32"/>
        <v>0.23554510064970652</v>
      </c>
      <c r="N274" s="10">
        <f t="shared" si="31"/>
        <v>2.5992897854448858</v>
      </c>
    </row>
    <row r="275" spans="3:14">
      <c r="C275" s="4">
        <f>Pressure!AB275*1000000</f>
        <v>5055887.6351799527</v>
      </c>
      <c r="D275" s="78">
        <f>Pressure!I275</f>
        <v>8.1256230789298584E-5</v>
      </c>
      <c r="E275" s="40">
        <f>Pressure!H275</f>
        <v>81.256230789298584</v>
      </c>
      <c r="F275" s="10">
        <f t="shared" si="26"/>
        <v>4.5</v>
      </c>
      <c r="G275" s="4">
        <f t="shared" si="25"/>
        <v>214257.89220785472</v>
      </c>
      <c r="H275" s="42">
        <f t="shared" si="27"/>
        <v>8.0180625789890883</v>
      </c>
      <c r="I275" s="10">
        <f t="shared" si="28"/>
        <v>1.195656556197696</v>
      </c>
      <c r="J275" s="4">
        <f t="shared" si="29"/>
        <v>491.20246314692326</v>
      </c>
      <c r="K275" s="4">
        <f t="shared" si="30"/>
        <v>110.42724318756424</v>
      </c>
      <c r="L275" s="42">
        <f>Pressure!Q275</f>
        <v>0.1216995824470586</v>
      </c>
      <c r="M275" s="10">
        <f t="shared" si="32"/>
        <v>0.23556141195954597</v>
      </c>
      <c r="N275" s="10">
        <f t="shared" si="31"/>
        <v>2.5992897854448858</v>
      </c>
    </row>
    <row r="276" spans="3:14">
      <c r="C276" s="4">
        <f>Pressure!AB276*1000000</f>
        <v>5056347.3384218374</v>
      </c>
      <c r="D276" s="78">
        <f>Pressure!I276</f>
        <v>8.1256230789298584E-5</v>
      </c>
      <c r="E276" s="40">
        <f>Pressure!H276</f>
        <v>81.256230789298584</v>
      </c>
      <c r="F276" s="10">
        <f t="shared" si="26"/>
        <v>4.5</v>
      </c>
      <c r="G276" s="4">
        <f t="shared" si="25"/>
        <v>214277.37346510458</v>
      </c>
      <c r="H276" s="42">
        <f t="shared" si="27"/>
        <v>8.0186326430326975</v>
      </c>
      <c r="I276" s="10">
        <f t="shared" si="28"/>
        <v>1.1956647291156866</v>
      </c>
      <c r="J276" s="4">
        <f t="shared" si="29"/>
        <v>491.25048332910666</v>
      </c>
      <c r="K276" s="4">
        <f t="shared" si="30"/>
        <v>110.43803860642657</v>
      </c>
      <c r="L276" s="42">
        <f>Pressure!Q276</f>
        <v>0.12217915276107129</v>
      </c>
      <c r="M276" s="10">
        <f t="shared" si="32"/>
        <v>0.23557763402210083</v>
      </c>
      <c r="N276" s="10">
        <f t="shared" si="31"/>
        <v>2.5992897854448858</v>
      </c>
    </row>
    <row r="277" spans="3:14">
      <c r="C277" s="4">
        <f>Pressure!AB277*1000000</f>
        <v>5056804.52312392</v>
      </c>
      <c r="D277" s="78">
        <f>Pressure!I277</f>
        <v>8.1256230789298584E-5</v>
      </c>
      <c r="E277" s="40">
        <f>Pressure!H277</f>
        <v>81.256230789298584</v>
      </c>
      <c r="F277" s="10">
        <f t="shared" si="26"/>
        <v>4.5</v>
      </c>
      <c r="G277" s="4">
        <f t="shared" si="25"/>
        <v>214296.74799193075</v>
      </c>
      <c r="H277" s="42">
        <f t="shared" si="27"/>
        <v>8.0191995748121876</v>
      </c>
      <c r="I277" s="10">
        <f t="shared" si="28"/>
        <v>1.1956728557835821</v>
      </c>
      <c r="J277" s="4">
        <f t="shared" si="29"/>
        <v>491.29824042691502</v>
      </c>
      <c r="K277" s="4">
        <f t="shared" si="30"/>
        <v>110.4487748812812</v>
      </c>
      <c r="L277" s="42">
        <f>Pressure!Q277</f>
        <v>0.1226587091660462</v>
      </c>
      <c r="M277" s="10">
        <f t="shared" si="32"/>
        <v>0.23559376683856029</v>
      </c>
      <c r="N277" s="10">
        <f t="shared" si="31"/>
        <v>2.5992897854448858</v>
      </c>
    </row>
    <row r="278" spans="3:14">
      <c r="C278" s="4">
        <f>Pressure!AB278*1000000</f>
        <v>5057259.1890783049</v>
      </c>
      <c r="D278" s="78">
        <f>Pressure!I278</f>
        <v>8.1256230789298584E-5</v>
      </c>
      <c r="E278" s="40">
        <f>Pressure!H278</f>
        <v>81.256230789298584</v>
      </c>
      <c r="F278" s="10">
        <f t="shared" si="26"/>
        <v>4.5</v>
      </c>
      <c r="G278" s="4">
        <f t="shared" si="25"/>
        <v>214316.01577952306</v>
      </c>
      <c r="H278" s="42">
        <f t="shared" si="27"/>
        <v>8.0197633742207266</v>
      </c>
      <c r="I278" s="10">
        <f t="shared" si="28"/>
        <v>1.1956809362223726</v>
      </c>
      <c r="J278" s="4">
        <f t="shared" si="29"/>
        <v>491.34573441863159</v>
      </c>
      <c r="K278" s="4">
        <f t="shared" si="30"/>
        <v>110.45945200724599</v>
      </c>
      <c r="L278" s="42">
        <f>Pressure!Q278</f>
        <v>0.12313825173983983</v>
      </c>
      <c r="M278" s="10">
        <f t="shared" si="32"/>
        <v>0.23560981041012169</v>
      </c>
      <c r="N278" s="10">
        <f t="shared" si="31"/>
        <v>2.5992897854448858</v>
      </c>
    </row>
    <row r="279" spans="3:14">
      <c r="C279" s="4">
        <f>Pressure!AB279*1000000</f>
        <v>5057711.3360780301</v>
      </c>
      <c r="D279" s="78">
        <f>Pressure!I279</f>
        <v>8.1256230789298584E-5</v>
      </c>
      <c r="E279" s="40">
        <f>Pressure!H279</f>
        <v>81.256230789298584</v>
      </c>
      <c r="F279" s="10">
        <f t="shared" si="26"/>
        <v>4.5</v>
      </c>
      <c r="G279" s="4">
        <f t="shared" si="25"/>
        <v>214335.17681911087</v>
      </c>
      <c r="H279" s="42">
        <f t="shared" si="27"/>
        <v>8.020324041151806</v>
      </c>
      <c r="I279" s="10">
        <f t="shared" si="28"/>
        <v>1.1956889704529206</v>
      </c>
      <c r="J279" s="4">
        <f t="shared" si="29"/>
        <v>491.39296528263742</v>
      </c>
      <c r="K279" s="4">
        <f t="shared" si="30"/>
        <v>110.47006997946077</v>
      </c>
      <c r="L279" s="42">
        <f>Pressure!Q279</f>
        <v>0.1236177805602874</v>
      </c>
      <c r="M279" s="10">
        <f t="shared" si="32"/>
        <v>0.23562576473796115</v>
      </c>
      <c r="N279" s="10">
        <f t="shared" si="31"/>
        <v>2.5992897854448858</v>
      </c>
    </row>
    <row r="280" spans="3:14">
      <c r="C280" s="4">
        <f>Pressure!AB280*1000000</f>
        <v>5058160.9639174826</v>
      </c>
      <c r="D280" s="78">
        <f>Pressure!I280</f>
        <v>8.1256230789298584E-5</v>
      </c>
      <c r="E280" s="40">
        <f>Pressure!H280</f>
        <v>81.256230789298584</v>
      </c>
      <c r="F280" s="10">
        <f t="shared" si="26"/>
        <v>4.5</v>
      </c>
      <c r="G280" s="4">
        <f t="shared" si="25"/>
        <v>214354.23110198075</v>
      </c>
      <c r="H280" s="42">
        <f t="shared" si="27"/>
        <v>8.0208815754997307</v>
      </c>
      <c r="I280" s="10">
        <f t="shared" si="28"/>
        <v>1.195696958495968</v>
      </c>
      <c r="J280" s="4">
        <f t="shared" si="29"/>
        <v>491.43993299745438</v>
      </c>
      <c r="K280" s="4">
        <f t="shared" si="30"/>
        <v>110.48062879309707</v>
      </c>
      <c r="L280" s="42">
        <f>Pressure!Q280</f>
        <v>0.12409729570520289</v>
      </c>
      <c r="M280" s="10">
        <f t="shared" si="32"/>
        <v>0.2356416298232476</v>
      </c>
      <c r="N280" s="10">
        <f t="shared" si="31"/>
        <v>2.5992897854448858</v>
      </c>
    </row>
    <row r="281" spans="3:14">
      <c r="C281" s="4">
        <f>Pressure!AB281*1000000</f>
        <v>5058608.0723920269</v>
      </c>
      <c r="D281" s="78">
        <f>Pressure!I281</f>
        <v>8.1256230789298584E-5</v>
      </c>
      <c r="E281" s="40">
        <f>Pressure!H281</f>
        <v>81.256230789298584</v>
      </c>
      <c r="F281" s="10">
        <f t="shared" si="26"/>
        <v>4.5</v>
      </c>
      <c r="G281" s="4">
        <f t="shared" si="25"/>
        <v>214373.17861946067</v>
      </c>
      <c r="H281" s="42">
        <f t="shared" si="27"/>
        <v>8.0214359771591877</v>
      </c>
      <c r="I281" s="10">
        <f t="shared" si="28"/>
        <v>1.1957049003721305</v>
      </c>
      <c r="J281" s="4">
        <f t="shared" si="29"/>
        <v>491.48663754170627</v>
      </c>
      <c r="K281" s="4">
        <f t="shared" si="30"/>
        <v>110.49112844334928</v>
      </c>
      <c r="L281" s="42">
        <f>Pressure!Q281</f>
        <v>0.12457679725237927</v>
      </c>
      <c r="M281" s="10">
        <f t="shared" si="32"/>
        <v>0.23565740566715077</v>
      </c>
      <c r="N281" s="10">
        <f t="shared" si="31"/>
        <v>2.5992897854448858</v>
      </c>
    </row>
    <row r="282" spans="3:14">
      <c r="C282" s="4">
        <f>Pressure!AB282*1000000</f>
        <v>5059052.6612980515</v>
      </c>
      <c r="D282" s="78">
        <f>Pressure!I282</f>
        <v>8.1256230789298584E-5</v>
      </c>
      <c r="E282" s="40">
        <f>Pressure!H282</f>
        <v>81.256230789298584</v>
      </c>
      <c r="F282" s="10">
        <f t="shared" si="26"/>
        <v>4.5</v>
      </c>
      <c r="G282" s="4">
        <f t="shared" si="25"/>
        <v>214392.01936292203</v>
      </c>
      <c r="H282" s="42">
        <f t="shared" si="27"/>
        <v>8.0219872460252866</v>
      </c>
      <c r="I282" s="10">
        <f t="shared" si="28"/>
        <v>1.1957127961018976</v>
      </c>
      <c r="J282" s="4">
        <f t="shared" si="29"/>
        <v>491.53307889412434</v>
      </c>
      <c r="K282" s="4">
        <f t="shared" si="30"/>
        <v>110.50156892543599</v>
      </c>
      <c r="L282" s="42">
        <f>Pressure!Q282</f>
        <v>0.12505628527958854</v>
      </c>
      <c r="M282" s="10">
        <f t="shared" si="32"/>
        <v>0.23567309227081265</v>
      </c>
      <c r="N282" s="10">
        <f t="shared" si="31"/>
        <v>2.5992897854448858</v>
      </c>
    </row>
    <row r="283" spans="3:14">
      <c r="C283" s="4">
        <f>Pressure!AB283*1000000</f>
        <v>5059494.7304333551</v>
      </c>
      <c r="D283" s="78">
        <f>Pressure!I283</f>
        <v>8.1256230789298584E-5</v>
      </c>
      <c r="E283" s="40">
        <f>Pressure!H283</f>
        <v>81.256230789298584</v>
      </c>
      <c r="F283" s="10">
        <f t="shared" si="26"/>
        <v>4.5</v>
      </c>
      <c r="G283" s="4">
        <f t="shared" si="25"/>
        <v>214410.75332379591</v>
      </c>
      <c r="H283" s="42">
        <f t="shared" si="27"/>
        <v>8.0225353819940608</v>
      </c>
      <c r="I283" s="10">
        <f t="shared" si="28"/>
        <v>1.19572064570564</v>
      </c>
      <c r="J283" s="4">
        <f t="shared" si="29"/>
        <v>491.57925703358643</v>
      </c>
      <c r="K283" s="4">
        <f t="shared" si="30"/>
        <v>110.5119502346087</v>
      </c>
      <c r="L283" s="42">
        <f>Pressure!Q283</f>
        <v>0.12553575986458188</v>
      </c>
      <c r="M283" s="10">
        <f t="shared" si="32"/>
        <v>0.23568868963538564</v>
      </c>
      <c r="N283" s="10">
        <f t="shared" si="31"/>
        <v>2.5992897854448858</v>
      </c>
    </row>
    <row r="284" spans="3:14">
      <c r="C284" s="4">
        <f>Pressure!AB284*1000000</f>
        <v>5059934.2795963576</v>
      </c>
      <c r="D284" s="78">
        <f>Pressure!I284</f>
        <v>8.1256230789298584E-5</v>
      </c>
      <c r="E284" s="40">
        <f>Pressure!H284</f>
        <v>81.256230789298584</v>
      </c>
      <c r="F284" s="10">
        <f t="shared" si="26"/>
        <v>4.5</v>
      </c>
      <c r="G284" s="4">
        <f t="shared" ref="G284:G347" si="33">IF(C284/(1+(k-1)/2*N284^2)^(k/(k-1))&lt;patm*1000000,patm*1000000,C284/(1+(k-1)/2*N284^2)^(k/(k-1)))</f>
        <v>214429.38049353982</v>
      </c>
      <c r="H284" s="42">
        <f t="shared" si="27"/>
        <v>8.0230803849614354</v>
      </c>
      <c r="I284" s="10">
        <f t="shared" si="28"/>
        <v>1.1957284492035958</v>
      </c>
      <c r="J284" s="4">
        <f t="shared" si="29"/>
        <v>491.62517193903591</v>
      </c>
      <c r="K284" s="4">
        <f t="shared" si="30"/>
        <v>110.52227236613369</v>
      </c>
      <c r="L284" s="42">
        <f>Pressure!Q284</f>
        <v>0.12601522108508975</v>
      </c>
      <c r="M284" s="10">
        <f t="shared" si="32"/>
        <v>0.23570419776198154</v>
      </c>
      <c r="N284" s="10">
        <f t="shared" si="31"/>
        <v>2.5992897854448858</v>
      </c>
    </row>
    <row r="285" spans="3:14">
      <c r="C285" s="4">
        <f>Pressure!AB285*1000000</f>
        <v>5060371.3085867325</v>
      </c>
      <c r="D285" s="78">
        <f>Pressure!I285</f>
        <v>8.1256230789298584E-5</v>
      </c>
      <c r="E285" s="40">
        <f>Pressure!H285</f>
        <v>81.256230789298584</v>
      </c>
      <c r="F285" s="10">
        <f t="shared" ref="F285:F348" si="34">aexit/E285</f>
        <v>4.5</v>
      </c>
      <c r="G285" s="4">
        <f t="shared" si="33"/>
        <v>214447.90086366434</v>
      </c>
      <c r="H285" s="42">
        <f t="shared" ref="H285:H348" si="35">1/(((k+1)/2)^(1/(k-1))*(patm*1000000/C285)^(1/k)*SQRT((k+1)/(k-1)*(1-(patm*1000000/C285)^((k-1)/k))))</f>
        <v>8.0236222548240779</v>
      </c>
      <c r="I285" s="10">
        <f t="shared" ref="I285:I348" si="36">etanoz*SQRT(2*k^2/(k-1)*(2/(k+1))^((k+1)/(k-1))*(1-(G285/C285)^((k-1)/k)))+(G285-patm*1000000)/C285*(aexit/E285)</f>
        <v>1.1957362066158821</v>
      </c>
      <c r="J285" s="4">
        <f t="shared" ref="J285:J348" si="37">I285*D285*C285</f>
        <v>491.67082358954684</v>
      </c>
      <c r="K285" s="4">
        <f t="shared" ref="K285:K348" si="38">J285/4.4482</f>
        <v>110.5325353153066</v>
      </c>
      <c r="L285" s="42">
        <f>Pressure!Q285</f>
        <v>0.12649466901882214</v>
      </c>
      <c r="M285" s="10">
        <f t="shared" si="32"/>
        <v>0.23571961665175667</v>
      </c>
      <c r="N285" s="10">
        <f t="shared" si="31"/>
        <v>2.5992897854448858</v>
      </c>
    </row>
    <row r="286" spans="3:14">
      <c r="C286" s="4">
        <f>Pressure!AB286*1000000</f>
        <v>5060805.8172054198</v>
      </c>
      <c r="D286" s="78">
        <f>Pressure!I286</f>
        <v>8.1256230789298584E-5</v>
      </c>
      <c r="E286" s="40">
        <f>Pressure!H286</f>
        <v>81.256230789298584</v>
      </c>
      <c r="F286" s="10">
        <f t="shared" si="34"/>
        <v>4.5</v>
      </c>
      <c r="G286" s="4">
        <f t="shared" si="33"/>
        <v>214466.3144257337</v>
      </c>
      <c r="H286" s="42">
        <f t="shared" si="35"/>
        <v>8.0241609914793823</v>
      </c>
      <c r="I286" s="10">
        <f t="shared" si="36"/>
        <v>1.1957439179624945</v>
      </c>
      <c r="J286" s="4">
        <f t="shared" si="37"/>
        <v>491.71621196432545</v>
      </c>
      <c r="K286" s="4">
        <f t="shared" si="38"/>
        <v>110.54273907745278</v>
      </c>
      <c r="L286" s="42">
        <f>Pressure!Q286</f>
        <v>0.12697410374346851</v>
      </c>
      <c r="M286" s="10">
        <f t="shared" si="32"/>
        <v>0.23573494630579114</v>
      </c>
      <c r="N286" s="10">
        <f t="shared" ref="N286:N349" si="39">N285-1/834*(me-mef)</f>
        <v>2.5992897854448858</v>
      </c>
    </row>
    <row r="287" spans="3:14">
      <c r="C287" s="4">
        <f>Pressure!AB287*1000000</f>
        <v>5061237.8052542759</v>
      </c>
      <c r="D287" s="78">
        <f>Pressure!I287</f>
        <v>8.1256230789298584E-5</v>
      </c>
      <c r="E287" s="40">
        <f>Pressure!H287</f>
        <v>81.256230789298584</v>
      </c>
      <c r="F287" s="10">
        <f t="shared" si="34"/>
        <v>4.5</v>
      </c>
      <c r="G287" s="4">
        <f t="shared" si="33"/>
        <v>214484.621171351</v>
      </c>
      <c r="H287" s="42">
        <f t="shared" si="35"/>
        <v>8.0246965948250075</v>
      </c>
      <c r="I287" s="10">
        <f t="shared" si="36"/>
        <v>1.1957515832633021</v>
      </c>
      <c r="J287" s="4">
        <f t="shared" si="37"/>
        <v>491.76133704267403</v>
      </c>
      <c r="K287" s="4">
        <f t="shared" si="38"/>
        <v>110.55288364791916</v>
      </c>
      <c r="L287" s="42">
        <f>Pressure!Q287</f>
        <v>0.12745352533669804</v>
      </c>
      <c r="M287" s="10">
        <f t="shared" si="32"/>
        <v>0.23575018672520379</v>
      </c>
      <c r="N287" s="10">
        <f t="shared" si="39"/>
        <v>2.5992897854448858</v>
      </c>
    </row>
    <row r="288" spans="3:14">
      <c r="C288" s="4">
        <f>Pressure!AB288*1000000</f>
        <v>5061667.2725363141</v>
      </c>
      <c r="D288" s="78">
        <f>Pressure!I288</f>
        <v>8.1256230789298584E-5</v>
      </c>
      <c r="E288" s="40">
        <f>Pressure!H288</f>
        <v>81.256230789298584</v>
      </c>
      <c r="F288" s="10">
        <f t="shared" si="34"/>
        <v>4.5</v>
      </c>
      <c r="G288" s="4">
        <f t="shared" si="33"/>
        <v>214502.82109216836</v>
      </c>
      <c r="H288" s="42">
        <f t="shared" si="35"/>
        <v>8.0252290647592428</v>
      </c>
      <c r="I288" s="10">
        <f t="shared" si="36"/>
        <v>1.1957592025380508</v>
      </c>
      <c r="J288" s="4">
        <f t="shared" si="37"/>
        <v>491.80619880401542</v>
      </c>
      <c r="K288" s="4">
        <f t="shared" si="38"/>
        <v>110.56296902207981</v>
      </c>
      <c r="L288" s="42">
        <f>Pressure!Q288</f>
        <v>0.12793293387615973</v>
      </c>
      <c r="M288" s="10">
        <f t="shared" si="32"/>
        <v>0.23576533791109458</v>
      </c>
      <c r="N288" s="10">
        <f t="shared" si="39"/>
        <v>2.5992897854448858</v>
      </c>
    </row>
    <row r="289" spans="3:14">
      <c r="C289" s="4">
        <f>Pressure!AB289*1000000</f>
        <v>5062094.2188557535</v>
      </c>
      <c r="D289" s="78">
        <f>Pressure!I289</f>
        <v>8.1256230789298584E-5</v>
      </c>
      <c r="E289" s="40">
        <f>Pressure!H289</f>
        <v>81.256230789298584</v>
      </c>
      <c r="F289" s="10">
        <f t="shared" si="34"/>
        <v>4.5</v>
      </c>
      <c r="G289" s="4">
        <f t="shared" si="33"/>
        <v>214520.91417988899</v>
      </c>
      <c r="H289" s="42">
        <f t="shared" si="35"/>
        <v>8.0257584011810117</v>
      </c>
      <c r="I289" s="10">
        <f t="shared" si="36"/>
        <v>1.1957667758063655</v>
      </c>
      <c r="J289" s="4">
        <f t="shared" si="37"/>
        <v>491.85079722789862</v>
      </c>
      <c r="K289" s="4">
        <f t="shared" si="38"/>
        <v>110.57299519533713</v>
      </c>
      <c r="L289" s="42">
        <f>Pressure!Q289</f>
        <v>0.1284123294394825</v>
      </c>
      <c r="M289" s="10">
        <f t="shared" si="32"/>
        <v>0.23578039986455204</v>
      </c>
      <c r="N289" s="10">
        <f t="shared" si="39"/>
        <v>2.5992897854448858</v>
      </c>
    </row>
    <row r="290" spans="3:14">
      <c r="C290" s="4">
        <f>Pressure!AB290*1000000</f>
        <v>5062518.6440174542</v>
      </c>
      <c r="D290" s="78">
        <f>Pressure!I290</f>
        <v>8.1256230789298584E-5</v>
      </c>
      <c r="E290" s="40">
        <f>Pressure!H290</f>
        <v>81.256230789298584</v>
      </c>
      <c r="F290" s="10">
        <f t="shared" si="34"/>
        <v>4.5</v>
      </c>
      <c r="G290" s="4">
        <f t="shared" si="33"/>
        <v>214538.90042624329</v>
      </c>
      <c r="H290" s="42">
        <f t="shared" si="35"/>
        <v>8.0262846039891915</v>
      </c>
      <c r="I290" s="10">
        <f t="shared" si="36"/>
        <v>1.1957743030877386</v>
      </c>
      <c r="J290" s="4">
        <f t="shared" si="37"/>
        <v>491.89513229393935</v>
      </c>
      <c r="K290" s="4">
        <f t="shared" si="38"/>
        <v>110.58296216310853</v>
      </c>
      <c r="L290" s="42">
        <f>Pressure!Q290</f>
        <v>0.12889171210427533</v>
      </c>
      <c r="M290" s="10">
        <f t="shared" si="32"/>
        <v>0.23579537258664024</v>
      </c>
      <c r="N290" s="10">
        <f t="shared" si="39"/>
        <v>2.5992897854448858</v>
      </c>
    </row>
    <row r="291" spans="3:14">
      <c r="C291" s="4">
        <f>Pressure!AB291*1000000</f>
        <v>5062940.5478277756</v>
      </c>
      <c r="D291" s="78">
        <f>Pressure!I291</f>
        <v>8.1256230789298584E-5</v>
      </c>
      <c r="E291" s="40">
        <f>Pressure!H291</f>
        <v>81.256230789298584</v>
      </c>
      <c r="F291" s="10">
        <f t="shared" si="34"/>
        <v>4.5</v>
      </c>
      <c r="G291" s="4">
        <f t="shared" si="33"/>
        <v>214556.77982302516</v>
      </c>
      <c r="H291" s="42">
        <f t="shared" si="35"/>
        <v>8.0268076730836775</v>
      </c>
      <c r="I291" s="10">
        <f t="shared" si="36"/>
        <v>1.1957817844015473</v>
      </c>
      <c r="J291" s="4">
        <f t="shared" si="37"/>
        <v>491.93920398191017</v>
      </c>
      <c r="K291" s="4">
        <f t="shared" si="38"/>
        <v>110.59286992084668</v>
      </c>
      <c r="L291" s="42">
        <f>Pressure!Q291</f>
        <v>0.12937108194812741</v>
      </c>
      <c r="M291" s="10">
        <f t="shared" si="32"/>
        <v>0.23581025607843378</v>
      </c>
      <c r="N291" s="10">
        <f t="shared" si="39"/>
        <v>2.5992897854448858</v>
      </c>
    </row>
    <row r="292" spans="3:14">
      <c r="C292" s="4">
        <f>Pressure!AB292*1000000</f>
        <v>5063359.930093837</v>
      </c>
      <c r="D292" s="78">
        <f>Pressure!I292</f>
        <v>8.1256230789298584E-5</v>
      </c>
      <c r="E292" s="40">
        <f>Pressure!H292</f>
        <v>81.256230789298584</v>
      </c>
      <c r="F292" s="10">
        <f t="shared" si="34"/>
        <v>4.5</v>
      </c>
      <c r="G292" s="4">
        <f t="shared" si="33"/>
        <v>214574.55236206073</v>
      </c>
      <c r="H292" s="42">
        <f t="shared" si="35"/>
        <v>8.0273276083644731</v>
      </c>
      <c r="I292" s="10">
        <f t="shared" si="36"/>
        <v>1.1957892197670388</v>
      </c>
      <c r="J292" s="4">
        <f t="shared" si="37"/>
        <v>491.98301227166291</v>
      </c>
      <c r="K292" s="4">
        <f t="shared" si="38"/>
        <v>110.60271846402206</v>
      </c>
      <c r="L292" s="42">
        <f>Pressure!Q292</f>
        <v>0.12985043904860821</v>
      </c>
      <c r="M292" s="10">
        <f t="shared" si="32"/>
        <v>0.23582505034097967</v>
      </c>
      <c r="N292" s="10">
        <f t="shared" si="39"/>
        <v>2.5992897854448858</v>
      </c>
    </row>
    <row r="293" spans="3:14">
      <c r="C293" s="4">
        <f>Pressure!AB293*1000000</f>
        <v>5063776.7906245207</v>
      </c>
      <c r="D293" s="78">
        <f>Pressure!I293</f>
        <v>8.1256230789298584E-5</v>
      </c>
      <c r="E293" s="40">
        <f>Pressure!H293</f>
        <v>81.256230789298584</v>
      </c>
      <c r="F293" s="10">
        <f t="shared" si="34"/>
        <v>4.5</v>
      </c>
      <c r="G293" s="4">
        <f t="shared" si="33"/>
        <v>214592.21803525081</v>
      </c>
      <c r="H293" s="42">
        <f t="shared" si="35"/>
        <v>8.0278444097329178</v>
      </c>
      <c r="I293" s="10">
        <f t="shared" si="36"/>
        <v>1.1957966092033496</v>
      </c>
      <c r="J293" s="4">
        <f t="shared" si="37"/>
        <v>492.02655714323367</v>
      </c>
      <c r="K293" s="4">
        <f t="shared" si="38"/>
        <v>110.6125077881466</v>
      </c>
      <c r="L293" s="42">
        <f>Pressure!Q293</f>
        <v>0.13032978348326768</v>
      </c>
      <c r="M293" s="10">
        <f t="shared" si="32"/>
        <v>0.23583975537534493</v>
      </c>
      <c r="N293" s="10">
        <f t="shared" si="39"/>
        <v>2.5992897854448858</v>
      </c>
    </row>
    <row r="294" spans="3:14">
      <c r="C294" s="4">
        <f>Pressure!AB294*1000000</f>
        <v>5064191.1292289095</v>
      </c>
      <c r="D294" s="78">
        <f>Pressure!I294</f>
        <v>8.1256230789298584E-5</v>
      </c>
      <c r="E294" s="40">
        <f>Pressure!H294</f>
        <v>81.256230789298584</v>
      </c>
      <c r="F294" s="10">
        <f t="shared" si="34"/>
        <v>4.5</v>
      </c>
      <c r="G294" s="4">
        <f t="shared" si="33"/>
        <v>214609.77683450477</v>
      </c>
      <c r="H294" s="42">
        <f t="shared" si="35"/>
        <v>8.0283580770897611</v>
      </c>
      <c r="I294" s="10">
        <f t="shared" si="36"/>
        <v>1.1958039527294773</v>
      </c>
      <c r="J294" s="4">
        <f t="shared" si="37"/>
        <v>492.06983857667933</v>
      </c>
      <c r="K294" s="4">
        <f t="shared" si="38"/>
        <v>110.62223788873686</v>
      </c>
      <c r="L294" s="42">
        <f>Pressure!Q294</f>
        <v>0.13080911532963627</v>
      </c>
      <c r="M294" s="10">
        <f t="shared" si="32"/>
        <v>0.23585437118254821</v>
      </c>
      <c r="N294" s="10">
        <f t="shared" si="39"/>
        <v>2.5992897854448858</v>
      </c>
    </row>
    <row r="295" spans="3:14">
      <c r="C295" s="4">
        <f>Pressure!AB295*1000000</f>
        <v>5064602.9457175815</v>
      </c>
      <c r="D295" s="78">
        <f>Pressure!I295</f>
        <v>8.1256230789298584E-5</v>
      </c>
      <c r="E295" s="40">
        <f>Pressure!H295</f>
        <v>81.256230789298584</v>
      </c>
      <c r="F295" s="10">
        <f t="shared" si="34"/>
        <v>4.5</v>
      </c>
      <c r="G295" s="4">
        <f t="shared" si="33"/>
        <v>214627.22875179531</v>
      </c>
      <c r="H295" s="42">
        <f t="shared" si="35"/>
        <v>8.0288686103367688</v>
      </c>
      <c r="I295" s="10">
        <f t="shared" si="36"/>
        <v>1.195811250364303</v>
      </c>
      <c r="J295" s="4">
        <f t="shared" si="37"/>
        <v>492.11285655221309</v>
      </c>
      <c r="K295" s="4">
        <f t="shared" si="38"/>
        <v>110.6319087613446</v>
      </c>
      <c r="L295" s="42">
        <f>Pressure!Q295</f>
        <v>0.13128843466522513</v>
      </c>
      <c r="M295" s="10">
        <f t="shared" si="32"/>
        <v>0.2358688977636211</v>
      </c>
      <c r="N295" s="10">
        <f t="shared" si="39"/>
        <v>2.5992897854448858</v>
      </c>
    </row>
    <row r="296" spans="3:14">
      <c r="C296" s="4">
        <f>Pressure!AB296*1000000</f>
        <v>5065012.2399024628</v>
      </c>
      <c r="D296" s="78">
        <f>Pressure!I296</f>
        <v>8.1256230789298584E-5</v>
      </c>
      <c r="E296" s="40">
        <f>Pressure!H296</f>
        <v>81.256230789298584</v>
      </c>
      <c r="F296" s="10">
        <f t="shared" si="34"/>
        <v>4.5</v>
      </c>
      <c r="G296" s="4">
        <f t="shared" si="33"/>
        <v>214644.57377915218</v>
      </c>
      <c r="H296" s="42">
        <f t="shared" si="35"/>
        <v>8.0293760093765325</v>
      </c>
      <c r="I296" s="10">
        <f t="shared" si="36"/>
        <v>1.1958185021265901</v>
      </c>
      <c r="J296" s="4">
        <f t="shared" si="37"/>
        <v>492.15561105018878</v>
      </c>
      <c r="K296" s="4">
        <f t="shared" si="38"/>
        <v>110.64152040155317</v>
      </c>
      <c r="L296" s="42">
        <f>Pressure!Q296</f>
        <v>0.13176774156752627</v>
      </c>
      <c r="M296" s="10">
        <f t="shared" ref="M296:M359" si="40">(J296+J295)/2*(L296-L295)</f>
        <v>0.23588333511959633</v>
      </c>
      <c r="N296" s="10">
        <f t="shared" si="39"/>
        <v>2.5992897854448858</v>
      </c>
    </row>
    <row r="297" spans="3:14">
      <c r="C297" s="4">
        <f>Pressure!AB297*1000000</f>
        <v>5065419.0115960445</v>
      </c>
      <c r="D297" s="78">
        <f>Pressure!I297</f>
        <v>8.1256230789298584E-5</v>
      </c>
      <c r="E297" s="40">
        <f>Pressure!H297</f>
        <v>81.256230789298584</v>
      </c>
      <c r="F297" s="10">
        <f t="shared" si="34"/>
        <v>4.5</v>
      </c>
      <c r="G297" s="4">
        <f t="shared" si="33"/>
        <v>214661.81190862923</v>
      </c>
      <c r="H297" s="42">
        <f t="shared" si="35"/>
        <v>8.0298802741115072</v>
      </c>
      <c r="I297" s="10">
        <f t="shared" si="36"/>
        <v>1.1958257080349701</v>
      </c>
      <c r="J297" s="4">
        <f t="shared" si="37"/>
        <v>492.19810205101965</v>
      </c>
      <c r="K297" s="4">
        <f t="shared" si="38"/>
        <v>110.65107280495923</v>
      </c>
      <c r="L297" s="42">
        <f>Pressure!Q297</f>
        <v>0.13224703611401256</v>
      </c>
      <c r="M297" s="10">
        <f t="shared" si="40"/>
        <v>0.23589768325147059</v>
      </c>
      <c r="N297" s="10">
        <f t="shared" si="39"/>
        <v>2.5992897854448858</v>
      </c>
    </row>
    <row r="298" spans="3:14">
      <c r="C298" s="4">
        <f>Pressure!AB298*1000000</f>
        <v>5065823.2606122345</v>
      </c>
      <c r="D298" s="78">
        <f>Pressure!I298</f>
        <v>8.1256230789298584E-5</v>
      </c>
      <c r="E298" s="40">
        <f>Pressure!H298</f>
        <v>81.256230789298584</v>
      </c>
      <c r="F298" s="10">
        <f t="shared" si="34"/>
        <v>4.5</v>
      </c>
      <c r="G298" s="4">
        <f t="shared" si="33"/>
        <v>214678.94313234024</v>
      </c>
      <c r="H298" s="42">
        <f t="shared" si="35"/>
        <v>8.0303814044450608</v>
      </c>
      <c r="I298" s="10">
        <f t="shared" si="36"/>
        <v>1.1958328681079575</v>
      </c>
      <c r="J298" s="4">
        <f t="shared" si="37"/>
        <v>492.2403295352666</v>
      </c>
      <c r="K298" s="4">
        <f t="shared" si="38"/>
        <v>110.66056596719271</v>
      </c>
      <c r="L298" s="42">
        <f>Pressure!Q298</f>
        <v>0.13272631838213797</v>
      </c>
      <c r="M298" s="10">
        <f t="shared" si="40"/>
        <v>0.23591194216024744</v>
      </c>
      <c r="N298" s="10">
        <f t="shared" si="39"/>
        <v>2.5992897854448858</v>
      </c>
    </row>
    <row r="299" spans="3:14">
      <c r="C299" s="4">
        <f>Pressure!AB299*1000000</f>
        <v>5066224.9867658913</v>
      </c>
      <c r="D299" s="78">
        <f>Pressure!I299</f>
        <v>8.1256230789298584E-5</v>
      </c>
      <c r="E299" s="40">
        <f>Pressure!H299</f>
        <v>81.256230789298584</v>
      </c>
      <c r="F299" s="10">
        <f t="shared" si="34"/>
        <v>4.5</v>
      </c>
      <c r="G299" s="4">
        <f t="shared" si="33"/>
        <v>214695.96744243929</v>
      </c>
      <c r="H299" s="42">
        <f t="shared" si="35"/>
        <v>8.0308794002809059</v>
      </c>
      <c r="I299" s="10">
        <f t="shared" si="36"/>
        <v>1.1958399823639412</v>
      </c>
      <c r="J299" s="4">
        <f t="shared" si="37"/>
        <v>492.28229348358968</v>
      </c>
      <c r="K299" s="4">
        <f t="shared" si="38"/>
        <v>110.66999988390577</v>
      </c>
      <c r="L299" s="42">
        <f>Pressure!Q299</f>
        <v>0.13320558844933766</v>
      </c>
      <c r="M299" s="10">
        <f t="shared" si="40"/>
        <v>0.23592611184693318</v>
      </c>
      <c r="N299" s="10">
        <f t="shared" si="39"/>
        <v>2.5992897854448858</v>
      </c>
    </row>
    <row r="300" spans="3:14">
      <c r="C300" s="4">
        <f>Pressure!AB300*1000000</f>
        <v>5066624.1898730127</v>
      </c>
      <c r="D300" s="78">
        <f>Pressure!I300</f>
        <v>8.1256230789298584E-5</v>
      </c>
      <c r="E300" s="40">
        <f>Pressure!H300</f>
        <v>81.256230789298584</v>
      </c>
      <c r="F300" s="10">
        <f t="shared" si="34"/>
        <v>4.5</v>
      </c>
      <c r="G300" s="4">
        <f t="shared" si="33"/>
        <v>214712.88483112879</v>
      </c>
      <c r="H300" s="42">
        <f t="shared" si="35"/>
        <v>8.0313742615233163</v>
      </c>
      <c r="I300" s="10">
        <f t="shared" si="36"/>
        <v>1.1958470508211898</v>
      </c>
      <c r="J300" s="4">
        <f t="shared" si="37"/>
        <v>492.32399387676861</v>
      </c>
      <c r="K300" s="4">
        <f t="shared" si="38"/>
        <v>110.67937455077754</v>
      </c>
      <c r="L300" s="42">
        <f>Pressure!Q300</f>
        <v>0.13368484639302808</v>
      </c>
      <c r="M300" s="10">
        <f t="shared" si="40"/>
        <v>0.23594019231248922</v>
      </c>
      <c r="N300" s="10">
        <f t="shared" si="39"/>
        <v>2.5992897854448858</v>
      </c>
    </row>
    <row r="301" spans="3:14">
      <c r="C301" s="4">
        <f>Pressure!AB301*1000000</f>
        <v>5067020.8697505938</v>
      </c>
      <c r="D301" s="78">
        <f>Pressure!I301</f>
        <v>8.1256230789298584E-5</v>
      </c>
      <c r="E301" s="40">
        <f>Pressure!H301</f>
        <v>81.256230789298584</v>
      </c>
      <c r="F301" s="10">
        <f t="shared" si="34"/>
        <v>4.5</v>
      </c>
      <c r="G301" s="4">
        <f t="shared" si="33"/>
        <v>214729.6952906533</v>
      </c>
      <c r="H301" s="42">
        <f t="shared" si="35"/>
        <v>8.0318659880769712</v>
      </c>
      <c r="I301" s="10">
        <f t="shared" si="36"/>
        <v>1.1958540734978467</v>
      </c>
      <c r="J301" s="4">
        <f t="shared" si="37"/>
        <v>492.36543069568648</v>
      </c>
      <c r="K301" s="4">
        <f t="shared" si="38"/>
        <v>110.6886899635103</v>
      </c>
      <c r="L301" s="42">
        <f>Pressure!Q301</f>
        <v>0.13416409229060708</v>
      </c>
      <c r="M301" s="10">
        <f t="shared" si="40"/>
        <v>0.2359541835578878</v>
      </c>
      <c r="N301" s="10">
        <f t="shared" si="39"/>
        <v>2.5992897854448858</v>
      </c>
    </row>
    <row r="302" spans="3:14">
      <c r="C302" s="4">
        <f>Pressure!AB302*1000000</f>
        <v>5067415.0262168171</v>
      </c>
      <c r="D302" s="78">
        <f>Pressure!I302</f>
        <v>8.1256230789298584E-5</v>
      </c>
      <c r="E302" s="40">
        <f>Pressure!H302</f>
        <v>81.256230789298584</v>
      </c>
      <c r="F302" s="10">
        <f t="shared" si="34"/>
        <v>4.5</v>
      </c>
      <c r="G302" s="4">
        <f t="shared" si="33"/>
        <v>214746.39881330787</v>
      </c>
      <c r="H302" s="42">
        <f t="shared" si="35"/>
        <v>8.0323545798471834</v>
      </c>
      <c r="I302" s="10">
        <f t="shared" si="36"/>
        <v>1.1958610504119358</v>
      </c>
      <c r="J302" s="4">
        <f t="shared" si="37"/>
        <v>492.40660392135095</v>
      </c>
      <c r="K302" s="4">
        <f t="shared" si="38"/>
        <v>110.69794611783439</v>
      </c>
      <c r="L302" s="42">
        <f>Pressure!Q302</f>
        <v>0.1346433262194541</v>
      </c>
      <c r="M302" s="10">
        <f t="shared" si="40"/>
        <v>0.23596808558409951</v>
      </c>
      <c r="N302" s="10">
        <f t="shared" si="39"/>
        <v>2.5992897854448858</v>
      </c>
    </row>
    <row r="303" spans="3:14">
      <c r="C303" s="4">
        <f>Pressure!AB303*1000000</f>
        <v>5067806.6590909697</v>
      </c>
      <c r="D303" s="78">
        <f>Pressure!I303</f>
        <v>8.1256230789298584E-5</v>
      </c>
      <c r="E303" s="40">
        <f>Pressure!H303</f>
        <v>81.256230789298584</v>
      </c>
      <c r="F303" s="10">
        <f t="shared" si="34"/>
        <v>4.5</v>
      </c>
      <c r="G303" s="4">
        <f t="shared" si="33"/>
        <v>214762.9953914342</v>
      </c>
      <c r="H303" s="42">
        <f t="shared" si="35"/>
        <v>8.0328400367397794</v>
      </c>
      <c r="I303" s="10">
        <f t="shared" si="36"/>
        <v>1.1958679815813587</v>
      </c>
      <c r="J303" s="4">
        <f t="shared" si="37"/>
        <v>492.44751353488493</v>
      </c>
      <c r="K303" s="4">
        <f t="shared" si="38"/>
        <v>110.70714300950608</v>
      </c>
      <c r="L303" s="42">
        <f>Pressure!Q303</f>
        <v>0.13512254825693024</v>
      </c>
      <c r="M303" s="10">
        <f t="shared" si="40"/>
        <v>0.2359818983920689</v>
      </c>
      <c r="N303" s="10">
        <f t="shared" si="39"/>
        <v>2.5992897854448858</v>
      </c>
    </row>
    <row r="304" spans="3:14">
      <c r="C304" s="4">
        <f>Pressure!AB304*1000000</f>
        <v>5068195.7681934694</v>
      </c>
      <c r="D304" s="78">
        <f>Pressure!I304</f>
        <v>8.1256230789298584E-5</v>
      </c>
      <c r="E304" s="40">
        <f>Pressure!H304</f>
        <v>81.256230789298584</v>
      </c>
      <c r="F304" s="10">
        <f t="shared" si="34"/>
        <v>4.5</v>
      </c>
      <c r="G304" s="4">
        <f t="shared" si="33"/>
        <v>214779.485017422</v>
      </c>
      <c r="H304" s="42">
        <f t="shared" si="35"/>
        <v>8.0333223586611702</v>
      </c>
      <c r="I304" s="10">
        <f t="shared" si="36"/>
        <v>1.1958748670238961</v>
      </c>
      <c r="J304" s="4">
        <f t="shared" si="37"/>
        <v>492.48815951752954</v>
      </c>
      <c r="K304" s="4">
        <f t="shared" si="38"/>
        <v>110.71628063430816</v>
      </c>
      <c r="L304" s="42">
        <f>Pressure!Q304</f>
        <v>0.13560175848037842</v>
      </c>
      <c r="M304" s="10">
        <f t="shared" si="40"/>
        <v>0.23599562198276766</v>
      </c>
      <c r="N304" s="10">
        <f t="shared" si="39"/>
        <v>2.5992897854448858</v>
      </c>
    </row>
    <row r="305" spans="3:14">
      <c r="C305" s="4">
        <f>Pressure!AB305*1000000</f>
        <v>5068582.3533453858</v>
      </c>
      <c r="D305" s="78">
        <f>Pressure!I305</f>
        <v>8.1256230789298584E-5</v>
      </c>
      <c r="E305" s="40">
        <f>Pressure!H305</f>
        <v>81.256230789298584</v>
      </c>
      <c r="F305" s="10">
        <f t="shared" si="34"/>
        <v>4.5</v>
      </c>
      <c r="G305" s="4">
        <f t="shared" si="33"/>
        <v>214795.86768368859</v>
      </c>
      <c r="H305" s="42">
        <f t="shared" si="35"/>
        <v>8.0338015455177221</v>
      </c>
      <c r="I305" s="10">
        <f t="shared" si="36"/>
        <v>1.1958817067571987</v>
      </c>
      <c r="J305" s="4">
        <f t="shared" si="37"/>
        <v>492.52854185059357</v>
      </c>
      <c r="K305" s="4">
        <f t="shared" si="38"/>
        <v>110.72535898803866</v>
      </c>
      <c r="L305" s="42">
        <f>Pressure!Q305</f>
        <v>0.13608095696712347</v>
      </c>
      <c r="M305" s="10">
        <f t="shared" si="40"/>
        <v>0.23600925635710132</v>
      </c>
      <c r="N305" s="10">
        <f t="shared" si="39"/>
        <v>2.5992897854448858</v>
      </c>
    </row>
    <row r="306" spans="3:14">
      <c r="C306" s="4">
        <f>Pressure!AB306*1000000</f>
        <v>5068966.4143692805</v>
      </c>
      <c r="D306" s="78">
        <f>Pressure!I306</f>
        <v>8.1256230789298584E-5</v>
      </c>
      <c r="E306" s="40">
        <f>Pressure!H306</f>
        <v>81.256230789298584</v>
      </c>
      <c r="F306" s="10">
        <f t="shared" si="34"/>
        <v>4.5</v>
      </c>
      <c r="G306" s="4">
        <f t="shared" si="33"/>
        <v>214812.14338271445</v>
      </c>
      <c r="H306" s="42">
        <f t="shared" si="35"/>
        <v>8.0342775972168052</v>
      </c>
      <c r="I306" s="10">
        <f t="shared" si="36"/>
        <v>1.1958885007988034</v>
      </c>
      <c r="J306" s="4">
        <f t="shared" si="37"/>
        <v>492.56866051554226</v>
      </c>
      <c r="K306" s="4">
        <f t="shared" si="38"/>
        <v>110.73437806653079</v>
      </c>
      <c r="L306" s="42">
        <f>Pressure!Q306</f>
        <v>0.13656014379447226</v>
      </c>
      <c r="M306" s="10">
        <f t="shared" si="40"/>
        <v>0.23602280151600036</v>
      </c>
      <c r="N306" s="10">
        <f t="shared" si="39"/>
        <v>2.5992897854448858</v>
      </c>
    </row>
    <row r="307" spans="3:14">
      <c r="C307" s="4">
        <f>Pressure!AB307*1000000</f>
        <v>5069347.9510889621</v>
      </c>
      <c r="D307" s="78">
        <f>Pressure!I307</f>
        <v>8.1256230789298584E-5</v>
      </c>
      <c r="E307" s="40">
        <f>Pressure!H307</f>
        <v>81.256230789298584</v>
      </c>
      <c r="F307" s="10">
        <f t="shared" si="34"/>
        <v>4.5</v>
      </c>
      <c r="G307" s="4">
        <f t="shared" si="33"/>
        <v>214828.31210703304</v>
      </c>
      <c r="H307" s="42">
        <f t="shared" si="35"/>
        <v>8.034750513666518</v>
      </c>
      <c r="I307" s="10">
        <f t="shared" si="36"/>
        <v>1.195895249166127</v>
      </c>
      <c r="J307" s="4">
        <f t="shared" si="37"/>
        <v>492.60851549397063</v>
      </c>
      <c r="K307" s="4">
        <f t="shared" si="38"/>
        <v>110.74333786564692</v>
      </c>
      <c r="L307" s="42">
        <f>Pressure!Q307</f>
        <v>0.13703931903971386</v>
      </c>
      <c r="M307" s="10">
        <f t="shared" si="40"/>
        <v>0.23603625746039419</v>
      </c>
      <c r="N307" s="10">
        <f t="shared" si="39"/>
        <v>2.5992897854448858</v>
      </c>
    </row>
    <row r="308" spans="3:14">
      <c r="C308" s="4">
        <f>Pressure!AB308*1000000</f>
        <v>5069726.9633287378</v>
      </c>
      <c r="D308" s="78">
        <f>Pressure!I308</f>
        <v>8.1256230789298584E-5</v>
      </c>
      <c r="E308" s="40">
        <f>Pressure!H308</f>
        <v>81.256230789298584</v>
      </c>
      <c r="F308" s="10">
        <f t="shared" si="34"/>
        <v>4.5</v>
      </c>
      <c r="G308" s="4">
        <f t="shared" si="33"/>
        <v>214844.37384919878</v>
      </c>
      <c r="H308" s="42">
        <f t="shared" si="35"/>
        <v>8.0352202947747138</v>
      </c>
      <c r="I308" s="10">
        <f t="shared" si="36"/>
        <v>1.1959019518764558</v>
      </c>
      <c r="J308" s="4">
        <f t="shared" si="37"/>
        <v>492.64810676752603</v>
      </c>
      <c r="K308" s="4">
        <f t="shared" si="38"/>
        <v>110.75223838126119</v>
      </c>
      <c r="L308" s="42">
        <f>Pressure!Q308</f>
        <v>0.13751848278011961</v>
      </c>
      <c r="M308" s="10">
        <f t="shared" si="40"/>
        <v>0.2360496241911727</v>
      </c>
      <c r="N308" s="10">
        <f t="shared" si="39"/>
        <v>2.5992897854448858</v>
      </c>
    </row>
    <row r="309" spans="3:14">
      <c r="C309" s="4">
        <f>Pressure!AB309*1000000</f>
        <v>5070103.4509144481</v>
      </c>
      <c r="D309" s="78">
        <f>Pressure!I309</f>
        <v>8.1256230789298584E-5</v>
      </c>
      <c r="E309" s="40">
        <f>Pressure!H309</f>
        <v>81.256230789298584</v>
      </c>
      <c r="F309" s="10">
        <f t="shared" si="34"/>
        <v>4.5</v>
      </c>
      <c r="G309" s="4">
        <f t="shared" si="33"/>
        <v>214860.32860183122</v>
      </c>
      <c r="H309" s="42">
        <f t="shared" si="35"/>
        <v>8.0356869404503239</v>
      </c>
      <c r="I309" s="10">
        <f t="shared" si="36"/>
        <v>1.1959086089469615</v>
      </c>
      <c r="J309" s="4">
        <f t="shared" si="37"/>
        <v>492.68743431801602</v>
      </c>
      <c r="K309" s="4">
        <f t="shared" si="38"/>
        <v>110.76107960928375</v>
      </c>
      <c r="L309" s="42">
        <f>Pressure!Q309</f>
        <v>0.13799763509294324</v>
      </c>
      <c r="M309" s="10">
        <f t="shared" si="40"/>
        <v>0.23606290170923439</v>
      </c>
      <c r="N309" s="10">
        <f t="shared" si="39"/>
        <v>2.5992897854448858</v>
      </c>
    </row>
    <row r="310" spans="3:14">
      <c r="C310" s="4">
        <f>Pressure!AB310*1000000</f>
        <v>5070477.4136726847</v>
      </c>
      <c r="D310" s="78">
        <f>Pressure!I310</f>
        <v>8.1256230789298584E-5</v>
      </c>
      <c r="E310" s="40">
        <f>Pressure!H310</f>
        <v>81.256230789298584</v>
      </c>
      <c r="F310" s="10">
        <f t="shared" si="34"/>
        <v>4.5</v>
      </c>
      <c r="G310" s="4">
        <f t="shared" si="33"/>
        <v>214876.17635758166</v>
      </c>
      <c r="H310" s="42">
        <f t="shared" si="35"/>
        <v>8.0361504506023653</v>
      </c>
      <c r="I310" s="10">
        <f t="shared" si="36"/>
        <v>1.1959152203946888</v>
      </c>
      <c r="J310" s="4">
        <f t="shared" si="37"/>
        <v>492.72649812732635</v>
      </c>
      <c r="K310" s="4">
        <f t="shared" si="38"/>
        <v>110.76986154564236</v>
      </c>
      <c r="L310" s="42">
        <f>Pressure!Q310</f>
        <v>0.13847677605542111</v>
      </c>
      <c r="M310" s="10">
        <f t="shared" si="40"/>
        <v>0.23607609001547922</v>
      </c>
      <c r="N310" s="10">
        <f t="shared" si="39"/>
        <v>2.5992897854448858</v>
      </c>
    </row>
    <row r="311" spans="3:14">
      <c r="C311" s="4">
        <f>Pressure!AB311*1000000</f>
        <v>5070848.8514316669</v>
      </c>
      <c r="D311" s="78">
        <f>Pressure!I311</f>
        <v>8.1256230789298584E-5</v>
      </c>
      <c r="E311" s="40">
        <f>Pressure!H311</f>
        <v>81.256230789298584</v>
      </c>
      <c r="F311" s="10">
        <f t="shared" si="34"/>
        <v>4.5</v>
      </c>
      <c r="G311" s="4">
        <f t="shared" si="33"/>
        <v>214891.9171091704</v>
      </c>
      <c r="H311" s="42">
        <f t="shared" si="35"/>
        <v>8.0366108251410289</v>
      </c>
      <c r="I311" s="10">
        <f t="shared" si="36"/>
        <v>1.1959217862365712</v>
      </c>
      <c r="J311" s="4">
        <f t="shared" si="37"/>
        <v>492.76529817751316</v>
      </c>
      <c r="K311" s="4">
        <f t="shared" si="38"/>
        <v>110.77858418630304</v>
      </c>
      <c r="L311" s="42">
        <f>Pressure!Q311</f>
        <v>0.13895590574477215</v>
      </c>
      <c r="M311" s="10">
        <f t="shared" si="40"/>
        <v>0.23608918911076968</v>
      </c>
      <c r="N311" s="10">
        <f t="shared" si="39"/>
        <v>2.5992897854448858</v>
      </c>
    </row>
    <row r="312" spans="3:14">
      <c r="C312" s="4">
        <f>Pressure!AB312*1000000</f>
        <v>5071217.7640201692</v>
      </c>
      <c r="D312" s="78">
        <f>Pressure!I312</f>
        <v>8.1256230789298584E-5</v>
      </c>
      <c r="E312" s="40">
        <f>Pressure!H312</f>
        <v>81.256230789298584</v>
      </c>
      <c r="F312" s="10">
        <f t="shared" si="34"/>
        <v>4.5</v>
      </c>
      <c r="G312" s="4">
        <f t="shared" si="33"/>
        <v>214907.55084934126</v>
      </c>
      <c r="H312" s="42">
        <f t="shared" si="35"/>
        <v>8.0370680639763652</v>
      </c>
      <c r="I312" s="10">
        <f t="shared" si="36"/>
        <v>1.1959283064894108</v>
      </c>
      <c r="J312" s="4">
        <f t="shared" si="37"/>
        <v>492.80383445069026</v>
      </c>
      <c r="K312" s="4">
        <f t="shared" si="38"/>
        <v>110.78724752724479</v>
      </c>
      <c r="L312" s="42">
        <f>Pressure!Q312</f>
        <v>0.13943502423819812</v>
      </c>
      <c r="M312" s="10">
        <f t="shared" si="40"/>
        <v>0.23610219899598112</v>
      </c>
      <c r="N312" s="10">
        <f t="shared" si="39"/>
        <v>2.5992897854448858</v>
      </c>
    </row>
    <row r="313" spans="3:14">
      <c r="C313" s="4">
        <f>Pressure!AB313*1000000</f>
        <v>5071584.1512680054</v>
      </c>
      <c r="D313" s="78">
        <f>Pressure!I313</f>
        <v>8.1256230789298584E-5</v>
      </c>
      <c r="E313" s="40">
        <f>Pressure!H313</f>
        <v>81.256230789298584</v>
      </c>
      <c r="F313" s="10">
        <f t="shared" si="34"/>
        <v>4.5</v>
      </c>
      <c r="G313" s="4">
        <f t="shared" si="33"/>
        <v>214923.0775708821</v>
      </c>
      <c r="H313" s="42">
        <f t="shared" si="35"/>
        <v>8.0375221670188708</v>
      </c>
      <c r="I313" s="10">
        <f t="shared" si="36"/>
        <v>1.1959347811698886</v>
      </c>
      <c r="J313" s="4">
        <f t="shared" si="37"/>
        <v>492.84210692908005</v>
      </c>
      <c r="K313" s="4">
        <f t="shared" si="38"/>
        <v>110.79585156447104</v>
      </c>
      <c r="L313" s="42">
        <f>Pressure!Q313</f>
        <v>0.13991413161288371</v>
      </c>
      <c r="M313" s="10">
        <f t="shared" si="40"/>
        <v>0.23611511967198656</v>
      </c>
      <c r="N313" s="10">
        <f t="shared" si="39"/>
        <v>2.5992897854448858</v>
      </c>
    </row>
    <row r="314" spans="3:14">
      <c r="C314" s="4">
        <f>Pressure!AB314*1000000</f>
        <v>5071948.0130065829</v>
      </c>
      <c r="D314" s="78">
        <f>Pressure!I314</f>
        <v>8.1256230789298584E-5</v>
      </c>
      <c r="E314" s="40">
        <f>Pressure!H314</f>
        <v>81.256230789298584</v>
      </c>
      <c r="F314" s="10">
        <f t="shared" si="34"/>
        <v>4.5</v>
      </c>
      <c r="G314" s="4">
        <f t="shared" si="33"/>
        <v>214938.49726664834</v>
      </c>
      <c r="H314" s="42">
        <f t="shared" si="35"/>
        <v>8.0379731341801737</v>
      </c>
      <c r="I314" s="10">
        <f t="shared" si="36"/>
        <v>1.1959412102945735</v>
      </c>
      <c r="J314" s="4">
        <f t="shared" si="37"/>
        <v>492.88011559507174</v>
      </c>
      <c r="K314" s="4">
        <f t="shared" si="38"/>
        <v>110.80439629402269</v>
      </c>
      <c r="L314" s="42">
        <f>Pressure!Q314</f>
        <v>0.1403932279459966</v>
      </c>
      <c r="M314" s="10">
        <f t="shared" si="40"/>
        <v>0.23612795113960111</v>
      </c>
      <c r="N314" s="10">
        <f t="shared" si="39"/>
        <v>2.5992897854448858</v>
      </c>
    </row>
    <row r="315" spans="3:14">
      <c r="C315" s="4">
        <f>Pressure!AB315*1000000</f>
        <v>5072309.3490679301</v>
      </c>
      <c r="D315" s="78">
        <f>Pressure!I315</f>
        <v>8.1256230789298584E-5</v>
      </c>
      <c r="E315" s="40">
        <f>Pressure!H315</f>
        <v>81.256230789298584</v>
      </c>
      <c r="F315" s="10">
        <f t="shared" si="34"/>
        <v>4.5</v>
      </c>
      <c r="G315" s="4">
        <f t="shared" si="33"/>
        <v>214953.80992952167</v>
      </c>
      <c r="H315" s="42">
        <f t="shared" si="35"/>
        <v>8.0384209653718415</v>
      </c>
      <c r="I315" s="10">
        <f t="shared" si="36"/>
        <v>1.1959475938799049</v>
      </c>
      <c r="J315" s="4">
        <f t="shared" si="37"/>
        <v>492.91786043111898</v>
      </c>
      <c r="K315" s="4">
        <f t="shared" si="38"/>
        <v>110.81288171195517</v>
      </c>
      <c r="L315" s="42">
        <f>Pressure!Q315</f>
        <v>0.14087231331468766</v>
      </c>
      <c r="M315" s="10">
        <f t="shared" si="40"/>
        <v>0.23614069339970806</v>
      </c>
      <c r="N315" s="10">
        <f t="shared" si="39"/>
        <v>2.5992897854448858</v>
      </c>
    </row>
    <row r="316" spans="3:14">
      <c r="C316" s="4">
        <f>Pressure!AB316*1000000</f>
        <v>5072668.1592853107</v>
      </c>
      <c r="D316" s="78">
        <f>Pressure!I316</f>
        <v>8.1256230789298584E-5</v>
      </c>
      <c r="E316" s="40">
        <f>Pressure!H316</f>
        <v>81.256230789298584</v>
      </c>
      <c r="F316" s="10">
        <f t="shared" si="34"/>
        <v>4.5</v>
      </c>
      <c r="G316" s="4">
        <f t="shared" si="33"/>
        <v>214969.01555243615</v>
      </c>
      <c r="H316" s="42">
        <f t="shared" si="35"/>
        <v>8.0388656605061328</v>
      </c>
      <c r="I316" s="10">
        <f t="shared" si="36"/>
        <v>1.1959539319422048</v>
      </c>
      <c r="J316" s="4">
        <f t="shared" si="37"/>
        <v>492.95534141980471</v>
      </c>
      <c r="K316" s="4">
        <f t="shared" si="38"/>
        <v>110.82130781435293</v>
      </c>
      <c r="L316" s="42">
        <f>Pressure!Q316</f>
        <v>0.14135138779609102</v>
      </c>
      <c r="M316" s="10">
        <f t="shared" si="40"/>
        <v>0.23615334645309949</v>
      </c>
      <c r="N316" s="10">
        <f t="shared" si="39"/>
        <v>2.5992897854448858</v>
      </c>
    </row>
    <row r="317" spans="3:14">
      <c r="C317" s="4">
        <f>Pressure!AB317*1000000</f>
        <v>5073024.4434930235</v>
      </c>
      <c r="D317" s="78">
        <f>Pressure!I317</f>
        <v>8.1256230789298584E-5</v>
      </c>
      <c r="E317" s="40">
        <f>Pressure!H317</f>
        <v>81.256230789298584</v>
      </c>
      <c r="F317" s="10">
        <f t="shared" si="34"/>
        <v>4.5</v>
      </c>
      <c r="G317" s="4">
        <f t="shared" si="33"/>
        <v>214984.11412836975</v>
      </c>
      <c r="H317" s="42">
        <f t="shared" si="35"/>
        <v>8.0393072194957433</v>
      </c>
      <c r="I317" s="10">
        <f t="shared" si="36"/>
        <v>1.1959602244976733</v>
      </c>
      <c r="J317" s="4">
        <f t="shared" si="37"/>
        <v>492.99255854382005</v>
      </c>
      <c r="K317" s="4">
        <f t="shared" si="38"/>
        <v>110.82967459732477</v>
      </c>
      <c r="L317" s="42">
        <f>Pressure!Q317</f>
        <v>0.14183045146732423</v>
      </c>
      <c r="M317" s="10">
        <f t="shared" si="40"/>
        <v>0.23616591030062373</v>
      </c>
      <c r="N317" s="10">
        <f t="shared" si="39"/>
        <v>2.5992897854448858</v>
      </c>
    </row>
    <row r="318" spans="3:14">
      <c r="C318" s="4">
        <f>Pressure!AB318*1000000</f>
        <v>5073378.2015266214</v>
      </c>
      <c r="D318" s="78">
        <f>Pressure!I318</f>
        <v>8.1256230789298584E-5</v>
      </c>
      <c r="E318" s="40">
        <f>Pressure!H318</f>
        <v>81.256230789298584</v>
      </c>
      <c r="F318" s="10">
        <f t="shared" si="34"/>
        <v>4.5</v>
      </c>
      <c r="G318" s="4">
        <f t="shared" si="33"/>
        <v>214999.10565035351</v>
      </c>
      <c r="H318" s="42">
        <f t="shared" si="35"/>
        <v>8.0397456422540863</v>
      </c>
      <c r="I318" s="10">
        <f t="shared" si="36"/>
        <v>1.195966471562393</v>
      </c>
      <c r="J318" s="4">
        <f t="shared" si="37"/>
        <v>493.02951178598687</v>
      </c>
      <c r="K318" s="4">
        <f t="shared" si="38"/>
        <v>110.83798205700887</v>
      </c>
      <c r="L318" s="42">
        <f>Pressure!Q318</f>
        <v>0.14230950440548834</v>
      </c>
      <c r="M318" s="10">
        <f t="shared" si="40"/>
        <v>0.23617838494307611</v>
      </c>
      <c r="N318" s="10">
        <f t="shared" si="39"/>
        <v>2.5992897854448858</v>
      </c>
    </row>
    <row r="319" spans="3:14">
      <c r="C319" s="4">
        <f>Pressure!AB319*1000000</f>
        <v>5073729.4332223628</v>
      </c>
      <c r="D319" s="78">
        <f>Pressure!I319</f>
        <v>8.1256230789298584E-5</v>
      </c>
      <c r="E319" s="40">
        <f>Pressure!H319</f>
        <v>81.256230789298584</v>
      </c>
      <c r="F319" s="10">
        <f t="shared" si="34"/>
        <v>4.5</v>
      </c>
      <c r="G319" s="4">
        <f t="shared" si="33"/>
        <v>215013.99011144845</v>
      </c>
      <c r="H319" s="42">
        <f t="shared" si="35"/>
        <v>8.0401809286946282</v>
      </c>
      <c r="I319" s="10">
        <f t="shared" si="36"/>
        <v>1.1959726731523193</v>
      </c>
      <c r="J319" s="4">
        <f t="shared" si="37"/>
        <v>493.06620112920081</v>
      </c>
      <c r="K319" s="4">
        <f t="shared" si="38"/>
        <v>110.84623018956</v>
      </c>
      <c r="L319" s="42">
        <f>Pressure!Q319</f>
        <v>0.14278854668766808</v>
      </c>
      <c r="M319" s="10">
        <f t="shared" si="40"/>
        <v>0.23619077038127309</v>
      </c>
      <c r="N319" s="10">
        <f t="shared" si="39"/>
        <v>2.5992897854448858</v>
      </c>
    </row>
    <row r="320" spans="3:14">
      <c r="C320" s="4">
        <f>Pressure!AB320*1000000</f>
        <v>5074078.1384180039</v>
      </c>
      <c r="D320" s="78">
        <f>Pressure!I320</f>
        <v>8.1256230789298584E-5</v>
      </c>
      <c r="E320" s="40">
        <f>Pressure!H320</f>
        <v>81.256230789298584</v>
      </c>
      <c r="F320" s="10">
        <f t="shared" si="34"/>
        <v>4.5</v>
      </c>
      <c r="G320" s="4">
        <f t="shared" si="33"/>
        <v>215028.76750477898</v>
      </c>
      <c r="H320" s="42">
        <f t="shared" si="35"/>
        <v>8.0406130787318375</v>
      </c>
      <c r="I320" s="10">
        <f t="shared" si="36"/>
        <v>1.1959788292832947</v>
      </c>
      <c r="J320" s="4">
        <f t="shared" si="37"/>
        <v>493.10262655651428</v>
      </c>
      <c r="K320" s="4">
        <f t="shared" si="38"/>
        <v>110.85441899116817</v>
      </c>
      <c r="L320" s="42">
        <f>Pressure!Q320</f>
        <v>0.1432675783909319</v>
      </c>
      <c r="M320" s="10">
        <f t="shared" si="40"/>
        <v>0.23620306661598978</v>
      </c>
      <c r="N320" s="10">
        <f t="shared" si="39"/>
        <v>2.5992897854448858</v>
      </c>
    </row>
    <row r="321" spans="3:14">
      <c r="C321" s="4">
        <f>Pressure!AB321*1000000</f>
        <v>5074424.3169520758</v>
      </c>
      <c r="D321" s="78">
        <f>Pressure!I321</f>
        <v>8.1256230789298584E-5</v>
      </c>
      <c r="E321" s="40">
        <f>Pressure!H321</f>
        <v>81.256230789298584</v>
      </c>
      <c r="F321" s="10">
        <f t="shared" si="34"/>
        <v>4.5</v>
      </c>
      <c r="G321" s="4">
        <f t="shared" si="33"/>
        <v>215043.43782350238</v>
      </c>
      <c r="H321" s="42">
        <f t="shared" si="35"/>
        <v>8.0410420922803052</v>
      </c>
      <c r="I321" s="10">
        <f t="shared" si="36"/>
        <v>1.1959849399710361</v>
      </c>
      <c r="J321" s="4">
        <f t="shared" si="37"/>
        <v>493.13878805106015</v>
      </c>
      <c r="K321" s="4">
        <f t="shared" si="38"/>
        <v>110.86254845804149</v>
      </c>
      <c r="L321" s="42">
        <f>Pressure!Q321</f>
        <v>0.14374659959233221</v>
      </c>
      <c r="M321" s="10">
        <f t="shared" si="40"/>
        <v>0.23621527364803038</v>
      </c>
      <c r="N321" s="10">
        <f t="shared" si="39"/>
        <v>2.5992897854448858</v>
      </c>
    </row>
    <row r="322" spans="3:14">
      <c r="C322" s="4">
        <f>Pressure!AB322*1000000</f>
        <v>5074767.9686643509</v>
      </c>
      <c r="D322" s="78">
        <f>Pressure!I322</f>
        <v>8.1256230789298584E-5</v>
      </c>
      <c r="E322" s="40">
        <f>Pressure!H322</f>
        <v>81.256230789298584</v>
      </c>
      <c r="F322" s="10">
        <f t="shared" si="34"/>
        <v>4.5</v>
      </c>
      <c r="G322" s="4">
        <f t="shared" si="33"/>
        <v>215058.00106082857</v>
      </c>
      <c r="H322" s="42">
        <f t="shared" si="35"/>
        <v>8.0414679692553328</v>
      </c>
      <c r="I322" s="10">
        <f t="shared" si="36"/>
        <v>1.1959910052311427</v>
      </c>
      <c r="J322" s="4">
        <f t="shared" si="37"/>
        <v>493.1746855961012</v>
      </c>
      <c r="K322" s="4">
        <f t="shared" si="38"/>
        <v>110.87061858641725</v>
      </c>
      <c r="L322" s="42">
        <f>Pressure!Q322</f>
        <v>0.14422561036890538</v>
      </c>
      <c r="M322" s="10">
        <f t="shared" si="40"/>
        <v>0.23622739147815322</v>
      </c>
      <c r="N322" s="10">
        <f t="shared" si="39"/>
        <v>2.5992897854448858</v>
      </c>
    </row>
    <row r="323" spans="3:14">
      <c r="C323" s="4">
        <f>Pressure!AB323*1000000</f>
        <v>5075109.0933956187</v>
      </c>
      <c r="D323" s="78">
        <f>Pressure!I323</f>
        <v>8.1256230789298584E-5</v>
      </c>
      <c r="E323" s="40">
        <f>Pressure!H323</f>
        <v>81.256230789298584</v>
      </c>
      <c r="F323" s="10">
        <f t="shared" si="34"/>
        <v>4.5</v>
      </c>
      <c r="G323" s="4">
        <f t="shared" si="33"/>
        <v>215072.45721001053</v>
      </c>
      <c r="H323" s="42">
        <f t="shared" si="35"/>
        <v>8.0418907095726375</v>
      </c>
      <c r="I323" s="10">
        <f t="shared" si="36"/>
        <v>1.1959970250790926</v>
      </c>
      <c r="J323" s="4">
        <f t="shared" si="37"/>
        <v>493.21031917500659</v>
      </c>
      <c r="K323" s="4">
        <f t="shared" si="38"/>
        <v>110.87862937255667</v>
      </c>
      <c r="L323" s="42">
        <f>Pressure!Q323</f>
        <v>0.14470461079767194</v>
      </c>
      <c r="M323" s="10">
        <f t="shared" si="40"/>
        <v>0.23623942010713161</v>
      </c>
      <c r="N323" s="10">
        <f t="shared" si="39"/>
        <v>2.5992897854448858</v>
      </c>
    </row>
    <row r="324" spans="3:14">
      <c r="C324" s="4">
        <f>Pressure!AB324*1000000</f>
        <v>5075447.690987736</v>
      </c>
      <c r="D324" s="78">
        <f>Pressure!I324</f>
        <v>8.1256230789298584E-5</v>
      </c>
      <c r="E324" s="40">
        <f>Pressure!H324</f>
        <v>81.256230789298584</v>
      </c>
      <c r="F324" s="10">
        <f t="shared" si="34"/>
        <v>4.5</v>
      </c>
      <c r="G324" s="4">
        <f t="shared" si="33"/>
        <v>215086.80626434649</v>
      </c>
      <c r="H324" s="42">
        <f t="shared" si="35"/>
        <v>8.0423103131484304</v>
      </c>
      <c r="I324" s="10">
        <f t="shared" si="36"/>
        <v>1.1960029995302439</v>
      </c>
      <c r="J324" s="4">
        <f t="shared" si="37"/>
        <v>493.24568877125671</v>
      </c>
      <c r="K324" s="4">
        <f t="shared" si="38"/>
        <v>110.88658081274599</v>
      </c>
      <c r="L324" s="42">
        <f>Pressure!Q324</f>
        <v>0.14518360095563668</v>
      </c>
      <c r="M324" s="10">
        <f t="shared" si="40"/>
        <v>0.23625135953572229</v>
      </c>
      <c r="N324" s="10">
        <f t="shared" si="39"/>
        <v>2.5992897854448858</v>
      </c>
    </row>
    <row r="325" spans="3:14">
      <c r="C325" s="4">
        <f>Pressure!AB325*1000000</f>
        <v>5075783.7612835728</v>
      </c>
      <c r="D325" s="78">
        <f>Pressure!I325</f>
        <v>8.1256230789298584E-5</v>
      </c>
      <c r="E325" s="40">
        <f>Pressure!H325</f>
        <v>81.256230789298584</v>
      </c>
      <c r="F325" s="10">
        <f t="shared" si="34"/>
        <v>4.5</v>
      </c>
      <c r="G325" s="4">
        <f t="shared" si="33"/>
        <v>215101.04821717762</v>
      </c>
      <c r="H325" s="42">
        <f t="shared" si="35"/>
        <v>8.0427267798993238</v>
      </c>
      <c r="I325" s="10">
        <f t="shared" si="36"/>
        <v>1.1960089285998334</v>
      </c>
      <c r="J325" s="4">
        <f t="shared" si="37"/>
        <v>493.28079436843802</v>
      </c>
      <c r="K325" s="4">
        <f t="shared" si="38"/>
        <v>110.89447290329527</v>
      </c>
      <c r="L325" s="42">
        <f>Pressure!Q325</f>
        <v>0.14566258091978876</v>
      </c>
      <c r="M325" s="10">
        <f t="shared" si="40"/>
        <v>0.23626320976466525</v>
      </c>
      <c r="N325" s="10">
        <f t="shared" si="39"/>
        <v>2.5992897854448858</v>
      </c>
    </row>
    <row r="326" spans="3:14">
      <c r="C326" s="4">
        <f>Pressure!AB326*1000000</f>
        <v>5076117.3041272247</v>
      </c>
      <c r="D326" s="78">
        <f>Pressure!I326</f>
        <v>8.1256230789298584E-5</v>
      </c>
      <c r="E326" s="40">
        <f>Pressure!H326</f>
        <v>81.256230789298584</v>
      </c>
      <c r="F326" s="10">
        <f t="shared" si="34"/>
        <v>4.5</v>
      </c>
      <c r="G326" s="4">
        <f t="shared" si="33"/>
        <v>215115.183061897</v>
      </c>
      <c r="H326" s="42">
        <f t="shared" si="35"/>
        <v>8.0431401097426303</v>
      </c>
      <c r="I326" s="10">
        <f t="shared" si="36"/>
        <v>1.1960148123029803</v>
      </c>
      <c r="J326" s="4">
        <f t="shared" si="37"/>
        <v>493.31563595026472</v>
      </c>
      <c r="K326" s="4">
        <f t="shared" si="38"/>
        <v>110.9023056405433</v>
      </c>
      <c r="L326" s="42">
        <f>Pressure!Q326</f>
        <v>0.14614155076710186</v>
      </c>
      <c r="M326" s="10">
        <f t="shared" si="40"/>
        <v>0.23627497079470139</v>
      </c>
      <c r="N326" s="10">
        <f t="shared" si="39"/>
        <v>2.5992897854448858</v>
      </c>
    </row>
    <row r="327" spans="3:14">
      <c r="C327" s="4">
        <f>Pressure!AB327*1000000</f>
        <v>5076448.319363744</v>
      </c>
      <c r="D327" s="78">
        <f>Pressure!I327</f>
        <v>8.1256230789298584E-5</v>
      </c>
      <c r="E327" s="40">
        <f>Pressure!H327</f>
        <v>81.256230789298584</v>
      </c>
      <c r="F327" s="10">
        <f t="shared" si="34"/>
        <v>4.5</v>
      </c>
      <c r="G327" s="4">
        <f t="shared" si="33"/>
        <v>215129.21079193827</v>
      </c>
      <c r="H327" s="42">
        <f t="shared" si="35"/>
        <v>8.0435503025960049</v>
      </c>
      <c r="I327" s="10">
        <f t="shared" si="36"/>
        <v>1.1960206506546827</v>
      </c>
      <c r="J327" s="4">
        <f t="shared" si="37"/>
        <v>493.35021350055126</v>
      </c>
      <c r="K327" s="4">
        <f t="shared" si="38"/>
        <v>110.91007902085141</v>
      </c>
      <c r="L327" s="42">
        <f>Pressure!Q327</f>
        <v>0.14662051057453429</v>
      </c>
      <c r="M327" s="10">
        <f t="shared" si="40"/>
        <v>0.23628664262655769</v>
      </c>
      <c r="N327" s="10">
        <f t="shared" si="39"/>
        <v>2.5992897854448858</v>
      </c>
    </row>
    <row r="328" spans="3:14">
      <c r="C328" s="4">
        <f>Pressure!AB328*1000000</f>
        <v>5076776.8068394735</v>
      </c>
      <c r="D328" s="78">
        <f>Pressure!I328</f>
        <v>8.1256230789298584E-5</v>
      </c>
      <c r="E328" s="40">
        <f>Pressure!H328</f>
        <v>81.256230789298584</v>
      </c>
      <c r="F328" s="10">
        <f t="shared" si="34"/>
        <v>4.5</v>
      </c>
      <c r="G328" s="4">
        <f t="shared" si="33"/>
        <v>215143.13140078977</v>
      </c>
      <c r="H328" s="42">
        <f t="shared" si="35"/>
        <v>8.0439573583778596</v>
      </c>
      <c r="I328" s="10">
        <f t="shared" si="36"/>
        <v>1.196026443669822</v>
      </c>
      <c r="J328" s="4">
        <f t="shared" si="37"/>
        <v>493.38452700324677</v>
      </c>
      <c r="K328" s="4">
        <f t="shared" si="38"/>
        <v>110.91779304061122</v>
      </c>
      <c r="L328" s="42">
        <f>Pressure!Q328</f>
        <v>0.14709946041902908</v>
      </c>
      <c r="M328" s="10">
        <f t="shared" si="40"/>
        <v>0.23629822526094854</v>
      </c>
      <c r="N328" s="10">
        <f t="shared" si="39"/>
        <v>2.5992897854448858</v>
      </c>
    </row>
    <row r="329" spans="3:14">
      <c r="C329" s="4">
        <f>Pressure!AB329*1000000</f>
        <v>5077102.7664013803</v>
      </c>
      <c r="D329" s="78">
        <f>Pressure!I329</f>
        <v>8.1256230789298584E-5</v>
      </c>
      <c r="E329" s="40">
        <f>Pressure!H329</f>
        <v>81.256230789298584</v>
      </c>
      <c r="F329" s="10">
        <f t="shared" si="34"/>
        <v>4.5</v>
      </c>
      <c r="G329" s="4">
        <f t="shared" si="33"/>
        <v>215156.94488196628</v>
      </c>
      <c r="H329" s="42">
        <f t="shared" si="35"/>
        <v>8.0443612770065478</v>
      </c>
      <c r="I329" s="10">
        <f t="shared" si="36"/>
        <v>1.1960321913631524</v>
      </c>
      <c r="J329" s="4">
        <f t="shared" si="37"/>
        <v>493.41857644236541</v>
      </c>
      <c r="K329" s="4">
        <f t="shared" si="38"/>
        <v>110.9254476962289</v>
      </c>
      <c r="L329" s="42">
        <f>Pressure!Q329</f>
        <v>0.14757840037751416</v>
      </c>
      <c r="M329" s="10">
        <f t="shared" si="40"/>
        <v>0.2363097186985951</v>
      </c>
      <c r="N329" s="10">
        <f t="shared" si="39"/>
        <v>2.5992897854448858</v>
      </c>
    </row>
    <row r="330" spans="3:14">
      <c r="C330" s="4">
        <f>Pressure!AB330*1000000</f>
        <v>5077426.1978978207</v>
      </c>
      <c r="D330" s="78">
        <f>Pressure!I330</f>
        <v>8.1256230789298584E-5</v>
      </c>
      <c r="E330" s="40">
        <f>Pressure!H330</f>
        <v>81.256230789298584</v>
      </c>
      <c r="F330" s="10">
        <f t="shared" si="34"/>
        <v>4.5</v>
      </c>
      <c r="G330" s="4">
        <f t="shared" si="33"/>
        <v>215170.65122904148</v>
      </c>
      <c r="H330" s="42">
        <f t="shared" si="35"/>
        <v>8.0447620584013126</v>
      </c>
      <c r="I330" s="10">
        <f t="shared" si="36"/>
        <v>1.1960378937493139</v>
      </c>
      <c r="J330" s="4">
        <f t="shared" si="37"/>
        <v>493.45236180206672</v>
      </c>
      <c r="K330" s="4">
        <f t="shared" si="38"/>
        <v>110.93304298414341</v>
      </c>
      <c r="L330" s="42">
        <f>Pressure!Q330</f>
        <v>0.14805733052690243</v>
      </c>
      <c r="M330" s="10">
        <f t="shared" si="40"/>
        <v>0.23632112294017307</v>
      </c>
      <c r="N330" s="10">
        <f t="shared" si="39"/>
        <v>2.5992897854448858</v>
      </c>
    </row>
    <row r="331" spans="3:14">
      <c r="C331" s="4">
        <f>Pressure!AB331*1000000</f>
        <v>5077747.1011785157</v>
      </c>
      <c r="D331" s="78">
        <f>Pressure!I331</f>
        <v>8.1256230789298584E-5</v>
      </c>
      <c r="E331" s="40">
        <f>Pressure!H331</f>
        <v>81.256230789298584</v>
      </c>
      <c r="F331" s="10">
        <f t="shared" si="34"/>
        <v>4.5</v>
      </c>
      <c r="G331" s="4">
        <f t="shared" si="33"/>
        <v>215184.25043564683</v>
      </c>
      <c r="H331" s="42">
        <f t="shared" si="35"/>
        <v>8.045159702482243</v>
      </c>
      <c r="I331" s="10">
        <f t="shared" si="36"/>
        <v>1.1960435508428322</v>
      </c>
      <c r="J331" s="4">
        <f t="shared" si="37"/>
        <v>493.4858830666526</v>
      </c>
      <c r="K331" s="4">
        <f t="shared" si="38"/>
        <v>110.94057890082564</v>
      </c>
      <c r="L331" s="42">
        <f>Pressure!Q331</f>
        <v>0.1485362509440919</v>
      </c>
      <c r="M331" s="10">
        <f t="shared" si="40"/>
        <v>0.23633243798638576</v>
      </c>
      <c r="N331" s="10">
        <f t="shared" si="39"/>
        <v>2.5992897854448858</v>
      </c>
    </row>
    <row r="332" spans="3:14">
      <c r="C332" s="4">
        <f>Pressure!AB332*1000000</f>
        <v>5078065.4760935688</v>
      </c>
      <c r="D332" s="78">
        <f>Pressure!I332</f>
        <v>8.1256230789298584E-5</v>
      </c>
      <c r="E332" s="40">
        <f>Pressure!H332</f>
        <v>81.256230789298584</v>
      </c>
      <c r="F332" s="10">
        <f t="shared" si="34"/>
        <v>4.5</v>
      </c>
      <c r="G332" s="4">
        <f t="shared" si="33"/>
        <v>215197.74249543005</v>
      </c>
      <c r="H332" s="42">
        <f t="shared" si="35"/>
        <v>8.0455542091690724</v>
      </c>
      <c r="I332" s="10">
        <f t="shared" si="36"/>
        <v>1.1960491626581018</v>
      </c>
      <c r="J332" s="4">
        <f t="shared" si="37"/>
        <v>493.5191402204652</v>
      </c>
      <c r="K332" s="4">
        <f t="shared" si="38"/>
        <v>110.94805544275555</v>
      </c>
      <c r="L332" s="42">
        <f>Pressure!Q332</f>
        <v>0.14901516170596582</v>
      </c>
      <c r="M332" s="10">
        <f t="shared" si="40"/>
        <v>0.23634366383791192</v>
      </c>
      <c r="N332" s="10">
        <f t="shared" si="39"/>
        <v>2.5992897854448858</v>
      </c>
    </row>
    <row r="333" spans="3:14">
      <c r="C333" s="4">
        <f>Pressure!AB333*1000000</f>
        <v>5078381.3224946456</v>
      </c>
      <c r="D333" s="78">
        <f>Pressure!I333</f>
        <v>8.1256230789298584E-5</v>
      </c>
      <c r="E333" s="40">
        <f>Pressure!H333</f>
        <v>81.256230789298584</v>
      </c>
      <c r="F333" s="10">
        <f t="shared" si="34"/>
        <v>4.5</v>
      </c>
      <c r="G333" s="4">
        <f t="shared" si="33"/>
        <v>215211.12740210505</v>
      </c>
      <c r="H333" s="42">
        <f t="shared" si="35"/>
        <v>8.045945578382625</v>
      </c>
      <c r="I333" s="10">
        <f t="shared" si="36"/>
        <v>1.1960547292094059</v>
      </c>
      <c r="J333" s="4">
        <f t="shared" si="37"/>
        <v>493.55213324800945</v>
      </c>
      <c r="K333" s="4">
        <f t="shared" si="38"/>
        <v>110.95547260644967</v>
      </c>
      <c r="L333" s="42">
        <f>Pressure!Q333</f>
        <v>0.14949406288939285</v>
      </c>
      <c r="M333" s="10">
        <f t="shared" si="40"/>
        <v>0.23635480049543772</v>
      </c>
      <c r="N333" s="10">
        <f t="shared" si="39"/>
        <v>2.5992897854448858</v>
      </c>
    </row>
    <row r="334" spans="3:14">
      <c r="C334" s="4">
        <f>Pressure!AB334*1000000</f>
        <v>5078694.6402344154</v>
      </c>
      <c r="D334" s="78">
        <f>Pressure!I334</f>
        <v>8.1256230789298584E-5</v>
      </c>
      <c r="E334" s="40">
        <f>Pressure!H334</f>
        <v>81.256230789298584</v>
      </c>
      <c r="F334" s="10">
        <f t="shared" si="34"/>
        <v>4.5</v>
      </c>
      <c r="G334" s="4">
        <f t="shared" si="33"/>
        <v>215224.40514942826</v>
      </c>
      <c r="H334" s="42">
        <f t="shared" si="35"/>
        <v>8.0463338100441444</v>
      </c>
      <c r="I334" s="10">
        <f t="shared" si="36"/>
        <v>1.1960602505109077</v>
      </c>
      <c r="J334" s="4">
        <f t="shared" si="37"/>
        <v>493.58486213389546</v>
      </c>
      <c r="K334" s="4">
        <f t="shared" si="38"/>
        <v>110.96283038844824</v>
      </c>
      <c r="L334" s="42">
        <f>Pressure!Q334</f>
        <v>0.14997295457122703</v>
      </c>
      <c r="M334" s="10">
        <f t="shared" si="40"/>
        <v>0.23636584795959054</v>
      </c>
      <c r="N334" s="10">
        <f t="shared" si="39"/>
        <v>2.5992897854448858</v>
      </c>
    </row>
    <row r="335" spans="3:14">
      <c r="C335" s="4">
        <f>Pressure!AB335*1000000</f>
        <v>5079005.4291665964</v>
      </c>
      <c r="D335" s="78">
        <f>Pressure!I335</f>
        <v>8.1256230789298584E-5</v>
      </c>
      <c r="E335" s="40">
        <f>Pressure!H335</f>
        <v>81.256230789298584</v>
      </c>
      <c r="F335" s="10">
        <f t="shared" si="34"/>
        <v>4.5</v>
      </c>
      <c r="G335" s="4">
        <f t="shared" si="33"/>
        <v>215237.57573120054</v>
      </c>
      <c r="H335" s="42">
        <f t="shared" si="35"/>
        <v>8.0467189040753233</v>
      </c>
      <c r="I335" s="10">
        <f t="shared" si="36"/>
        <v>1.1960657265766506</v>
      </c>
      <c r="J335" s="4">
        <f t="shared" si="37"/>
        <v>493.61732686284256</v>
      </c>
      <c r="K335" s="4">
        <f t="shared" si="38"/>
        <v>110.97012878531599</v>
      </c>
      <c r="L335" s="42">
        <f>Pressure!Q335</f>
        <v>0.15045183682830809</v>
      </c>
      <c r="M335" s="10">
        <f t="shared" si="40"/>
        <v>0.23637680623106283</v>
      </c>
      <c r="N335" s="10">
        <f t="shared" si="39"/>
        <v>2.5992897854448858</v>
      </c>
    </row>
    <row r="336" spans="3:14">
      <c r="C336" s="4">
        <f>Pressure!AB336*1000000</f>
        <v>5079313.6891457569</v>
      </c>
      <c r="D336" s="78">
        <f>Pressure!I336</f>
        <v>8.1256230789298584E-5</v>
      </c>
      <c r="E336" s="40">
        <f>Pressure!H336</f>
        <v>81.256230789298584</v>
      </c>
      <c r="F336" s="10">
        <f t="shared" si="34"/>
        <v>4.5</v>
      </c>
      <c r="G336" s="4">
        <f t="shared" si="33"/>
        <v>215250.63914125884</v>
      </c>
      <c r="H336" s="42">
        <f t="shared" si="35"/>
        <v>8.0471008603980891</v>
      </c>
      <c r="I336" s="10">
        <f t="shared" si="36"/>
        <v>1.1960711574205551</v>
      </c>
      <c r="J336" s="4">
        <f t="shared" si="37"/>
        <v>493.64952741965931</v>
      </c>
      <c r="K336" s="4">
        <f t="shared" si="38"/>
        <v>110.97736779363773</v>
      </c>
      <c r="L336" s="42">
        <f>Pressure!Q336</f>
        <v>0.15093070973746142</v>
      </c>
      <c r="M336" s="10">
        <f t="shared" si="40"/>
        <v>0.23638767531045785</v>
      </c>
      <c r="N336" s="10">
        <f t="shared" si="39"/>
        <v>2.5992897854448858</v>
      </c>
    </row>
    <row r="337" spans="3:14">
      <c r="C337" s="4">
        <f>Pressure!AB337*1000000</f>
        <v>5079619.4200278744</v>
      </c>
      <c r="D337" s="78">
        <f>Pressure!I337</f>
        <v>8.1256230789298584E-5</v>
      </c>
      <c r="E337" s="40">
        <f>Pressure!H337</f>
        <v>81.256230789298584</v>
      </c>
      <c r="F337" s="10">
        <f t="shared" si="34"/>
        <v>4.5</v>
      </c>
      <c r="G337" s="4">
        <f t="shared" si="33"/>
        <v>215263.59537349973</v>
      </c>
      <c r="H337" s="42">
        <f t="shared" si="35"/>
        <v>8.0474796789352627</v>
      </c>
      <c r="I337" s="10">
        <f t="shared" si="36"/>
        <v>1.1960765430564291</v>
      </c>
      <c r="J337" s="4">
        <f t="shared" si="37"/>
        <v>493.68146378930123</v>
      </c>
      <c r="K337" s="4">
        <f t="shared" si="38"/>
        <v>110.9845474100313</v>
      </c>
      <c r="L337" s="42">
        <f>Pressure!Q337</f>
        <v>0.15140957337549829</v>
      </c>
      <c r="M337" s="10">
        <f t="shared" si="40"/>
        <v>0.23639845519843558</v>
      </c>
      <c r="N337" s="10">
        <f t="shared" si="39"/>
        <v>2.5992897854448858</v>
      </c>
    </row>
    <row r="338" spans="3:14">
      <c r="C338" s="4">
        <f>Pressure!AB338*1000000</f>
        <v>5079922.6216698801</v>
      </c>
      <c r="D338" s="78">
        <f>Pressure!I338</f>
        <v>8.1256230789298584E-5</v>
      </c>
      <c r="E338" s="40">
        <f>Pressure!H338</f>
        <v>81.256230789298584</v>
      </c>
      <c r="F338" s="10">
        <f t="shared" si="34"/>
        <v>4.5</v>
      </c>
      <c r="G338" s="4">
        <f t="shared" si="33"/>
        <v>215276.44442186033</v>
      </c>
      <c r="H338" s="42">
        <f t="shared" si="35"/>
        <v>8.047855359610022</v>
      </c>
      <c r="I338" s="10">
        <f t="shared" si="36"/>
        <v>1.1960818834979585</v>
      </c>
      <c r="J338" s="4">
        <f t="shared" si="37"/>
        <v>493.71313595682329</v>
      </c>
      <c r="K338" s="4">
        <f t="shared" si="38"/>
        <v>110.99166763113693</v>
      </c>
      <c r="L338" s="42">
        <f>Pressure!Q338</f>
        <v>0.15188842781921594</v>
      </c>
      <c r="M338" s="10">
        <f t="shared" si="40"/>
        <v>0.23640914589561945</v>
      </c>
      <c r="N338" s="10">
        <f t="shared" si="39"/>
        <v>2.5992897854448858</v>
      </c>
    </row>
    <row r="339" spans="3:14">
      <c r="C339" s="4">
        <f>Pressure!AB339*1000000</f>
        <v>5080223.2939297212</v>
      </c>
      <c r="D339" s="78">
        <f>Pressure!I339</f>
        <v>8.1256230789298584E-5</v>
      </c>
      <c r="E339" s="40">
        <f>Pressure!H339</f>
        <v>81.256230789298584</v>
      </c>
      <c r="F339" s="10">
        <f t="shared" si="34"/>
        <v>4.5</v>
      </c>
      <c r="G339" s="4">
        <f t="shared" si="33"/>
        <v>215289.18628032069</v>
      </c>
      <c r="H339" s="42">
        <f t="shared" si="35"/>
        <v>8.0482279023459622</v>
      </c>
      <c r="I339" s="10">
        <f t="shared" si="36"/>
        <v>1.1960871787587106</v>
      </c>
      <c r="J339" s="4">
        <f t="shared" si="37"/>
        <v>493.74454390738703</v>
      </c>
      <c r="K339" s="4">
        <f t="shared" si="38"/>
        <v>110.99872845361878</v>
      </c>
      <c r="L339" s="42">
        <f>Pressure!Q339</f>
        <v>0.15236727314539766</v>
      </c>
      <c r="M339" s="10">
        <f t="shared" si="40"/>
        <v>0.23641974740261412</v>
      </c>
      <c r="N339" s="10">
        <f t="shared" si="39"/>
        <v>2.5992897854448858</v>
      </c>
    </row>
    <row r="340" spans="3:14">
      <c r="C340" s="4">
        <f>Pressure!AB340*1000000</f>
        <v>5080521.4366664281</v>
      </c>
      <c r="D340" s="78">
        <f>Pressure!I340</f>
        <v>8.1256230789298584E-5</v>
      </c>
      <c r="E340" s="40">
        <f>Pressure!H340</f>
        <v>81.256230789298584</v>
      </c>
      <c r="F340" s="10">
        <f t="shared" si="34"/>
        <v>4.5</v>
      </c>
      <c r="G340" s="4">
        <f t="shared" si="33"/>
        <v>215301.82094290681</v>
      </c>
      <c r="H340" s="42">
        <f t="shared" si="35"/>
        <v>8.0485973070671939</v>
      </c>
      <c r="I340" s="10">
        <f t="shared" si="36"/>
        <v>1.1960924288521333</v>
      </c>
      <c r="J340" s="4">
        <f t="shared" si="37"/>
        <v>493.77568762626669</v>
      </c>
      <c r="K340" s="4">
        <f t="shared" si="38"/>
        <v>111.00572987416633</v>
      </c>
      <c r="L340" s="42">
        <f>Pressure!Q340</f>
        <v>0.15284610943081298</v>
      </c>
      <c r="M340" s="10">
        <f t="shared" si="40"/>
        <v>0.23643025972002218</v>
      </c>
      <c r="N340" s="10">
        <f t="shared" si="39"/>
        <v>2.5992897854448858</v>
      </c>
    </row>
    <row r="341" spans="3:14">
      <c r="C341" s="4">
        <f>Pressure!AB341*1000000</f>
        <v>5080817.0497400444</v>
      </c>
      <c r="D341" s="78">
        <f>Pressure!I341</f>
        <v>8.1256230789298584E-5</v>
      </c>
      <c r="E341" s="40">
        <f>Pressure!H341</f>
        <v>81.256230789298584</v>
      </c>
      <c r="F341" s="10">
        <f t="shared" si="34"/>
        <v>4.5</v>
      </c>
      <c r="G341" s="4">
        <f t="shared" si="33"/>
        <v>215314.34840368768</v>
      </c>
      <c r="H341" s="42">
        <f t="shared" si="35"/>
        <v>8.0489635736982272</v>
      </c>
      <c r="I341" s="10">
        <f t="shared" si="36"/>
        <v>1.1960976337915552</v>
      </c>
      <c r="J341" s="4">
        <f t="shared" si="37"/>
        <v>493.80656709884266</v>
      </c>
      <c r="K341" s="4">
        <f t="shared" si="38"/>
        <v>111.01267188949298</v>
      </c>
      <c r="L341" s="42">
        <f>Pressure!Q341</f>
        <v>0.15332493675221773</v>
      </c>
      <c r="M341" s="10">
        <f t="shared" si="40"/>
        <v>0.23644068284844438</v>
      </c>
      <c r="N341" s="10">
        <f t="shared" si="39"/>
        <v>2.5992897854448858</v>
      </c>
    </row>
    <row r="342" spans="3:14">
      <c r="C342" s="4">
        <f>Pressure!AB342*1000000</f>
        <v>5081110.1330119921</v>
      </c>
      <c r="D342" s="78">
        <f>Pressure!I342</f>
        <v>8.1256230789298584E-5</v>
      </c>
      <c r="E342" s="40">
        <f>Pressure!H342</f>
        <v>81.256230789298584</v>
      </c>
      <c r="F342" s="10">
        <f t="shared" si="34"/>
        <v>4.5</v>
      </c>
      <c r="G342" s="4">
        <f t="shared" si="33"/>
        <v>215326.76865679061</v>
      </c>
      <c r="H342" s="42">
        <f t="shared" si="35"/>
        <v>8.0493267021644748</v>
      </c>
      <c r="I342" s="10">
        <f t="shared" si="36"/>
        <v>1.1961027935901918</v>
      </c>
      <c r="J342" s="4">
        <f t="shared" si="37"/>
        <v>493.83718231063915</v>
      </c>
      <c r="K342" s="4">
        <f t="shared" si="38"/>
        <v>111.0195544963444</v>
      </c>
      <c r="L342" s="42">
        <f>Pressure!Q342</f>
        <v>0.1538037551863542</v>
      </c>
      <c r="M342" s="10">
        <f t="shared" si="40"/>
        <v>0.23645101678845951</v>
      </c>
      <c r="N342" s="10">
        <f t="shared" si="39"/>
        <v>2.5992897854448858</v>
      </c>
    </row>
    <row r="343" spans="3:14">
      <c r="C343" s="4">
        <f>Pressure!AB343*1000000</f>
        <v>5081400.6863444047</v>
      </c>
      <c r="D343" s="78">
        <f>Pressure!I343</f>
        <v>8.1256230789298584E-5</v>
      </c>
      <c r="E343" s="40">
        <f>Pressure!H343</f>
        <v>81.256230789298584</v>
      </c>
      <c r="F343" s="10">
        <f t="shared" si="34"/>
        <v>4.5</v>
      </c>
      <c r="G343" s="4">
        <f t="shared" si="33"/>
        <v>215339.08169637309</v>
      </c>
      <c r="H343" s="42">
        <f t="shared" si="35"/>
        <v>8.049686692391365</v>
      </c>
      <c r="I343" s="10">
        <f t="shared" si="36"/>
        <v>1.1961079082611337</v>
      </c>
      <c r="J343" s="4">
        <f t="shared" si="37"/>
        <v>493.86753324725487</v>
      </c>
      <c r="K343" s="4">
        <f t="shared" si="38"/>
        <v>111.02637769148305</v>
      </c>
      <c r="L343" s="42">
        <f>Pressure!Q343</f>
        <v>0.15428256480995126</v>
      </c>
      <c r="M343" s="10">
        <f t="shared" si="40"/>
        <v>0.23646126154065802</v>
      </c>
      <c r="N343" s="10">
        <f t="shared" si="39"/>
        <v>2.5992897854448858</v>
      </c>
    </row>
    <row r="344" spans="3:14">
      <c r="C344" s="4">
        <f>Pressure!AB344*1000000</f>
        <v>5081688.7096006796</v>
      </c>
      <c r="D344" s="78">
        <f>Pressure!I344</f>
        <v>8.1256230789298584E-5</v>
      </c>
      <c r="E344" s="40">
        <f>Pressure!H344</f>
        <v>81.256230789298584</v>
      </c>
      <c r="F344" s="10">
        <f t="shared" si="34"/>
        <v>4.5</v>
      </c>
      <c r="G344" s="4">
        <f t="shared" si="33"/>
        <v>215351.28751664626</v>
      </c>
      <c r="H344" s="42">
        <f t="shared" si="35"/>
        <v>8.0500435443050797</v>
      </c>
      <c r="I344" s="10">
        <f t="shared" si="36"/>
        <v>1.1961129778173563</v>
      </c>
      <c r="J344" s="4">
        <f t="shared" si="37"/>
        <v>493.89761989442025</v>
      </c>
      <c r="K344" s="4">
        <f t="shared" si="38"/>
        <v>111.03314147170097</v>
      </c>
      <c r="L344" s="42">
        <f>Pressure!Q344</f>
        <v>0.15476136569972448</v>
      </c>
      <c r="M344" s="10">
        <f t="shared" si="40"/>
        <v>0.23647141710561181</v>
      </c>
      <c r="N344" s="10">
        <f t="shared" si="39"/>
        <v>2.5992897854448858</v>
      </c>
    </row>
    <row r="345" spans="3:14">
      <c r="C345" s="4">
        <f>Pressure!AB345*1000000</f>
        <v>5081974.2026451537</v>
      </c>
      <c r="D345" s="78">
        <f>Pressure!I345</f>
        <v>8.1256230789298584E-5</v>
      </c>
      <c r="E345" s="40">
        <f>Pressure!H345</f>
        <v>81.256230789298584</v>
      </c>
      <c r="F345" s="10">
        <f t="shared" si="34"/>
        <v>4.5</v>
      </c>
      <c r="G345" s="4">
        <f t="shared" si="33"/>
        <v>215363.38611186095</v>
      </c>
      <c r="H345" s="42">
        <f t="shared" si="35"/>
        <v>8.050397257832115</v>
      </c>
      <c r="I345" s="10">
        <f t="shared" si="36"/>
        <v>1.1961180022717146</v>
      </c>
      <c r="J345" s="4">
        <f t="shared" si="37"/>
        <v>493.92744223796416</v>
      </c>
      <c r="K345" s="4">
        <f t="shared" si="38"/>
        <v>111.03984583381236</v>
      </c>
      <c r="L345" s="42">
        <f>Pressure!Q345</f>
        <v>0.15524015793237622</v>
      </c>
      <c r="M345" s="10">
        <f t="shared" si="40"/>
        <v>0.23648148348385251</v>
      </c>
      <c r="N345" s="10">
        <f t="shared" si="39"/>
        <v>2.5992897854448858</v>
      </c>
    </row>
    <row r="346" spans="3:14">
      <c r="C346" s="4">
        <f>Pressure!AB346*1000000</f>
        <v>5082257.1653433712</v>
      </c>
      <c r="D346" s="78">
        <f>Pressure!I346</f>
        <v>8.1256230789298584E-5</v>
      </c>
      <c r="E346" s="40">
        <f>Pressure!H346</f>
        <v>81.256230789298584</v>
      </c>
      <c r="F346" s="10">
        <f t="shared" si="34"/>
        <v>4.5</v>
      </c>
      <c r="G346" s="4">
        <f t="shared" si="33"/>
        <v>215375.37747631923</v>
      </c>
      <c r="H346" s="42">
        <f t="shared" si="35"/>
        <v>8.0507478328996385</v>
      </c>
      <c r="I346" s="10">
        <f t="shared" si="36"/>
        <v>1.1961229816369481</v>
      </c>
      <c r="J346" s="4">
        <f t="shared" si="37"/>
        <v>493.95700026384156</v>
      </c>
      <c r="K346" s="4">
        <f t="shared" si="38"/>
        <v>111.04649077465977</v>
      </c>
      <c r="L346" s="42">
        <f>Pressure!Q346</f>
        <v>0.15571894158459579</v>
      </c>
      <c r="M346" s="10">
        <f t="shared" si="40"/>
        <v>0.23649146067595248</v>
      </c>
      <c r="N346" s="10">
        <f t="shared" si="39"/>
        <v>2.5992897854448858</v>
      </c>
    </row>
    <row r="347" spans="3:14">
      <c r="C347" s="4">
        <f>Pressure!AB347*1000000</f>
        <v>5082537.5975618139</v>
      </c>
      <c r="D347" s="78">
        <f>Pressure!I347</f>
        <v>8.1256230789298584E-5</v>
      </c>
      <c r="E347" s="40">
        <f>Pressure!H347</f>
        <v>81.256230789298584</v>
      </c>
      <c r="F347" s="10">
        <f t="shared" si="34"/>
        <v>4.5</v>
      </c>
      <c r="G347" s="4">
        <f t="shared" si="33"/>
        <v>215387.26160436287</v>
      </c>
      <c r="H347" s="42">
        <f t="shared" si="35"/>
        <v>8.051095269435141</v>
      </c>
      <c r="I347" s="10">
        <f t="shared" si="36"/>
        <v>1.1961279159256746</v>
      </c>
      <c r="J347" s="4">
        <f t="shared" si="37"/>
        <v>493.98629395810502</v>
      </c>
      <c r="K347" s="4">
        <f t="shared" si="38"/>
        <v>111.05307629110764</v>
      </c>
      <c r="L347" s="42">
        <f>Pressure!Q347</f>
        <v>0.15619771673305954</v>
      </c>
      <c r="M347" s="10">
        <f t="shared" si="40"/>
        <v>0.2365013486824423</v>
      </c>
      <c r="N347" s="10">
        <f t="shared" si="39"/>
        <v>2.5992897854448858</v>
      </c>
    </row>
    <row r="348" spans="3:14">
      <c r="C348" s="4">
        <f>Pressure!AB348*1000000</f>
        <v>5082815.4991683392</v>
      </c>
      <c r="D348" s="78">
        <f>Pressure!I348</f>
        <v>8.1256230789298584E-5</v>
      </c>
      <c r="E348" s="40">
        <f>Pressure!H348</f>
        <v>81.256230789298584</v>
      </c>
      <c r="F348" s="10">
        <f t="shared" si="34"/>
        <v>4.5</v>
      </c>
      <c r="G348" s="4">
        <f t="shared" ref="G348:G411" si="41">IF(C348/(1+(k-1)/2*N348^2)^(k/(k-1))&lt;patm*1000000,patm*1000000,C348/(1+(k-1)/2*N348^2)^(k/(k-1)))</f>
        <v>215399.03849039195</v>
      </c>
      <c r="H348" s="42">
        <f t="shared" si="35"/>
        <v>8.0514395673669696</v>
      </c>
      <c r="I348" s="10">
        <f t="shared" si="36"/>
        <v>1.1961328051504008</v>
      </c>
      <c r="J348" s="4">
        <f t="shared" si="37"/>
        <v>494.0153233069513</v>
      </c>
      <c r="K348" s="4">
        <f t="shared" si="38"/>
        <v>111.05960238005289</v>
      </c>
      <c r="L348" s="42">
        <f>Pressure!Q348</f>
        <v>0.156676483454431</v>
      </c>
      <c r="M348" s="10">
        <f t="shared" si="40"/>
        <v>0.23651114750384267</v>
      </c>
      <c r="N348" s="10">
        <f t="shared" si="39"/>
        <v>2.5992897854448858</v>
      </c>
    </row>
    <row r="349" spans="3:14">
      <c r="C349" s="4">
        <f>Pressure!AB349*1000000</f>
        <v>5083090.8700314118</v>
      </c>
      <c r="D349" s="78">
        <f>Pressure!I349</f>
        <v>8.1256230789298584E-5</v>
      </c>
      <c r="E349" s="40">
        <f>Pressure!H349</f>
        <v>81.256230789298584</v>
      </c>
      <c r="F349" s="10">
        <f t="shared" ref="F349:F412" si="42">aexit/E349</f>
        <v>4.5</v>
      </c>
      <c r="G349" s="4">
        <f t="shared" si="41"/>
        <v>215410.70812883225</v>
      </c>
      <c r="H349" s="42">
        <f t="shared" ref="H349:H412" si="43">1/(((k+1)/2)^(1/(k-1))*(patm*1000000/C349)^(1/k)*SQRT((k+1)/(k-1)*(1-(patm*1000000/C349)^((k-1)/k))))</f>
        <v>8.0517807266234147</v>
      </c>
      <c r="I349" s="10">
        <f t="shared" ref="I349:I412" si="44">etanoz*SQRT(2*k^2/(k-1)*(2/(k+1))^((k+1)/(k-1))*(1-(G349/C349)^((k-1)/k)))+(G349-patm*1000000)/C349*(aexit/E349)</f>
        <v>1.1961376493235059</v>
      </c>
      <c r="J349" s="4">
        <f t="shared" ref="J349:J412" si="45">I349*D349*C349</f>
        <v>494.04408829664015</v>
      </c>
      <c r="K349" s="4">
        <f t="shared" ref="K349:K412" si="46">J349/4.4482</f>
        <v>111.06606903840658</v>
      </c>
      <c r="L349" s="42">
        <f>Pressure!Q349</f>
        <v>0.157155241825361</v>
      </c>
      <c r="M349" s="10">
        <f t="shared" si="40"/>
        <v>0.23652085714069723</v>
      </c>
      <c r="N349" s="10">
        <f t="shared" si="39"/>
        <v>2.5992897854448858</v>
      </c>
    </row>
    <row r="350" spans="3:14">
      <c r="C350" s="4">
        <f>Pressure!AB350*1000000</f>
        <v>5083363.7100208076</v>
      </c>
      <c r="D350" s="78">
        <f>Pressure!I350</f>
        <v>8.1256230789298584E-5</v>
      </c>
      <c r="E350" s="40">
        <f>Pressure!H350</f>
        <v>81.256230789298584</v>
      </c>
      <c r="F350" s="10">
        <f t="shared" si="42"/>
        <v>4.5</v>
      </c>
      <c r="G350" s="4">
        <f t="shared" si="41"/>
        <v>215422.27051416517</v>
      </c>
      <c r="H350" s="42">
        <f t="shared" si="43"/>
        <v>8.0521187471335303</v>
      </c>
      <c r="I350" s="10">
        <f t="shared" si="44"/>
        <v>1.1961424484572558</v>
      </c>
      <c r="J350" s="4">
        <f t="shared" si="45"/>
        <v>494.07258891356855</v>
      </c>
      <c r="K350" s="4">
        <f t="shared" si="46"/>
        <v>111.0724762631106</v>
      </c>
      <c r="L350" s="42">
        <f>Pressure!Q350</f>
        <v>0.15763399192248781</v>
      </c>
      <c r="M350" s="10">
        <f t="shared" si="40"/>
        <v>0.23653047759350243</v>
      </c>
      <c r="N350" s="10">
        <f t="shared" ref="N350:N413" si="47">N349-1/834*(me-mef)</f>
        <v>2.5992897854448858</v>
      </c>
    </row>
    <row r="351" spans="3:14">
      <c r="C351" s="4">
        <f>Pressure!AB351*1000000</f>
        <v>5083634.0190075189</v>
      </c>
      <c r="D351" s="78">
        <f>Pressure!I351</f>
        <v>8.1256230789298584E-5</v>
      </c>
      <c r="E351" s="40">
        <f>Pressure!H351</f>
        <v>81.256230789298584</v>
      </c>
      <c r="F351" s="10">
        <f t="shared" si="42"/>
        <v>4.5</v>
      </c>
      <c r="G351" s="4">
        <f t="shared" si="41"/>
        <v>215433.72564092366</v>
      </c>
      <c r="H351" s="42">
        <f t="shared" si="43"/>
        <v>8.0524536288270685</v>
      </c>
      <c r="I351" s="10">
        <f t="shared" si="44"/>
        <v>1.1961472025638018</v>
      </c>
      <c r="J351" s="4">
        <f t="shared" si="45"/>
        <v>494.10082514426063</v>
      </c>
      <c r="K351" s="4">
        <f t="shared" si="46"/>
        <v>111.07882405113543</v>
      </c>
      <c r="L351" s="42">
        <f>Pressure!Q351</f>
        <v>0.15811273382243718</v>
      </c>
      <c r="M351" s="10">
        <f t="shared" si="40"/>
        <v>0.2365400088627502</v>
      </c>
      <c r="N351" s="10">
        <f t="shared" si="47"/>
        <v>2.5992897854448858</v>
      </c>
    </row>
    <row r="352" spans="3:14">
      <c r="C352" s="4">
        <f>Pressure!AB352*1000000</f>
        <v>5083901.7968633818</v>
      </c>
      <c r="D352" s="78">
        <f>Pressure!I352</f>
        <v>8.1256230789298584E-5</v>
      </c>
      <c r="E352" s="40">
        <f>Pressure!H352</f>
        <v>81.256230789298584</v>
      </c>
      <c r="F352" s="10">
        <f t="shared" si="42"/>
        <v>4.5</v>
      </c>
      <c r="G352" s="4">
        <f t="shared" si="41"/>
        <v>215445.07350367637</v>
      </c>
      <c r="H352" s="42">
        <f t="shared" si="43"/>
        <v>8.0527853716339681</v>
      </c>
      <c r="I352" s="10">
        <f t="shared" si="44"/>
        <v>1.1961519116551722</v>
      </c>
      <c r="J352" s="4">
        <f t="shared" si="45"/>
        <v>494.12879697532816</v>
      </c>
      <c r="K352" s="4">
        <f t="shared" si="46"/>
        <v>111.08511239947129</v>
      </c>
      <c r="L352" s="42">
        <f>Pressure!Q352</f>
        <v>0.15859146760182258</v>
      </c>
      <c r="M352" s="10">
        <f t="shared" si="40"/>
        <v>0.23654945094895749</v>
      </c>
      <c r="N352" s="10">
        <f t="shared" si="47"/>
        <v>2.5992897854448858</v>
      </c>
    </row>
    <row r="353" spans="3:14">
      <c r="C353" s="4">
        <f>Pressure!AB353*1000000</f>
        <v>5084167.0434612967</v>
      </c>
      <c r="D353" s="78">
        <f>Pressure!I353</f>
        <v>8.1256230789298584E-5</v>
      </c>
      <c r="E353" s="40">
        <f>Pressure!H353</f>
        <v>81.256230789298584</v>
      </c>
      <c r="F353" s="10">
        <f t="shared" si="42"/>
        <v>4.5</v>
      </c>
      <c r="G353" s="4">
        <f t="shared" si="41"/>
        <v>215456.31409703707</v>
      </c>
      <c r="H353" s="42">
        <f t="shared" si="43"/>
        <v>8.0531139754846652</v>
      </c>
      <c r="I353" s="10">
        <f t="shared" si="44"/>
        <v>1.1961565757432784</v>
      </c>
      <c r="J353" s="4">
        <f t="shared" si="45"/>
        <v>494.15650439349469</v>
      </c>
      <c r="K353" s="4">
        <f t="shared" si="46"/>
        <v>111.09134130513347</v>
      </c>
      <c r="L353" s="42">
        <f>Pressure!Q353</f>
        <v>0.1590701933372452</v>
      </c>
      <c r="M353" s="10">
        <f t="shared" si="40"/>
        <v>0.23655880385258007</v>
      </c>
      <c r="N353" s="10">
        <f t="shared" si="47"/>
        <v>2.5992897854448858</v>
      </c>
    </row>
    <row r="354" spans="3:14">
      <c r="C354" s="4">
        <f>Pressure!AB354*1000000</f>
        <v>5084429.7586753638</v>
      </c>
      <c r="D354" s="78">
        <f>Pressure!I354</f>
        <v>8.1256230789298584E-5</v>
      </c>
      <c r="E354" s="40">
        <f>Pressure!H354</f>
        <v>81.256230789298584</v>
      </c>
      <c r="F354" s="10">
        <f t="shared" si="42"/>
        <v>4.5</v>
      </c>
      <c r="G354" s="4">
        <f t="shared" si="41"/>
        <v>215467.44741567044</v>
      </c>
      <c r="H354" s="42">
        <f t="shared" si="43"/>
        <v>8.0534394403102425</v>
      </c>
      <c r="I354" s="10">
        <f t="shared" si="44"/>
        <v>1.1961611948399162</v>
      </c>
      <c r="J354" s="4">
        <f t="shared" si="45"/>
        <v>494.18394738560875</v>
      </c>
      <c r="K354" s="4">
        <f t="shared" si="46"/>
        <v>111.09751076516541</v>
      </c>
      <c r="L354" s="42">
        <f>Pressure!Q354</f>
        <v>0.15954891110529421</v>
      </c>
      <c r="M354" s="10">
        <f t="shared" si="40"/>
        <v>0.23656806757411777</v>
      </c>
      <c r="N354" s="10">
        <f t="shared" si="47"/>
        <v>2.5992897854448858</v>
      </c>
    </row>
    <row r="355" spans="3:14">
      <c r="C355" s="4">
        <f>Pressure!AB355*1000000</f>
        <v>5084689.942380907</v>
      </c>
      <c r="D355" s="78">
        <f>Pressure!I355</f>
        <v>8.1256230789298584E-5</v>
      </c>
      <c r="E355" s="40">
        <f>Pressure!H355</f>
        <v>81.256230789298584</v>
      </c>
      <c r="F355" s="10">
        <f t="shared" si="42"/>
        <v>4.5</v>
      </c>
      <c r="G355" s="4">
        <f t="shared" si="41"/>
        <v>215478.47345429295</v>
      </c>
      <c r="H355" s="42">
        <f t="shared" si="43"/>
        <v>8.0537617660424718</v>
      </c>
      <c r="I355" s="10">
        <f t="shared" si="44"/>
        <v>1.1961657689567664</v>
      </c>
      <c r="J355" s="4">
        <f t="shared" si="45"/>
        <v>494.21112593864683</v>
      </c>
      <c r="K355" s="4">
        <f t="shared" si="46"/>
        <v>111.10362077663927</v>
      </c>
      <c r="L355" s="42">
        <f>Pressure!Q355</f>
        <v>0.16002762098254672</v>
      </c>
      <c r="M355" s="10">
        <f t="shared" si="40"/>
        <v>0.2365772421140222</v>
      </c>
      <c r="N355" s="10">
        <f t="shared" si="47"/>
        <v>2.5992897854448858</v>
      </c>
    </row>
    <row r="356" spans="3:14">
      <c r="C356" s="4">
        <f>Pressure!AB356*1000000</f>
        <v>5084947.5944538303</v>
      </c>
      <c r="D356" s="78">
        <f>Pressure!I356</f>
        <v>8.1256230789298584E-5</v>
      </c>
      <c r="E356" s="40">
        <f>Pressure!H356</f>
        <v>81.256230789298584</v>
      </c>
      <c r="F356" s="10">
        <f t="shared" si="42"/>
        <v>4.5</v>
      </c>
      <c r="G356" s="4">
        <f t="shared" si="41"/>
        <v>215489.39220764567</v>
      </c>
      <c r="H356" s="42">
        <f t="shared" si="43"/>
        <v>8.0540809526130044</v>
      </c>
      <c r="I356" s="10">
        <f t="shared" si="44"/>
        <v>1.1961702981053839</v>
      </c>
      <c r="J356" s="4">
        <f t="shared" si="45"/>
        <v>494.23804003964602</v>
      </c>
      <c r="K356" s="4">
        <f t="shared" si="46"/>
        <v>111.1096713366409</v>
      </c>
      <c r="L356" s="42">
        <f>Pressure!Q356</f>
        <v>0.160506323045568</v>
      </c>
      <c r="M356" s="10">
        <f t="shared" si="40"/>
        <v>0.23658632747273628</v>
      </c>
      <c r="N356" s="10">
        <f t="shared" si="47"/>
        <v>2.5992897854448858</v>
      </c>
    </row>
    <row r="357" spans="3:14">
      <c r="C357" s="4">
        <f>Pressure!AB357*1000000</f>
        <v>5085202.7147715641</v>
      </c>
      <c r="D357" s="78">
        <f>Pressure!I357</f>
        <v>8.1256230789298584E-5</v>
      </c>
      <c r="E357" s="40">
        <f>Pressure!H357</f>
        <v>81.256230789298584</v>
      </c>
      <c r="F357" s="10">
        <f t="shared" si="42"/>
        <v>4.5</v>
      </c>
      <c r="G357" s="4">
        <f t="shared" si="41"/>
        <v>215500.20367053433</v>
      </c>
      <c r="H357" s="42">
        <f t="shared" si="43"/>
        <v>8.0543969999545428</v>
      </c>
      <c r="I357" s="10">
        <f t="shared" si="44"/>
        <v>1.1961747822972137</v>
      </c>
      <c r="J357" s="4">
        <f t="shared" si="45"/>
        <v>494.26468967580269</v>
      </c>
      <c r="K357" s="4">
        <f t="shared" si="46"/>
        <v>111.11566244229186</v>
      </c>
      <c r="L357" s="42">
        <f>Pressure!Q357</f>
        <v>0.16098501737091162</v>
      </c>
      <c r="M357" s="10">
        <f t="shared" si="40"/>
        <v>0.23659532365072922</v>
      </c>
      <c r="N357" s="10">
        <f t="shared" si="47"/>
        <v>2.5992897854448858</v>
      </c>
    </row>
    <row r="358" spans="3:14">
      <c r="C358" s="4">
        <f>Pressure!AB358*1000000</f>
        <v>5085455.3032123353</v>
      </c>
      <c r="D358" s="78">
        <f>Pressure!I358</f>
        <v>8.1256230789298584E-5</v>
      </c>
      <c r="E358" s="40">
        <f>Pressure!H358</f>
        <v>81.256230789298584</v>
      </c>
      <c r="F358" s="10">
        <f t="shared" si="42"/>
        <v>4.5</v>
      </c>
      <c r="G358" s="4">
        <f t="shared" si="41"/>
        <v>215510.90783779847</v>
      </c>
      <c r="H358" s="42">
        <f t="shared" si="43"/>
        <v>8.0547099079999551</v>
      </c>
      <c r="I358" s="10">
        <f t="shared" si="44"/>
        <v>1.1961792215435794</v>
      </c>
      <c r="J358" s="4">
        <f t="shared" si="45"/>
        <v>494.29107483439662</v>
      </c>
      <c r="K358" s="4">
        <f t="shared" si="46"/>
        <v>111.12159409073257</v>
      </c>
      <c r="L358" s="42">
        <f>Pressure!Q358</f>
        <v>0.16146370403511948</v>
      </c>
      <c r="M358" s="10">
        <f t="shared" si="40"/>
        <v>0.23660423064841971</v>
      </c>
      <c r="N358" s="10">
        <f t="shared" si="47"/>
        <v>2.5992897854448858</v>
      </c>
    </row>
    <row r="359" spans="3:14">
      <c r="C359" s="4">
        <f>Pressure!AB359*1000000</f>
        <v>5085705.3596557425</v>
      </c>
      <c r="D359" s="78">
        <f>Pressure!I359</f>
        <v>8.1256230789298584E-5</v>
      </c>
      <c r="E359" s="40">
        <f>Pressure!H359</f>
        <v>81.256230789298584</v>
      </c>
      <c r="F359" s="10">
        <f t="shared" si="42"/>
        <v>4.5</v>
      </c>
      <c r="G359" s="4">
        <f t="shared" si="41"/>
        <v>215521.50470433573</v>
      </c>
      <c r="H359" s="42">
        <f t="shared" si="43"/>
        <v>8.05501967668296</v>
      </c>
      <c r="I359" s="10">
        <f t="shared" si="44"/>
        <v>1.196183615855692</v>
      </c>
      <c r="J359" s="4">
        <f t="shared" si="45"/>
        <v>494.31719550285072</v>
      </c>
      <c r="K359" s="4">
        <f t="shared" si="46"/>
        <v>111.12746627913555</v>
      </c>
      <c r="L359" s="42">
        <f>Pressure!Q359</f>
        <v>0.161942383114722</v>
      </c>
      <c r="M359" s="10">
        <f t="shared" si="40"/>
        <v>0.23661304846624071</v>
      </c>
      <c r="N359" s="10">
        <f t="shared" si="47"/>
        <v>2.5992897854448858</v>
      </c>
    </row>
    <row r="360" spans="3:14">
      <c r="C360" s="4">
        <f>Pressure!AB360*1000000</f>
        <v>5085952.8839820148</v>
      </c>
      <c r="D360" s="78">
        <f>Pressure!I360</f>
        <v>8.1256230789298584E-5</v>
      </c>
      <c r="E360" s="40">
        <f>Pressure!H360</f>
        <v>81.256230789298584</v>
      </c>
      <c r="F360" s="10">
        <f t="shared" si="42"/>
        <v>4.5</v>
      </c>
      <c r="G360" s="4">
        <f t="shared" si="41"/>
        <v>215531.99426507048</v>
      </c>
      <c r="H360" s="42">
        <f t="shared" si="43"/>
        <v>8.0553263059372355</v>
      </c>
      <c r="I360" s="10">
        <f t="shared" si="44"/>
        <v>1.1961879652446379</v>
      </c>
      <c r="J360" s="4">
        <f t="shared" si="45"/>
        <v>494.34305166865391</v>
      </c>
      <c r="K360" s="4">
        <f t="shared" si="46"/>
        <v>111.13327900468818</v>
      </c>
      <c r="L360" s="42">
        <f>Pressure!Q360</f>
        <v>0.16242105468623821</v>
      </c>
      <c r="M360" s="10">
        <f t="shared" ref="M360:M423" si="48">(J360+J359)/2*(L360-L359)</f>
        <v>0.23662177710459401</v>
      </c>
      <c r="N360" s="10">
        <f t="shared" si="47"/>
        <v>2.5992897854448858</v>
      </c>
    </row>
    <row r="361" spans="3:14">
      <c r="C361" s="4">
        <f>Pressure!AB361*1000000</f>
        <v>5086197.8760727644</v>
      </c>
      <c r="D361" s="78">
        <f>Pressure!I361</f>
        <v>8.1256230789298584E-5</v>
      </c>
      <c r="E361" s="40">
        <f>Pressure!H361</f>
        <v>81.256230789298584</v>
      </c>
      <c r="F361" s="10">
        <f t="shared" si="42"/>
        <v>4.5</v>
      </c>
      <c r="G361" s="4">
        <f t="shared" si="41"/>
        <v>215542.37651498569</v>
      </c>
      <c r="H361" s="42">
        <f t="shared" si="43"/>
        <v>8.0556297956973335</v>
      </c>
      <c r="I361" s="10">
        <f t="shared" si="44"/>
        <v>1.1961922697213916</v>
      </c>
      <c r="J361" s="4">
        <f t="shared" si="45"/>
        <v>494.36864331943946</v>
      </c>
      <c r="K361" s="4">
        <f t="shared" si="46"/>
        <v>111.13903226461028</v>
      </c>
      <c r="L361" s="42">
        <f>Pressure!Q361</f>
        <v>0.16289971882617593</v>
      </c>
      <c r="M361" s="10">
        <f t="shared" si="48"/>
        <v>0.23663041656391945</v>
      </c>
      <c r="N361" s="10">
        <f t="shared" si="47"/>
        <v>2.5992897854448858</v>
      </c>
    </row>
    <row r="362" spans="3:14">
      <c r="C362" s="4">
        <f>Pressure!AB362*1000000</f>
        <v>5086440.3358107219</v>
      </c>
      <c r="D362" s="78">
        <f>Pressure!I362</f>
        <v>8.1256230789298584E-5</v>
      </c>
      <c r="E362" s="40">
        <f>Pressure!H362</f>
        <v>81.256230789298584</v>
      </c>
      <c r="F362" s="10">
        <f t="shared" si="42"/>
        <v>4.5</v>
      </c>
      <c r="G362" s="4">
        <f t="shared" si="41"/>
        <v>215552.6514491117</v>
      </c>
      <c r="H362" s="42">
        <f t="shared" si="43"/>
        <v>8.0559301458983583</v>
      </c>
      <c r="I362" s="10">
        <f t="shared" si="44"/>
        <v>1.1961965292968115</v>
      </c>
      <c r="J362" s="4">
        <f t="shared" si="45"/>
        <v>494.39397044295748</v>
      </c>
      <c r="K362" s="4">
        <f t="shared" si="46"/>
        <v>111.14472605614799</v>
      </c>
      <c r="L362" s="42">
        <f>Pressure!Q362</f>
        <v>0.1633783756110318</v>
      </c>
      <c r="M362" s="10">
        <f t="shared" si="48"/>
        <v>0.23663896684459704</v>
      </c>
      <c r="N362" s="10">
        <f t="shared" si="47"/>
        <v>2.5992897854448858</v>
      </c>
    </row>
    <row r="363" spans="3:14">
      <c r="C363" s="4">
        <f>Pressure!AB363*1000000</f>
        <v>5086680.2630794439</v>
      </c>
      <c r="D363" s="78">
        <f>Pressure!I363</f>
        <v>8.1256230789298584E-5</v>
      </c>
      <c r="E363" s="40">
        <f>Pressure!H363</f>
        <v>81.256230789298584</v>
      </c>
      <c r="F363" s="10">
        <f t="shared" si="42"/>
        <v>4.5</v>
      </c>
      <c r="G363" s="4">
        <f t="shared" si="41"/>
        <v>215562.81906251394</v>
      </c>
      <c r="H363" s="42">
        <f t="shared" si="43"/>
        <v>8.0562273564756026</v>
      </c>
      <c r="I363" s="10">
        <f t="shared" si="44"/>
        <v>1.1962007439816349</v>
      </c>
      <c r="J363" s="4">
        <f t="shared" si="45"/>
        <v>494.41903302704458</v>
      </c>
      <c r="K363" s="4">
        <f t="shared" si="46"/>
        <v>111.15036037656684</v>
      </c>
      <c r="L363" s="42">
        <f>Pressure!Q363</f>
        <v>0.16385702511729142</v>
      </c>
      <c r="M363" s="10">
        <f t="shared" si="48"/>
        <v>0.23664742794700183</v>
      </c>
      <c r="N363" s="10">
        <f t="shared" si="47"/>
        <v>2.5992897854448858</v>
      </c>
    </row>
    <row r="364" spans="3:14">
      <c r="C364" s="4">
        <f>Pressure!AB364*1000000</f>
        <v>5086917.6577637065</v>
      </c>
      <c r="D364" s="78">
        <f>Pressure!I364</f>
        <v>8.1256230789298584E-5</v>
      </c>
      <c r="E364" s="40">
        <f>Pressure!H364</f>
        <v>81.256230789298584</v>
      </c>
      <c r="F364" s="10">
        <f t="shared" si="42"/>
        <v>4.5</v>
      </c>
      <c r="G364" s="4">
        <f t="shared" si="41"/>
        <v>215572.87935030941</v>
      </c>
      <c r="H364" s="42">
        <f t="shared" si="43"/>
        <v>8.0565214273650412</v>
      </c>
      <c r="I364" s="10">
        <f t="shared" si="44"/>
        <v>1.1962049137864845</v>
      </c>
      <c r="J364" s="4">
        <f t="shared" si="45"/>
        <v>494.44383105966438</v>
      </c>
      <c r="K364" s="4">
        <f t="shared" si="46"/>
        <v>111.15593522316091</v>
      </c>
      <c r="L364" s="42">
        <f>Pressure!Q364</f>
        <v>0.16433566742142955</v>
      </c>
      <c r="M364" s="10">
        <f t="shared" si="48"/>
        <v>0.23665579987154775</v>
      </c>
      <c r="N364" s="10">
        <f t="shared" si="47"/>
        <v>2.5992897854448858</v>
      </c>
    </row>
    <row r="365" spans="3:14">
      <c r="C365" s="4">
        <f>Pressure!AB365*1000000</f>
        <v>5087152.5197493238</v>
      </c>
      <c r="D365" s="78">
        <f>Pressure!I365</f>
        <v>8.1256230789298584E-5</v>
      </c>
      <c r="E365" s="40">
        <f>Pressure!H365</f>
        <v>81.256230789298584</v>
      </c>
      <c r="F365" s="10">
        <f t="shared" si="42"/>
        <v>4.5</v>
      </c>
      <c r="G365" s="4">
        <f t="shared" si="41"/>
        <v>215582.83230765915</v>
      </c>
      <c r="H365" s="42">
        <f t="shared" si="43"/>
        <v>8.0568123585030911</v>
      </c>
      <c r="I365" s="10">
        <f t="shared" si="44"/>
        <v>1.1962090387218653</v>
      </c>
      <c r="J365" s="4">
        <f t="shared" si="45"/>
        <v>494.46836452888908</v>
      </c>
      <c r="K365" s="4">
        <f t="shared" si="46"/>
        <v>111.16145059324874</v>
      </c>
      <c r="L365" s="42">
        <f>Pressure!Q365</f>
        <v>0.16481430259991012</v>
      </c>
      <c r="M365" s="10">
        <f t="shared" si="48"/>
        <v>0.23666408261856917</v>
      </c>
      <c r="N365" s="10">
        <f t="shared" si="47"/>
        <v>2.5992897854448858</v>
      </c>
    </row>
    <row r="366" spans="3:14">
      <c r="C366" s="4">
        <f>Pressure!AB366*1000000</f>
        <v>5087384.8489231467</v>
      </c>
      <c r="D366" s="78">
        <f>Pressure!I366</f>
        <v>8.1256230789298584E-5</v>
      </c>
      <c r="E366" s="40">
        <f>Pressure!H366</f>
        <v>81.256230789298584</v>
      </c>
      <c r="F366" s="10">
        <f t="shared" si="42"/>
        <v>4.5</v>
      </c>
      <c r="G366" s="4">
        <f t="shared" si="41"/>
        <v>215592.67792976819</v>
      </c>
      <c r="H366" s="42">
        <f t="shared" si="43"/>
        <v>8.0571001498266313</v>
      </c>
      <c r="I366" s="10">
        <f t="shared" si="44"/>
        <v>1.1962131187981657</v>
      </c>
      <c r="J366" s="4">
        <f t="shared" si="45"/>
        <v>494.49263342289942</v>
      </c>
      <c r="K366" s="4">
        <f t="shared" si="46"/>
        <v>111.16690648417324</v>
      </c>
      <c r="L366" s="42">
        <f>Pressure!Q366</f>
        <v>0.16529293072918641</v>
      </c>
      <c r="M366" s="10">
        <f t="shared" si="48"/>
        <v>0.23667227618844011</v>
      </c>
      <c r="N366" s="10">
        <f t="shared" si="47"/>
        <v>2.5992897854448858</v>
      </c>
    </row>
    <row r="367" spans="3:14">
      <c r="C367" s="4">
        <f>Pressure!AB367*1000000</f>
        <v>5087614.6451732302</v>
      </c>
      <c r="D367" s="78">
        <f>Pressure!I367</f>
        <v>8.1256230789298584E-5</v>
      </c>
      <c r="E367" s="40">
        <f>Pressure!H367</f>
        <v>81.256230789298584</v>
      </c>
      <c r="F367" s="10">
        <f t="shared" si="42"/>
        <v>4.5</v>
      </c>
      <c r="G367" s="4">
        <f t="shared" si="41"/>
        <v>215602.41621189247</v>
      </c>
      <c r="H367" s="42">
        <f t="shared" si="43"/>
        <v>8.0573848012731961</v>
      </c>
      <c r="I367" s="10">
        <f t="shared" si="44"/>
        <v>1.1962171540256592</v>
      </c>
      <c r="J367" s="4">
        <f t="shared" si="45"/>
        <v>494.51663773000166</v>
      </c>
      <c r="K367" s="4">
        <f t="shared" si="46"/>
        <v>111.17230289330553</v>
      </c>
      <c r="L367" s="42">
        <f>Pressure!Q367</f>
        <v>0.16577155188570122</v>
      </c>
      <c r="M367" s="10">
        <f t="shared" si="48"/>
        <v>0.23668038058153715</v>
      </c>
      <c r="N367" s="10">
        <f t="shared" si="47"/>
        <v>2.5992897854448858</v>
      </c>
    </row>
    <row r="368" spans="3:14">
      <c r="C368" s="4">
        <f>Pressure!AB368*1000000</f>
        <v>5087841.9083885057</v>
      </c>
      <c r="D368" s="78">
        <f>Pressure!I368</f>
        <v>8.1256230789298584E-5</v>
      </c>
      <c r="E368" s="40">
        <f>Pressure!H368</f>
        <v>81.256230789298584</v>
      </c>
      <c r="F368" s="10">
        <f t="shared" si="42"/>
        <v>4.5</v>
      </c>
      <c r="G368" s="4">
        <f t="shared" si="41"/>
        <v>215612.0471493252</v>
      </c>
      <c r="H368" s="42">
        <f t="shared" si="43"/>
        <v>8.0576663127805617</v>
      </c>
      <c r="I368" s="10">
        <f t="shared" si="44"/>
        <v>1.196221144414499</v>
      </c>
      <c r="J368" s="4">
        <f t="shared" si="45"/>
        <v>494.54037743859357</v>
      </c>
      <c r="K368" s="4">
        <f t="shared" si="46"/>
        <v>111.17763981803731</v>
      </c>
      <c r="L368" s="42">
        <f>Pressure!Q368</f>
        <v>0.16625016614588686</v>
      </c>
      <c r="M368" s="10">
        <f t="shared" si="48"/>
        <v>0.23668839579816681</v>
      </c>
      <c r="N368" s="10">
        <f t="shared" si="47"/>
        <v>2.5992897854448858</v>
      </c>
    </row>
    <row r="369" spans="3:14">
      <c r="C369" s="4">
        <f>Pressure!AB369*1000000</f>
        <v>5088066.6384590287</v>
      </c>
      <c r="D369" s="78">
        <f>Pressure!I369</f>
        <v>8.1256230789298584E-5</v>
      </c>
      <c r="E369" s="40">
        <f>Pressure!H369</f>
        <v>81.256230789298584</v>
      </c>
      <c r="F369" s="10">
        <f t="shared" si="42"/>
        <v>4.5</v>
      </c>
      <c r="G369" s="4">
        <f t="shared" si="41"/>
        <v>215621.57073740714</v>
      </c>
      <c r="H369" s="42">
        <f t="shared" si="43"/>
        <v>8.057944684287083</v>
      </c>
      <c r="I369" s="10">
        <f t="shared" si="44"/>
        <v>1.1962250899747231</v>
      </c>
      <c r="J369" s="4">
        <f t="shared" si="45"/>
        <v>494.5638525371906</v>
      </c>
      <c r="K369" s="4">
        <f t="shared" si="46"/>
        <v>111.18291725578675</v>
      </c>
      <c r="L369" s="42">
        <f>Pressure!Q369</f>
        <v>0.16672877358616536</v>
      </c>
      <c r="M369" s="10">
        <f t="shared" si="48"/>
        <v>0.23669632183867348</v>
      </c>
      <c r="N369" s="10">
        <f t="shared" si="47"/>
        <v>2.5992897854448858</v>
      </c>
    </row>
    <row r="370" spans="3:14">
      <c r="C370" s="4">
        <f>Pressure!AB370*1000000</f>
        <v>5088288.8352760784</v>
      </c>
      <c r="D370" s="78">
        <f>Pressure!I370</f>
        <v>8.1256230789298584E-5</v>
      </c>
      <c r="E370" s="40">
        <f>Pressure!H370</f>
        <v>81.256230789298584</v>
      </c>
      <c r="F370" s="10">
        <f t="shared" si="42"/>
        <v>4.5</v>
      </c>
      <c r="G370" s="4">
        <f t="shared" si="41"/>
        <v>215630.98697153092</v>
      </c>
      <c r="H370" s="42">
        <f t="shared" si="43"/>
        <v>8.058219915731776</v>
      </c>
      <c r="I370" s="10">
        <f t="shared" si="44"/>
        <v>1.1962289907162553</v>
      </c>
      <c r="J370" s="4">
        <f t="shared" si="45"/>
        <v>494.58706301443584</v>
      </c>
      <c r="K370" s="4">
        <f t="shared" si="46"/>
        <v>111.18813520400069</v>
      </c>
      <c r="L370" s="42">
        <f>Pressure!Q370</f>
        <v>0.16720737428294857</v>
      </c>
      <c r="M370" s="10">
        <f t="shared" si="48"/>
        <v>0.23670415870337935</v>
      </c>
      <c r="N370" s="10">
        <f t="shared" si="47"/>
        <v>2.5992897854448858</v>
      </c>
    </row>
    <row r="371" spans="3:14">
      <c r="C371" s="4">
        <f>Pressure!AB371*1000000</f>
        <v>5088508.4987318246</v>
      </c>
      <c r="D371" s="78">
        <f>Pressure!I371</f>
        <v>8.1256230789298584E-5</v>
      </c>
      <c r="E371" s="40">
        <f>Pressure!H371</f>
        <v>81.256230789298584</v>
      </c>
      <c r="F371" s="10">
        <f t="shared" si="42"/>
        <v>4.5</v>
      </c>
      <c r="G371" s="4">
        <f t="shared" si="41"/>
        <v>215640.29584712692</v>
      </c>
      <c r="H371" s="42">
        <f t="shared" si="43"/>
        <v>8.0584920070539425</v>
      </c>
      <c r="I371" s="10">
        <f t="shared" si="44"/>
        <v>1.1962328466489001</v>
      </c>
      <c r="J371" s="4">
        <f t="shared" si="45"/>
        <v>494.61000885906532</v>
      </c>
      <c r="K371" s="4">
        <f t="shared" si="46"/>
        <v>111.19329366014688</v>
      </c>
      <c r="L371" s="42">
        <f>Pressure!Q371</f>
        <v>0.16768596831263829</v>
      </c>
      <c r="M371" s="10">
        <f t="shared" si="48"/>
        <v>0.23671190639260611</v>
      </c>
      <c r="N371" s="10">
        <f t="shared" si="47"/>
        <v>2.5992897854448858</v>
      </c>
    </row>
    <row r="372" spans="3:14">
      <c r="C372" s="4">
        <f>Pressure!AB372*1000000</f>
        <v>5088725.6287195059</v>
      </c>
      <c r="D372" s="78">
        <f>Pressure!I372</f>
        <v>8.1256230789298584E-5</v>
      </c>
      <c r="E372" s="40">
        <f>Pressure!H372</f>
        <v>81.256230789298584</v>
      </c>
      <c r="F372" s="10">
        <f t="shared" si="42"/>
        <v>4.5</v>
      </c>
      <c r="G372" s="4">
        <f t="shared" si="41"/>
        <v>215649.49735967084</v>
      </c>
      <c r="H372" s="42">
        <f t="shared" si="43"/>
        <v>8.0587609581933659</v>
      </c>
      <c r="I372" s="10">
        <f t="shared" si="44"/>
        <v>1.1962366577823449</v>
      </c>
      <c r="J372" s="4">
        <f t="shared" si="45"/>
        <v>494.63269005992703</v>
      </c>
      <c r="K372" s="4">
        <f t="shared" si="46"/>
        <v>111.19839262171823</v>
      </c>
      <c r="L372" s="42">
        <f>Pressure!Q372</f>
        <v>0.16816455575162639</v>
      </c>
      <c r="M372" s="10">
        <f t="shared" si="48"/>
        <v>0.23671956490665752</v>
      </c>
      <c r="N372" s="10">
        <f t="shared" si="47"/>
        <v>2.5992897854448858</v>
      </c>
    </row>
    <row r="373" spans="3:14">
      <c r="C373" s="4">
        <f>Pressure!AB373*1000000</f>
        <v>5088940.2251334814</v>
      </c>
      <c r="D373" s="78">
        <f>Pressure!I373</f>
        <v>8.1256230789298584E-5</v>
      </c>
      <c r="E373" s="40">
        <f>Pressure!H373</f>
        <v>81.256230789298584</v>
      </c>
      <c r="F373" s="10">
        <f t="shared" si="42"/>
        <v>4.5</v>
      </c>
      <c r="G373" s="4">
        <f t="shared" si="41"/>
        <v>215658.59150468581</v>
      </c>
      <c r="H373" s="42">
        <f t="shared" si="43"/>
        <v>8.059026769090389</v>
      </c>
      <c r="I373" s="10">
        <f t="shared" si="44"/>
        <v>1.1962404241261624</v>
      </c>
      <c r="J373" s="4">
        <f t="shared" si="45"/>
        <v>494.65510660598562</v>
      </c>
      <c r="K373" s="4">
        <f t="shared" si="46"/>
        <v>111.2034320862339</v>
      </c>
      <c r="L373" s="42">
        <f>Pressure!Q373</f>
        <v>0.16864313667629491</v>
      </c>
      <c r="M373" s="10">
        <f t="shared" si="48"/>
        <v>0.236727134245825</v>
      </c>
      <c r="N373" s="10">
        <f t="shared" si="47"/>
        <v>2.5992897854448858</v>
      </c>
    </row>
    <row r="374" spans="3:14">
      <c r="C374" s="4">
        <f>Pressure!AB374*1000000</f>
        <v>5089152.2878691871</v>
      </c>
      <c r="D374" s="78">
        <f>Pressure!I374</f>
        <v>8.1256230789298584E-5</v>
      </c>
      <c r="E374" s="40">
        <f>Pressure!H374</f>
        <v>81.256230789298584</v>
      </c>
      <c r="F374" s="10">
        <f t="shared" si="42"/>
        <v>4.5</v>
      </c>
      <c r="G374" s="4">
        <f t="shared" si="41"/>
        <v>215667.57827774066</v>
      </c>
      <c r="H374" s="42">
        <f t="shared" si="43"/>
        <v>8.0592894396858608</v>
      </c>
      <c r="I374" s="10">
        <f t="shared" si="44"/>
        <v>1.1962441456898085</v>
      </c>
      <c r="J374" s="4">
        <f t="shared" si="45"/>
        <v>494.67725848631858</v>
      </c>
      <c r="K374" s="4">
        <f t="shared" si="46"/>
        <v>111.20841205123838</v>
      </c>
      <c r="L374" s="42">
        <f>Pressure!Q374</f>
        <v>0.16912171116301616</v>
      </c>
      <c r="M374" s="10">
        <f t="shared" si="48"/>
        <v>0.23673461441038787</v>
      </c>
      <c r="N374" s="10">
        <f t="shared" si="47"/>
        <v>2.5992897854448858</v>
      </c>
    </row>
    <row r="375" spans="3:14">
      <c r="C375" s="4">
        <f>Pressure!AB375*1000000</f>
        <v>5089361.816823124</v>
      </c>
      <c r="D375" s="78">
        <f>Pressure!I375</f>
        <v>8.1256230789298584E-5</v>
      </c>
      <c r="E375" s="40">
        <f>Pressure!H375</f>
        <v>81.256230789298584</v>
      </c>
      <c r="F375" s="10">
        <f t="shared" si="42"/>
        <v>4.5</v>
      </c>
      <c r="G375" s="4">
        <f t="shared" si="41"/>
        <v>215676.45767444928</v>
      </c>
      <c r="H375" s="42">
        <f t="shared" si="43"/>
        <v>8.0595489699211029</v>
      </c>
      <c r="I375" s="10">
        <f t="shared" si="44"/>
        <v>1.1962478224826232</v>
      </c>
      <c r="J375" s="4">
        <f t="shared" si="45"/>
        <v>494.69914569011445</v>
      </c>
      <c r="K375" s="4">
        <f t="shared" si="46"/>
        <v>111.21333251430117</v>
      </c>
      <c r="L375" s="42">
        <f>Pressure!Q375</f>
        <v>0.16960027928815291</v>
      </c>
      <c r="M375" s="10">
        <f t="shared" si="48"/>
        <v>0.2367420054006259</v>
      </c>
      <c r="N375" s="10">
        <f t="shared" si="47"/>
        <v>2.5992897854448858</v>
      </c>
    </row>
    <row r="376" spans="3:14">
      <c r="C376" s="4">
        <f>Pressure!AB376*1000000</f>
        <v>5089568.8118928252</v>
      </c>
      <c r="D376" s="78">
        <f>Pressure!I376</f>
        <v>8.1256230789298584E-5</v>
      </c>
      <c r="E376" s="40">
        <f>Pressure!H376</f>
        <v>81.256230789298584</v>
      </c>
      <c r="F376" s="10">
        <f t="shared" si="42"/>
        <v>4.5</v>
      </c>
      <c r="G376" s="4">
        <f t="shared" si="41"/>
        <v>215685.22969046936</v>
      </c>
      <c r="H376" s="42">
        <f t="shared" si="43"/>
        <v>8.0598053597378883</v>
      </c>
      <c r="I376" s="10">
        <f t="shared" si="44"/>
        <v>1.1962514545138292</v>
      </c>
      <c r="J376" s="4">
        <f t="shared" si="45"/>
        <v>494.72076820666967</v>
      </c>
      <c r="K376" s="4">
        <f t="shared" si="46"/>
        <v>111.21819347301599</v>
      </c>
      <c r="L376" s="42">
        <f>Pressure!Q376</f>
        <v>0.17007884112805846</v>
      </c>
      <c r="M376" s="10">
        <f t="shared" si="48"/>
        <v>0.23674930721681806</v>
      </c>
      <c r="N376" s="10">
        <f t="shared" si="47"/>
        <v>2.5992897854448858</v>
      </c>
    </row>
    <row r="377" spans="3:14">
      <c r="C377" s="4">
        <f>Pressure!AB377*1000000</f>
        <v>5089773.2729770131</v>
      </c>
      <c r="D377" s="78">
        <f>Pressure!I377</f>
        <v>8.1256230789298584E-5</v>
      </c>
      <c r="E377" s="40">
        <f>Pressure!H377</f>
        <v>81.256230789298584</v>
      </c>
      <c r="F377" s="10">
        <f t="shared" si="42"/>
        <v>4.5</v>
      </c>
      <c r="G377" s="4">
        <f t="shared" si="41"/>
        <v>215693.894321509</v>
      </c>
      <c r="H377" s="42">
        <f t="shared" si="43"/>
        <v>8.0600586090786432</v>
      </c>
      <c r="I377" s="10">
        <f t="shared" si="44"/>
        <v>1.1962550417925353</v>
      </c>
      <c r="J377" s="4">
        <f t="shared" si="45"/>
        <v>494.74212602540479</v>
      </c>
      <c r="K377" s="4">
        <f t="shared" si="46"/>
        <v>111.22299492500446</v>
      </c>
      <c r="L377" s="42">
        <f>Pressure!Q377</f>
        <v>0.17055739675907675</v>
      </c>
      <c r="M377" s="10">
        <f t="shared" si="48"/>
        <v>0.23675651985920437</v>
      </c>
      <c r="N377" s="10">
        <f t="shared" si="47"/>
        <v>2.5992897854448858</v>
      </c>
    </row>
    <row r="378" spans="3:14">
      <c r="C378" s="4">
        <f>Pressure!AB378*1000000</f>
        <v>5089975.1999752419</v>
      </c>
      <c r="D378" s="78">
        <f>Pressure!I378</f>
        <v>8.1256230789298584E-5</v>
      </c>
      <c r="E378" s="40">
        <f>Pressure!H378</f>
        <v>81.256230789298584</v>
      </c>
      <c r="F378" s="10">
        <f t="shared" si="42"/>
        <v>4.5</v>
      </c>
      <c r="G378" s="4">
        <f t="shared" si="41"/>
        <v>215702.45156331148</v>
      </c>
      <c r="H378" s="42">
        <f t="shared" si="43"/>
        <v>8.0603087178859667</v>
      </c>
      <c r="I378" s="10">
        <f t="shared" si="44"/>
        <v>1.1962585843277305</v>
      </c>
      <c r="J378" s="4">
        <f t="shared" si="45"/>
        <v>494.7632191358274</v>
      </c>
      <c r="K378" s="4">
        <f t="shared" si="46"/>
        <v>111.22773686790778</v>
      </c>
      <c r="L378" s="42">
        <f>Pressure!Q378</f>
        <v>0.17103594625754251</v>
      </c>
      <c r="M378" s="10">
        <f t="shared" si="48"/>
        <v>0.23676364332804992</v>
      </c>
      <c r="N378" s="10">
        <f t="shared" si="47"/>
        <v>2.5992897854448858</v>
      </c>
    </row>
    <row r="379" spans="3:14">
      <c r="C379" s="4">
        <f>Pressure!AB379*1000000</f>
        <v>5090174.5927884383</v>
      </c>
      <c r="D379" s="78">
        <f>Pressure!I379</f>
        <v>8.1256230789298584E-5</v>
      </c>
      <c r="E379" s="40">
        <f>Pressure!H379</f>
        <v>81.256230789298584</v>
      </c>
      <c r="F379" s="10">
        <f t="shared" si="42"/>
        <v>4.5</v>
      </c>
      <c r="G379" s="4">
        <f t="shared" si="41"/>
        <v>215710.90141167826</v>
      </c>
      <c r="H379" s="42">
        <f t="shared" si="43"/>
        <v>8.0605556861033509</v>
      </c>
      <c r="I379" s="10">
        <f t="shared" si="44"/>
        <v>1.1962620821282921</v>
      </c>
      <c r="J379" s="4">
        <f t="shared" si="45"/>
        <v>494.78404752758837</v>
      </c>
      <c r="K379" s="4">
        <f t="shared" si="46"/>
        <v>111.2324192993994</v>
      </c>
      <c r="L379" s="42">
        <f>Pressure!Q379</f>
        <v>0.17151448969978136</v>
      </c>
      <c r="M379" s="10">
        <f t="shared" si="48"/>
        <v>0.23677067762358037</v>
      </c>
      <c r="N379" s="10">
        <f t="shared" si="47"/>
        <v>2.5992897854448858</v>
      </c>
    </row>
    <row r="380" spans="3:14">
      <c r="C380" s="4">
        <f>Pressure!AB380*1000000</f>
        <v>5090371.4513182938</v>
      </c>
      <c r="D380" s="78">
        <f>Pressure!I380</f>
        <v>8.1256230789298584E-5</v>
      </c>
      <c r="E380" s="40">
        <f>Pressure!H380</f>
        <v>81.256230789298584</v>
      </c>
      <c r="F380" s="10">
        <f t="shared" si="42"/>
        <v>4.5</v>
      </c>
      <c r="G380" s="4">
        <f t="shared" si="41"/>
        <v>215719.24386244328</v>
      </c>
      <c r="H380" s="42">
        <f t="shared" si="43"/>
        <v>8.060799513674386</v>
      </c>
      <c r="I380" s="10">
        <f t="shared" si="44"/>
        <v>1.196265535202977</v>
      </c>
      <c r="J380" s="4">
        <f t="shared" si="45"/>
        <v>494.80461119041848</v>
      </c>
      <c r="K380" s="4">
        <f t="shared" si="46"/>
        <v>111.23704221717065</v>
      </c>
      <c r="L380" s="42">
        <f>Pressure!Q380</f>
        <v>0.17199302716210996</v>
      </c>
      <c r="M380" s="10">
        <f t="shared" si="48"/>
        <v>0.23677762274603562</v>
      </c>
      <c r="N380" s="10">
        <f t="shared" si="47"/>
        <v>2.5992897854448858</v>
      </c>
    </row>
    <row r="381" spans="3:14">
      <c r="C381" s="4">
        <f>Pressure!AB381*1000000</f>
        <v>5090565.7754676063</v>
      </c>
      <c r="D381" s="78">
        <f>Pressure!I381</f>
        <v>8.1256230789298584E-5</v>
      </c>
      <c r="E381" s="40">
        <f>Pressure!H381</f>
        <v>81.256230789298584</v>
      </c>
      <c r="F381" s="10">
        <f t="shared" si="42"/>
        <v>4.5</v>
      </c>
      <c r="G381" s="4">
        <f t="shared" si="41"/>
        <v>215727.47891148733</v>
      </c>
      <c r="H381" s="42">
        <f t="shared" si="43"/>
        <v>8.0610402005431983</v>
      </c>
      <c r="I381" s="10">
        <f t="shared" si="44"/>
        <v>1.1962689435604261</v>
      </c>
      <c r="J381" s="4">
        <f t="shared" si="45"/>
        <v>494.82491011416403</v>
      </c>
      <c r="K381" s="4">
        <f t="shared" si="46"/>
        <v>111.24160561893891</v>
      </c>
      <c r="L381" s="42">
        <f>Pressure!Q381</f>
        <v>0.17247155872083608</v>
      </c>
      <c r="M381" s="10">
        <f t="shared" si="48"/>
        <v>0.23678447869563551</v>
      </c>
      <c r="N381" s="10">
        <f t="shared" si="47"/>
        <v>2.5992897854448858</v>
      </c>
    </row>
    <row r="382" spans="3:14">
      <c r="C382" s="4">
        <f>Pressure!AB382*1000000</f>
        <v>5090757.5651404597</v>
      </c>
      <c r="D382" s="78">
        <f>Pressure!I382</f>
        <v>8.1256230789298584E-5</v>
      </c>
      <c r="E382" s="40">
        <f>Pressure!H382</f>
        <v>81.256230789298584</v>
      </c>
      <c r="F382" s="10">
        <f t="shared" si="42"/>
        <v>4.5</v>
      </c>
      <c r="G382" s="4">
        <f t="shared" si="41"/>
        <v>215735.60655474561</v>
      </c>
      <c r="H382" s="42">
        <f t="shared" si="43"/>
        <v>8.061277746654687</v>
      </c>
      <c r="I382" s="10">
        <f t="shared" si="44"/>
        <v>1.196272307209169</v>
      </c>
      <c r="J382" s="4">
        <f t="shared" si="45"/>
        <v>494.84494428880595</v>
      </c>
      <c r="K382" s="4">
        <f t="shared" si="46"/>
        <v>111.24610950245177</v>
      </c>
      <c r="L382" s="42">
        <f>Pressure!Q382</f>
        <v>0.17295008445225873</v>
      </c>
      <c r="M382" s="10">
        <f t="shared" si="48"/>
        <v>0.23679124547256541</v>
      </c>
      <c r="N382" s="10">
        <f t="shared" si="47"/>
        <v>2.5992897854448858</v>
      </c>
    </row>
    <row r="383" spans="3:14">
      <c r="C383" s="4">
        <f>Pressure!AB383*1000000</f>
        <v>5090946.8202418964</v>
      </c>
      <c r="D383" s="78">
        <f>Pressure!I383</f>
        <v>8.1256230789298584E-5</v>
      </c>
      <c r="E383" s="40">
        <f>Pressure!H383</f>
        <v>81.256230789298584</v>
      </c>
      <c r="F383" s="10">
        <f t="shared" si="42"/>
        <v>4.5</v>
      </c>
      <c r="G383" s="4">
        <f t="shared" si="41"/>
        <v>215743.62678819409</v>
      </c>
      <c r="H383" s="42">
        <f t="shared" si="43"/>
        <v>8.0615121519541013</v>
      </c>
      <c r="I383" s="10">
        <f t="shared" si="44"/>
        <v>1.1962756261576166</v>
      </c>
      <c r="J383" s="4">
        <f t="shared" si="45"/>
        <v>494.86471370442473</v>
      </c>
      <c r="K383" s="4">
        <f t="shared" si="46"/>
        <v>111.25055386547923</v>
      </c>
      <c r="L383" s="42">
        <f>Pressure!Q383</f>
        <v>0.17342860443266833</v>
      </c>
      <c r="M383" s="10">
        <f t="shared" si="48"/>
        <v>0.23679792307705505</v>
      </c>
      <c r="N383" s="10">
        <f t="shared" si="47"/>
        <v>2.5992897854448858</v>
      </c>
    </row>
    <row r="384" spans="3:14">
      <c r="C384" s="4">
        <f>Pressure!AB384*1000000</f>
        <v>5091133.5406779628</v>
      </c>
      <c r="D384" s="78">
        <f>Pressure!I384</f>
        <v>8.1256230789298584E-5</v>
      </c>
      <c r="E384" s="40">
        <f>Pressure!H384</f>
        <v>81.256230789298584</v>
      </c>
      <c r="F384" s="10">
        <f t="shared" si="42"/>
        <v>4.5</v>
      </c>
      <c r="G384" s="4">
        <f t="shared" si="41"/>
        <v>215751.53960785118</v>
      </c>
      <c r="H384" s="42">
        <f t="shared" si="43"/>
        <v>8.0617434163870954</v>
      </c>
      <c r="I384" s="10">
        <f t="shared" si="44"/>
        <v>1.1962789004140637</v>
      </c>
      <c r="J384" s="4">
        <f t="shared" si="45"/>
        <v>494.88421835120624</v>
      </c>
      <c r="K384" s="4">
        <f t="shared" si="46"/>
        <v>111.25493870581499</v>
      </c>
      <c r="L384" s="42">
        <f>Pressure!Q384</f>
        <v>0.1739071187383468</v>
      </c>
      <c r="M384" s="10">
        <f t="shared" si="48"/>
        <v>0.23680451150930273</v>
      </c>
      <c r="N384" s="10">
        <f t="shared" si="47"/>
        <v>2.5992897854448858</v>
      </c>
    </row>
    <row r="385" spans="3:14">
      <c r="C385" s="4">
        <f>Pressure!AB385*1000000</f>
        <v>5091317.7263558749</v>
      </c>
      <c r="D385" s="78">
        <f>Pressure!I385</f>
        <v>8.1256230789298584E-5</v>
      </c>
      <c r="E385" s="40">
        <f>Pressure!H385</f>
        <v>81.256230789298584</v>
      </c>
      <c r="F385" s="10">
        <f t="shared" si="42"/>
        <v>4.5</v>
      </c>
      <c r="G385" s="4">
        <f t="shared" si="41"/>
        <v>215759.34500978491</v>
      </c>
      <c r="H385" s="42">
        <f t="shared" si="43"/>
        <v>8.0619715398999432</v>
      </c>
      <c r="I385" s="10">
        <f t="shared" si="44"/>
        <v>1.1962821299866904</v>
      </c>
      <c r="J385" s="4">
        <f t="shared" si="45"/>
        <v>494.90345821945829</v>
      </c>
      <c r="K385" s="4">
        <f t="shared" si="46"/>
        <v>111.25926402128013</v>
      </c>
      <c r="L385" s="42">
        <f>Pressure!Q385</f>
        <v>0.1743856274455676</v>
      </c>
      <c r="M385" s="10">
        <f t="shared" si="48"/>
        <v>0.23681101076945316</v>
      </c>
      <c r="N385" s="10">
        <f t="shared" si="47"/>
        <v>2.5992897854448858</v>
      </c>
    </row>
    <row r="386" spans="3:14">
      <c r="C386" s="4">
        <f>Pressure!AB386*1000000</f>
        <v>5091499.3771837708</v>
      </c>
      <c r="D386" s="78">
        <f>Pressure!I386</f>
        <v>8.1256230789298584E-5</v>
      </c>
      <c r="E386" s="40">
        <f>Pressure!H386</f>
        <v>81.256230789298584</v>
      </c>
      <c r="F386" s="10">
        <f t="shared" si="42"/>
        <v>4.5</v>
      </c>
      <c r="G386" s="4">
        <f t="shared" si="41"/>
        <v>215767.04299010235</v>
      </c>
      <c r="H386" s="42">
        <f t="shared" si="43"/>
        <v>8.0621965224392387</v>
      </c>
      <c r="I386" s="10">
        <f t="shared" si="44"/>
        <v>1.1962853148835593</v>
      </c>
      <c r="J386" s="4">
        <f t="shared" si="45"/>
        <v>494.92243329958512</v>
      </c>
      <c r="K386" s="4">
        <f t="shared" si="46"/>
        <v>111.26352980971744</v>
      </c>
      <c r="L386" s="42">
        <f>Pressure!Q386</f>
        <v>0.174864130630596</v>
      </c>
      <c r="M386" s="10">
        <f t="shared" si="48"/>
        <v>0.23681742085771915</v>
      </c>
      <c r="N386" s="10">
        <f t="shared" si="47"/>
        <v>2.5992897854448858</v>
      </c>
    </row>
    <row r="387" spans="3:14">
      <c r="C387" s="4">
        <f>Pressure!AB387*1000000</f>
        <v>5091678.4930710522</v>
      </c>
      <c r="D387" s="78">
        <f>Pressure!I387</f>
        <v>8.1256230789298584E-5</v>
      </c>
      <c r="E387" s="40">
        <f>Pressure!H387</f>
        <v>81.256230789298584</v>
      </c>
      <c r="F387" s="10">
        <f t="shared" si="42"/>
        <v>4.5</v>
      </c>
      <c r="G387" s="4">
        <f t="shared" si="41"/>
        <v>215774.63354496413</v>
      </c>
      <c r="H387" s="42">
        <f t="shared" si="43"/>
        <v>8.0624183639522844</v>
      </c>
      <c r="I387" s="10">
        <f t="shared" si="44"/>
        <v>1.1962884551126203</v>
      </c>
      <c r="J387" s="4">
        <f t="shared" si="45"/>
        <v>494.941143582123</v>
      </c>
      <c r="K387" s="4">
        <f t="shared" si="46"/>
        <v>111.26773606899937</v>
      </c>
      <c r="L387" s="42">
        <f>Pressure!Q387</f>
        <v>0.17534262836968909</v>
      </c>
      <c r="M387" s="10">
        <f t="shared" si="48"/>
        <v>0.23682374177424656</v>
      </c>
      <c r="N387" s="10">
        <f t="shared" si="47"/>
        <v>2.5992897854448858</v>
      </c>
    </row>
    <row r="388" spans="3:14">
      <c r="C388" s="4">
        <f>Pressure!AB388*1000000</f>
        <v>5091855.0739278011</v>
      </c>
      <c r="D388" s="78">
        <f>Pressure!I388</f>
        <v>8.1256230789298584E-5</v>
      </c>
      <c r="E388" s="40">
        <f>Pressure!H388</f>
        <v>81.256230789298584</v>
      </c>
      <c r="F388" s="10">
        <f t="shared" si="42"/>
        <v>4.5</v>
      </c>
      <c r="G388" s="4">
        <f t="shared" si="41"/>
        <v>215782.11667055974</v>
      </c>
      <c r="H388" s="42">
        <f t="shared" si="43"/>
        <v>8.0626370643864256</v>
      </c>
      <c r="I388" s="10">
        <f t="shared" si="44"/>
        <v>1.1962915506817007</v>
      </c>
      <c r="J388" s="4">
        <f t="shared" si="45"/>
        <v>494.95958905767895</v>
      </c>
      <c r="K388" s="4">
        <f t="shared" si="46"/>
        <v>111.27188279701429</v>
      </c>
      <c r="L388" s="42">
        <f>Pressure!Q388</f>
        <v>0.17582112073909592</v>
      </c>
      <c r="M388" s="10">
        <f t="shared" si="48"/>
        <v>0.23682997351919061</v>
      </c>
      <c r="N388" s="10">
        <f t="shared" si="47"/>
        <v>2.5992897854448858</v>
      </c>
    </row>
    <row r="389" spans="3:14">
      <c r="C389" s="4">
        <f>Pressure!AB389*1000000</f>
        <v>5092029.1196657047</v>
      </c>
      <c r="D389" s="78">
        <f>Pressure!I389</f>
        <v>8.1256230789298584E-5</v>
      </c>
      <c r="E389" s="40">
        <f>Pressure!H389</f>
        <v>81.256230789298584</v>
      </c>
      <c r="F389" s="10">
        <f t="shared" si="42"/>
        <v>4.5</v>
      </c>
      <c r="G389" s="4">
        <f t="shared" si="41"/>
        <v>215789.49236314662</v>
      </c>
      <c r="H389" s="42">
        <f t="shared" si="43"/>
        <v>8.0628526236901319</v>
      </c>
      <c r="I389" s="10">
        <f t="shared" si="44"/>
        <v>1.1962946015985221</v>
      </c>
      <c r="J389" s="4">
        <f t="shared" si="45"/>
        <v>494.97776971702797</v>
      </c>
      <c r="K389" s="4">
        <f t="shared" si="46"/>
        <v>111.27596999168831</v>
      </c>
      <c r="L389" s="42">
        <f>Pressure!Q389</f>
        <v>0.17629960781505766</v>
      </c>
      <c r="M389" s="10">
        <f t="shared" si="48"/>
        <v>0.23683611609269703</v>
      </c>
      <c r="N389" s="10">
        <f t="shared" si="47"/>
        <v>2.5992897854448858</v>
      </c>
    </row>
    <row r="390" spans="3:14">
      <c r="C390" s="4">
        <f>Pressure!AB390*1000000</f>
        <v>5092200.6301970864</v>
      </c>
      <c r="D390" s="78">
        <f>Pressure!I390</f>
        <v>8.1256230789298584E-5</v>
      </c>
      <c r="E390" s="40">
        <f>Pressure!H390</f>
        <v>81.256230789298584</v>
      </c>
      <c r="F390" s="10">
        <f t="shared" si="42"/>
        <v>4.5</v>
      </c>
      <c r="G390" s="4">
        <f t="shared" si="41"/>
        <v>215796.76061900929</v>
      </c>
      <c r="H390" s="42">
        <f t="shared" si="43"/>
        <v>8.0630650418118481</v>
      </c>
      <c r="I390" s="10">
        <f t="shared" si="44"/>
        <v>1.1962976078706831</v>
      </c>
      <c r="J390" s="4">
        <f t="shared" si="45"/>
        <v>494.9956855510116</v>
      </c>
      <c r="K390" s="4">
        <f t="shared" si="46"/>
        <v>111.27999765096254</v>
      </c>
      <c r="L390" s="42">
        <f>Pressure!Q390</f>
        <v>0.17677808967380765</v>
      </c>
      <c r="M390" s="10">
        <f t="shared" si="48"/>
        <v>0.23684216949490111</v>
      </c>
      <c r="N390" s="10">
        <f t="shared" si="47"/>
        <v>2.5992897854448858</v>
      </c>
    </row>
    <row r="391" spans="3:14">
      <c r="C391" s="4">
        <f>Pressure!AB391*1000000</f>
        <v>5092369.6054355623</v>
      </c>
      <c r="D391" s="78">
        <f>Pressure!I391</f>
        <v>8.1256230789298584E-5</v>
      </c>
      <c r="E391" s="40">
        <f>Pressure!H391</f>
        <v>81.256230789298584</v>
      </c>
      <c r="F391" s="10">
        <f t="shared" si="42"/>
        <v>4.5</v>
      </c>
      <c r="G391" s="4">
        <f t="shared" si="41"/>
        <v>215803.92143448693</v>
      </c>
      <c r="H391" s="42">
        <f t="shared" si="43"/>
        <v>8.0632743187007865</v>
      </c>
      <c r="I391" s="10">
        <f t="shared" si="44"/>
        <v>1.1963005695056703</v>
      </c>
      <c r="J391" s="4">
        <f t="shared" si="45"/>
        <v>495.0133365506062</v>
      </c>
      <c r="K391" s="4">
        <f t="shared" si="46"/>
        <v>111.28396577280837</v>
      </c>
      <c r="L391" s="42">
        <f>Pressure!Q391</f>
        <v>0.17725656639157159</v>
      </c>
      <c r="M391" s="10">
        <f t="shared" si="48"/>
        <v>0.23684813372593355</v>
      </c>
      <c r="N391" s="10">
        <f t="shared" si="47"/>
        <v>2.5992897854448858</v>
      </c>
    </row>
    <row r="392" spans="3:14">
      <c r="C392" s="4">
        <f>Pressure!AB392*1000000</f>
        <v>5092536.0452957889</v>
      </c>
      <c r="D392" s="78">
        <f>Pressure!I392</f>
        <v>8.1256230789298584E-5</v>
      </c>
      <c r="E392" s="40">
        <f>Pressure!H392</f>
        <v>81.256230789298584</v>
      </c>
      <c r="F392" s="10">
        <f t="shared" si="42"/>
        <v>4.5</v>
      </c>
      <c r="G392" s="4">
        <f t="shared" si="41"/>
        <v>215810.97480596285</v>
      </c>
      <c r="H392" s="42">
        <f t="shared" si="43"/>
        <v>8.0634804543066103</v>
      </c>
      <c r="I392" s="10">
        <f t="shared" si="44"/>
        <v>1.1963034865108546</v>
      </c>
      <c r="J392" s="4">
        <f t="shared" si="45"/>
        <v>495.03072270689665</v>
      </c>
      <c r="K392" s="4">
        <f t="shared" si="46"/>
        <v>111.28787435522159</v>
      </c>
      <c r="L392" s="42">
        <f>Pressure!Q392</f>
        <v>0.17773503804456758</v>
      </c>
      <c r="M392" s="10">
        <f t="shared" si="48"/>
        <v>0.23685400878590293</v>
      </c>
      <c r="N392" s="10">
        <f t="shared" si="47"/>
        <v>2.5992897854448858</v>
      </c>
    </row>
    <row r="393" spans="3:14">
      <c r="C393" s="4">
        <f>Pressure!AB393*1000000</f>
        <v>5092699.9496932384</v>
      </c>
      <c r="D393" s="78">
        <f>Pressure!I393</f>
        <v>8.1256230789298584E-5</v>
      </c>
      <c r="E393" s="40">
        <f>Pressure!H393</f>
        <v>81.256230789298584</v>
      </c>
      <c r="F393" s="10">
        <f t="shared" si="42"/>
        <v>4.5</v>
      </c>
      <c r="G393" s="4">
        <f t="shared" si="41"/>
        <v>215817.92072985499</v>
      </c>
      <c r="H393" s="42">
        <f t="shared" si="43"/>
        <v>8.0636834485791589</v>
      </c>
      <c r="I393" s="10">
        <f t="shared" si="44"/>
        <v>1.1963063588934875</v>
      </c>
      <c r="J393" s="4">
        <f t="shared" si="45"/>
        <v>495.04784401105354</v>
      </c>
      <c r="K393" s="4">
        <f t="shared" si="46"/>
        <v>111.29172339621725</v>
      </c>
      <c r="L393" s="42">
        <f>Pressure!Q393</f>
        <v>0.17821350470900635</v>
      </c>
      <c r="M393" s="10">
        <f t="shared" si="48"/>
        <v>0.23685979467492532</v>
      </c>
      <c r="N393" s="10">
        <f t="shared" si="47"/>
        <v>2.5992897854448858</v>
      </c>
    </row>
    <row r="394" spans="3:14">
      <c r="C394" s="4">
        <f>Pressure!AB394*1000000</f>
        <v>5092861.3185448414</v>
      </c>
      <c r="D394" s="78">
        <f>Pressure!I394</f>
        <v>8.1256230789298584E-5</v>
      </c>
      <c r="E394" s="40">
        <f>Pressure!H394</f>
        <v>81.256230789298584</v>
      </c>
      <c r="F394" s="10">
        <f t="shared" si="42"/>
        <v>4.5</v>
      </c>
      <c r="G394" s="4">
        <f t="shared" si="41"/>
        <v>215824.75920264301</v>
      </c>
      <c r="H394" s="42">
        <f t="shared" si="43"/>
        <v>8.0638833014692537</v>
      </c>
      <c r="I394" s="10">
        <f t="shared" si="44"/>
        <v>1.1963091866607112</v>
      </c>
      <c r="J394" s="4">
        <f t="shared" si="45"/>
        <v>495.06470045439931</v>
      </c>
      <c r="K394" s="4">
        <f t="shared" si="46"/>
        <v>111.29551289384455</v>
      </c>
      <c r="L394" s="42">
        <f>Pressure!Q394</f>
        <v>0.17869196646109123</v>
      </c>
      <c r="M394" s="10">
        <f t="shared" si="48"/>
        <v>0.23686549139307958</v>
      </c>
      <c r="N394" s="10">
        <f t="shared" si="47"/>
        <v>2.5992897854448858</v>
      </c>
    </row>
    <row r="395" spans="3:14">
      <c r="C395" s="4">
        <f>Pressure!AB395*1000000</f>
        <v>5093020.1517683882</v>
      </c>
      <c r="D395" s="78">
        <f>Pressure!I395</f>
        <v>8.1256230789298584E-5</v>
      </c>
      <c r="E395" s="40">
        <f>Pressure!H395</f>
        <v>81.256230789298584</v>
      </c>
      <c r="F395" s="10">
        <f t="shared" si="42"/>
        <v>4.5</v>
      </c>
      <c r="G395" s="4">
        <f t="shared" si="41"/>
        <v>215831.49022084303</v>
      </c>
      <c r="H395" s="42">
        <f t="shared" si="43"/>
        <v>8.0640800129279455</v>
      </c>
      <c r="I395" s="10">
        <f t="shared" si="44"/>
        <v>1.1963119698195497</v>
      </c>
      <c r="J395" s="4">
        <f t="shared" si="45"/>
        <v>495.08129202834647</v>
      </c>
      <c r="K395" s="4">
        <f t="shared" si="46"/>
        <v>111.29924284617294</v>
      </c>
      <c r="L395" s="42">
        <f>Pressure!Q395</f>
        <v>0.17917042337701844</v>
      </c>
      <c r="M395" s="10">
        <f t="shared" si="48"/>
        <v>0.23687109894049108</v>
      </c>
      <c r="N395" s="10">
        <f t="shared" si="47"/>
        <v>2.5992897854448858</v>
      </c>
    </row>
    <row r="396" spans="3:14">
      <c r="C396" s="4">
        <f>Pressure!AB396*1000000</f>
        <v>5093176.4492826462</v>
      </c>
      <c r="D396" s="78">
        <f>Pressure!I396</f>
        <v>8.1256230789298584E-5</v>
      </c>
      <c r="E396" s="40">
        <f>Pressure!H396</f>
        <v>81.256230789298584</v>
      </c>
      <c r="F396" s="10">
        <f t="shared" si="42"/>
        <v>4.5</v>
      </c>
      <c r="G396" s="4">
        <f t="shared" si="41"/>
        <v>215838.11378101262</v>
      </c>
      <c r="H396" s="42">
        <f t="shared" si="43"/>
        <v>8.0642735829066652</v>
      </c>
      <c r="I396" s="10">
        <f t="shared" si="44"/>
        <v>1.1963147083769099</v>
      </c>
      <c r="J396" s="4">
        <f t="shared" si="45"/>
        <v>495.09761872440964</v>
      </c>
      <c r="K396" s="4">
        <f t="shared" si="46"/>
        <v>111.30291325129483</v>
      </c>
      <c r="L396" s="42">
        <f>Pressure!Q396</f>
        <v>0.17964887553297704</v>
      </c>
      <c r="M396" s="10">
        <f t="shared" si="48"/>
        <v>0.23687661731719592</v>
      </c>
      <c r="N396" s="10">
        <f t="shared" si="47"/>
        <v>2.5992897854448858</v>
      </c>
    </row>
    <row r="397" spans="3:14">
      <c r="C397" s="4">
        <f>Pressure!AB397*1000000</f>
        <v>5093330.2110076258</v>
      </c>
      <c r="D397" s="78">
        <f>Pressure!I397</f>
        <v>8.1256230789298584E-5</v>
      </c>
      <c r="E397" s="40">
        <f>Pressure!H397</f>
        <v>81.256230789298584</v>
      </c>
      <c r="F397" s="10">
        <f t="shared" si="42"/>
        <v>4.5</v>
      </c>
      <c r="G397" s="4">
        <f t="shared" si="41"/>
        <v>215844.62987976195</v>
      </c>
      <c r="H397" s="42">
        <f t="shared" si="43"/>
        <v>8.064464011357547</v>
      </c>
      <c r="I397" s="10">
        <f t="shared" si="44"/>
        <v>1.1963174023395866</v>
      </c>
      <c r="J397" s="4">
        <f t="shared" si="45"/>
        <v>495.11368053423303</v>
      </c>
      <c r="K397" s="4">
        <f t="shared" si="46"/>
        <v>111.30652410733174</v>
      </c>
      <c r="L397" s="42">
        <f>Pressure!Q397</f>
        <v>0.18012732300514919</v>
      </c>
      <c r="M397" s="10">
        <f t="shared" si="48"/>
        <v>0.23688204652330164</v>
      </c>
      <c r="N397" s="10">
        <f t="shared" si="47"/>
        <v>2.5992897854448858</v>
      </c>
    </row>
    <row r="398" spans="3:14">
      <c r="C398" s="4">
        <f>Pressure!AB398*1000000</f>
        <v>5093481.4368643649</v>
      </c>
      <c r="D398" s="78">
        <f>Pressure!I398</f>
        <v>8.1256230789298584E-5</v>
      </c>
      <c r="E398" s="40">
        <f>Pressure!H398</f>
        <v>81.256230789298584</v>
      </c>
      <c r="F398" s="10">
        <f t="shared" si="42"/>
        <v>4.5</v>
      </c>
      <c r="G398" s="4">
        <f t="shared" si="41"/>
        <v>215851.0385137448</v>
      </c>
      <c r="H398" s="42">
        <f t="shared" si="43"/>
        <v>8.0646512982331693</v>
      </c>
      <c r="I398" s="10">
        <f t="shared" si="44"/>
        <v>1.1963200517142587</v>
      </c>
      <c r="J398" s="4">
        <f t="shared" si="45"/>
        <v>495.12947744956847</v>
      </c>
      <c r="K398" s="4">
        <f t="shared" si="46"/>
        <v>111.3100754124294</v>
      </c>
      <c r="L398" s="42">
        <f>Pressure!Q398</f>
        <v>0.18060576586971019</v>
      </c>
      <c r="M398" s="10">
        <f t="shared" si="48"/>
        <v>0.23688738655885128</v>
      </c>
      <c r="N398" s="10">
        <f t="shared" si="47"/>
        <v>2.5992897854448858</v>
      </c>
    </row>
    <row r="399" spans="3:14">
      <c r="C399" s="4">
        <f>Pressure!AB399*1000000</f>
        <v>5093630.1267749183</v>
      </c>
      <c r="D399" s="78">
        <f>Pressure!I399</f>
        <v>8.1256230789298584E-5</v>
      </c>
      <c r="E399" s="40">
        <f>Pressure!H399</f>
        <v>81.256230789298584</v>
      </c>
      <c r="F399" s="10">
        <f t="shared" si="42"/>
        <v>4.5</v>
      </c>
      <c r="G399" s="4">
        <f t="shared" si="41"/>
        <v>215857.33967965798</v>
      </c>
      <c r="H399" s="42">
        <f t="shared" si="43"/>
        <v>8.0648354434865386</v>
      </c>
      <c r="I399" s="10">
        <f t="shared" si="44"/>
        <v>1.1963226565074889</v>
      </c>
      <c r="J399" s="4">
        <f t="shared" si="45"/>
        <v>495.14500946227378</v>
      </c>
      <c r="K399" s="4">
        <f t="shared" si="46"/>
        <v>111.31356716475739</v>
      </c>
      <c r="L399" s="42">
        <f>Pressure!Q399</f>
        <v>0.18108420420282861</v>
      </c>
      <c r="M399" s="10">
        <f t="shared" si="48"/>
        <v>0.23689263742389993</v>
      </c>
      <c r="N399" s="10">
        <f t="shared" si="47"/>
        <v>2.5992897854448858</v>
      </c>
    </row>
    <row r="400" spans="3:14">
      <c r="C400" s="4">
        <f>Pressure!AB400*1000000</f>
        <v>5093776.2806621948</v>
      </c>
      <c r="D400" s="78">
        <f>Pressure!I400</f>
        <v>8.1256230789298584E-5</v>
      </c>
      <c r="E400" s="40">
        <f>Pressure!H400</f>
        <v>81.256230789298584</v>
      </c>
      <c r="F400" s="10">
        <f t="shared" si="42"/>
        <v>4.5</v>
      </c>
      <c r="G400" s="4">
        <f t="shared" si="41"/>
        <v>215863.53337423457</v>
      </c>
      <c r="H400" s="42">
        <f t="shared" si="43"/>
        <v>8.0650164470708869</v>
      </c>
      <c r="I400" s="10">
        <f t="shared" si="44"/>
        <v>1.1963252167257215</v>
      </c>
      <c r="J400" s="4">
        <f t="shared" si="45"/>
        <v>495.16027656429605</v>
      </c>
      <c r="K400" s="4">
        <f t="shared" si="46"/>
        <v>111.3169993625053</v>
      </c>
      <c r="L400" s="42">
        <f>Pressure!Q400</f>
        <v>0.18156263808066642</v>
      </c>
      <c r="M400" s="10">
        <f t="shared" si="48"/>
        <v>0.2368977991184831</v>
      </c>
      <c r="N400" s="10">
        <f t="shared" si="47"/>
        <v>2.5992897854448858</v>
      </c>
    </row>
    <row r="401" spans="3:14">
      <c r="C401" s="4">
        <f>Pressure!AB401*1000000</f>
        <v>5093919.8984506363</v>
      </c>
      <c r="D401" s="78">
        <f>Pressure!I401</f>
        <v>8.1256230789298584E-5</v>
      </c>
      <c r="E401" s="40">
        <f>Pressure!H401</f>
        <v>81.256230789298584</v>
      </c>
      <c r="F401" s="10">
        <f t="shared" si="42"/>
        <v>4.5</v>
      </c>
      <c r="G401" s="4">
        <f t="shared" si="41"/>
        <v>215869.61959427258</v>
      </c>
      <c r="H401" s="42">
        <f t="shared" si="43"/>
        <v>8.0651943089405069</v>
      </c>
      <c r="I401" s="10">
        <f t="shared" si="44"/>
        <v>1.1963277323752937</v>
      </c>
      <c r="J401" s="4">
        <f t="shared" si="45"/>
        <v>495.17527874774265</v>
      </c>
      <c r="K401" s="4">
        <f t="shared" si="46"/>
        <v>111.32037200389881</v>
      </c>
      <c r="L401" s="42">
        <f>Pressure!Q401</f>
        <v>0.1820410675793791</v>
      </c>
      <c r="M401" s="10">
        <f t="shared" si="48"/>
        <v>0.23690287164264345</v>
      </c>
      <c r="N401" s="10">
        <f t="shared" si="47"/>
        <v>2.5992897854448858</v>
      </c>
    </row>
    <row r="402" spans="3:14">
      <c r="C402" s="4">
        <f>Pressure!AB402*1000000</f>
        <v>5094060.9800653784</v>
      </c>
      <c r="D402" s="78">
        <f>Pressure!I402</f>
        <v>8.1256230789298584E-5</v>
      </c>
      <c r="E402" s="40">
        <f>Pressure!H402</f>
        <v>81.256230789298584</v>
      </c>
      <c r="F402" s="10">
        <f t="shared" si="42"/>
        <v>4.5</v>
      </c>
      <c r="G402" s="4">
        <f t="shared" si="41"/>
        <v>215875.59833659933</v>
      </c>
      <c r="H402" s="42">
        <f t="shared" si="43"/>
        <v>8.0653690290497302</v>
      </c>
      <c r="I402" s="10">
        <f t="shared" si="44"/>
        <v>1.1963302034624208</v>
      </c>
      <c r="J402" s="4">
        <f t="shared" si="45"/>
        <v>495.19001600479316</v>
      </c>
      <c r="K402" s="4">
        <f t="shared" si="46"/>
        <v>111.3236850871798</v>
      </c>
      <c r="L402" s="42">
        <f>Pressure!Q402</f>
        <v>0.18251949277511578</v>
      </c>
      <c r="M402" s="10">
        <f t="shared" si="48"/>
        <v>0.23690785499639908</v>
      </c>
      <c r="N402" s="10">
        <f t="shared" si="47"/>
        <v>2.5992897854448858</v>
      </c>
    </row>
    <row r="403" spans="3:14">
      <c r="C403" s="4">
        <f>Pressure!AB403*1000000</f>
        <v>5094199.5254326994</v>
      </c>
      <c r="D403" s="78">
        <f>Pressure!I403</f>
        <v>8.1256230789298584E-5</v>
      </c>
      <c r="E403" s="40">
        <f>Pressure!H403</f>
        <v>81.256230789298584</v>
      </c>
      <c r="F403" s="10">
        <f t="shared" si="42"/>
        <v>4.5</v>
      </c>
      <c r="G403" s="4">
        <f t="shared" si="41"/>
        <v>215881.46959809077</v>
      </c>
      <c r="H403" s="42">
        <f t="shared" si="43"/>
        <v>8.0655406073534621</v>
      </c>
      <c r="I403" s="10">
        <f t="shared" si="44"/>
        <v>1.1963326299932053</v>
      </c>
      <c r="J403" s="4">
        <f t="shared" si="45"/>
        <v>495.2044883277469</v>
      </c>
      <c r="K403" s="4">
        <f t="shared" si="46"/>
        <v>111.32693861061708</v>
      </c>
      <c r="L403" s="42">
        <f>Pressure!Q403</f>
        <v>0.1829979137440193</v>
      </c>
      <c r="M403" s="10">
        <f t="shared" si="48"/>
        <v>0.23691274917974769</v>
      </c>
      <c r="N403" s="10">
        <f t="shared" si="47"/>
        <v>2.5992897854448858</v>
      </c>
    </row>
    <row r="404" spans="3:14">
      <c r="C404" s="4">
        <f>Pressure!AB404*1000000</f>
        <v>5094335.5344800651</v>
      </c>
      <c r="D404" s="78">
        <f>Pressure!I404</f>
        <v>8.1256230789298584E-5</v>
      </c>
      <c r="E404" s="40">
        <f>Pressure!H404</f>
        <v>81.256230789298584</v>
      </c>
      <c r="F404" s="10">
        <f t="shared" si="42"/>
        <v>4.5</v>
      </c>
      <c r="G404" s="4">
        <f t="shared" si="41"/>
        <v>215887.23337567295</v>
      </c>
      <c r="H404" s="42">
        <f t="shared" si="43"/>
        <v>8.0657090438072565</v>
      </c>
      <c r="I404" s="10">
        <f t="shared" si="44"/>
        <v>1.1963350119736362</v>
      </c>
      <c r="J404" s="4">
        <f t="shared" si="45"/>
        <v>495.21869570902692</v>
      </c>
      <c r="K404" s="4">
        <f t="shared" si="46"/>
        <v>111.3301325725073</v>
      </c>
      <c r="L404" s="42">
        <f>Pressure!Q404</f>
        <v>0.18347633056222643</v>
      </c>
      <c r="M404" s="10">
        <f t="shared" si="48"/>
        <v>0.23691755419272031</v>
      </c>
      <c r="N404" s="10">
        <f t="shared" si="47"/>
        <v>2.5992897854448858</v>
      </c>
    </row>
    <row r="405" spans="3:14">
      <c r="C405" s="4">
        <f>Pressure!AB405*1000000</f>
        <v>5094469.0071359714</v>
      </c>
      <c r="D405" s="78">
        <f>Pressure!I405</f>
        <v>8.1256230789298584E-5</v>
      </c>
      <c r="E405" s="40">
        <f>Pressure!H405</f>
        <v>81.256230789298584</v>
      </c>
      <c r="F405" s="10">
        <f t="shared" si="42"/>
        <v>4.5</v>
      </c>
      <c r="G405" s="4">
        <f t="shared" si="41"/>
        <v>215892.88966631575</v>
      </c>
      <c r="H405" s="42">
        <f t="shared" si="43"/>
        <v>8.0658743383671005</v>
      </c>
      <c r="I405" s="10">
        <f t="shared" si="44"/>
        <v>1.1963373494095868</v>
      </c>
      <c r="J405" s="4">
        <f t="shared" si="45"/>
        <v>495.23263814116387</v>
      </c>
      <c r="K405" s="4">
        <f t="shared" si="46"/>
        <v>111.33326697117123</v>
      </c>
      <c r="L405" s="42">
        <f>Pressure!Q405</f>
        <v>0.18395474330586789</v>
      </c>
      <c r="M405" s="10">
        <f t="shared" si="48"/>
        <v>0.23692227003530938</v>
      </c>
      <c r="N405" s="10">
        <f t="shared" si="47"/>
        <v>2.5992897854448858</v>
      </c>
    </row>
    <row r="406" spans="3:14">
      <c r="C406" s="4">
        <f>Pressure!AB406*1000000</f>
        <v>5094599.9433298139</v>
      </c>
      <c r="D406" s="78">
        <f>Pressure!I406</f>
        <v>8.1256230789298584E-5</v>
      </c>
      <c r="E406" s="40">
        <f>Pressure!H406</f>
        <v>81.256230789298584</v>
      </c>
      <c r="F406" s="10">
        <f t="shared" si="42"/>
        <v>4.5</v>
      </c>
      <c r="G406" s="4">
        <f t="shared" si="41"/>
        <v>215898.43846702707</v>
      </c>
      <c r="H406" s="42">
        <f t="shared" si="43"/>
        <v>8.0660364909892763</v>
      </c>
      <c r="I406" s="10">
        <f t="shared" si="44"/>
        <v>1.1963396423068133</v>
      </c>
      <c r="J406" s="4">
        <f t="shared" si="45"/>
        <v>495.24631561678262</v>
      </c>
      <c r="K406" s="4">
        <f t="shared" si="46"/>
        <v>111.33634180495091</v>
      </c>
      <c r="L406" s="42">
        <f>Pressure!Q406</f>
        <v>0.1844331520510685</v>
      </c>
      <c r="M406" s="10">
        <f t="shared" si="48"/>
        <v>0.23692689670747569</v>
      </c>
      <c r="N406" s="10">
        <f t="shared" si="47"/>
        <v>2.5992897854448858</v>
      </c>
    </row>
    <row r="407" spans="3:14">
      <c r="C407" s="4">
        <f>Pressure!AB407*1000000</f>
        <v>5094728.34299218</v>
      </c>
      <c r="D407" s="78">
        <f>Pressure!I407</f>
        <v>8.1256230789298584E-5</v>
      </c>
      <c r="E407" s="40">
        <f>Pressure!H407</f>
        <v>81.256230789298584</v>
      </c>
      <c r="F407" s="10">
        <f t="shared" si="42"/>
        <v>4.5</v>
      </c>
      <c r="G407" s="4">
        <f t="shared" si="41"/>
        <v>215903.87977486535</v>
      </c>
      <c r="H407" s="42">
        <f t="shared" si="43"/>
        <v>8.0661955016306965</v>
      </c>
      <c r="I407" s="10">
        <f t="shared" si="44"/>
        <v>1.1963418906709589</v>
      </c>
      <c r="J407" s="4">
        <f t="shared" si="45"/>
        <v>495.25972812863233</v>
      </c>
      <c r="K407" s="4">
        <f t="shared" si="46"/>
        <v>111.33935707221626</v>
      </c>
      <c r="L407" s="42">
        <f>Pressure!Q407</f>
        <v>0.18491155687394734</v>
      </c>
      <c r="M407" s="10">
        <f t="shared" si="48"/>
        <v>0.23693143420922103</v>
      </c>
      <c r="N407" s="10">
        <f t="shared" si="47"/>
        <v>2.5992897854448858</v>
      </c>
    </row>
    <row r="408" spans="3:14">
      <c r="C408" s="4">
        <f>Pressure!AB408*1000000</f>
        <v>5094854.2060547518</v>
      </c>
      <c r="D408" s="78">
        <f>Pressure!I408</f>
        <v>8.1256230789298584E-5</v>
      </c>
      <c r="E408" s="40">
        <f>Pressure!H408</f>
        <v>81.256230789298584</v>
      </c>
      <c r="F408" s="10">
        <f t="shared" si="42"/>
        <v>4.5</v>
      </c>
      <c r="G408" s="4">
        <f t="shared" si="41"/>
        <v>215909.21358693542</v>
      </c>
      <c r="H408" s="42">
        <f t="shared" si="43"/>
        <v>8.0663513702488121</v>
      </c>
      <c r="I408" s="10">
        <f t="shared" si="44"/>
        <v>1.1963440945075521</v>
      </c>
      <c r="J408" s="4">
        <f t="shared" si="45"/>
        <v>495.27287566957648</v>
      </c>
      <c r="K408" s="4">
        <f t="shared" si="46"/>
        <v>111.34231277136291</v>
      </c>
      <c r="L408" s="42">
        <f>Pressure!Q408</f>
        <v>0.18538995785061779</v>
      </c>
      <c r="M408" s="10">
        <f t="shared" si="48"/>
        <v>0.2369358825404968</v>
      </c>
      <c r="N408" s="10">
        <f t="shared" si="47"/>
        <v>2.5992897854448858</v>
      </c>
    </row>
    <row r="409" spans="3:14">
      <c r="C409" s="4">
        <f>Pressure!AB409*1000000</f>
        <v>5094977.5324501125</v>
      </c>
      <c r="D409" s="78">
        <f>Pressure!I409</f>
        <v>8.1256230789298584E-5</v>
      </c>
      <c r="E409" s="40">
        <f>Pressure!H409</f>
        <v>81.256230789298584</v>
      </c>
      <c r="F409" s="10">
        <f t="shared" si="42"/>
        <v>4.5</v>
      </c>
      <c r="G409" s="4">
        <f t="shared" si="41"/>
        <v>215914.4399003803</v>
      </c>
      <c r="H409" s="42">
        <f t="shared" si="43"/>
        <v>8.0665040968013493</v>
      </c>
      <c r="I409" s="10">
        <f t="shared" si="44"/>
        <v>1.1963462538220042</v>
      </c>
      <c r="J409" s="4">
        <f t="shared" si="45"/>
        <v>495.2857582325729</v>
      </c>
      <c r="K409" s="4">
        <f t="shared" si="46"/>
        <v>111.34520890080772</v>
      </c>
      <c r="L409" s="42">
        <f>Pressure!Q409</f>
        <v>0.18586835505718774</v>
      </c>
      <c r="M409" s="10">
        <f t="shared" si="48"/>
        <v>0.2369402417012656</v>
      </c>
      <c r="N409" s="10">
        <f t="shared" si="47"/>
        <v>2.5992897854448858</v>
      </c>
    </row>
    <row r="410" spans="3:14">
      <c r="C410" s="4">
        <f>Pressure!AB410*1000000</f>
        <v>5095098.3221122054</v>
      </c>
      <c r="D410" s="78">
        <f>Pressure!I410</f>
        <v>8.1256230789298584E-5</v>
      </c>
      <c r="E410" s="40">
        <f>Pressure!H410</f>
        <v>81.256230789298584</v>
      </c>
      <c r="F410" s="10">
        <f t="shared" si="42"/>
        <v>4.5</v>
      </c>
      <c r="G410" s="4">
        <f t="shared" si="41"/>
        <v>215919.55871240067</v>
      </c>
      <c r="H410" s="42">
        <f t="shared" si="43"/>
        <v>8.0666536812468905</v>
      </c>
      <c r="I410" s="10">
        <f t="shared" si="44"/>
        <v>1.196348368619617</v>
      </c>
      <c r="J410" s="4">
        <f t="shared" si="45"/>
        <v>495.29837581072132</v>
      </c>
      <c r="K410" s="4">
        <f t="shared" si="46"/>
        <v>111.34804545899945</v>
      </c>
      <c r="L410" s="42">
        <f>Pressure!Q410</f>
        <v>0.18634674856975963</v>
      </c>
      <c r="M410" s="10">
        <f t="shared" si="48"/>
        <v>0.23694451169148029</v>
      </c>
      <c r="N410" s="10">
        <f t="shared" si="47"/>
        <v>2.5992897854448858</v>
      </c>
    </row>
    <row r="411" spans="3:14">
      <c r="C411" s="4">
        <f>Pressure!AB411*1000000</f>
        <v>5095216.5749756526</v>
      </c>
      <c r="D411" s="78">
        <f>Pressure!I411</f>
        <v>8.1256230789298584E-5</v>
      </c>
      <c r="E411" s="40">
        <f>Pressure!H411</f>
        <v>81.256230789298584</v>
      </c>
      <c r="F411" s="10">
        <f t="shared" si="42"/>
        <v>4.5</v>
      </c>
      <c r="G411" s="4">
        <f t="shared" si="41"/>
        <v>215924.57002022592</v>
      </c>
      <c r="H411" s="42">
        <f t="shared" si="43"/>
        <v>8.0668001235440272</v>
      </c>
      <c r="I411" s="10">
        <f t="shared" si="44"/>
        <v>1.1963504389055706</v>
      </c>
      <c r="J411" s="4">
        <f t="shared" si="45"/>
        <v>495.31072839719258</v>
      </c>
      <c r="K411" s="4">
        <f t="shared" si="46"/>
        <v>111.35082244440281</v>
      </c>
      <c r="L411" s="42">
        <f>Pressure!Q411</f>
        <v>0.18682513846443063</v>
      </c>
      <c r="M411" s="10">
        <f t="shared" si="48"/>
        <v>0.23694869251107864</v>
      </c>
      <c r="N411" s="10">
        <f t="shared" si="47"/>
        <v>2.5992897854448858</v>
      </c>
    </row>
    <row r="412" spans="3:14">
      <c r="C412" s="4">
        <f>Pressure!AB412*1000000</f>
        <v>5095332.2909765299</v>
      </c>
      <c r="D412" s="78">
        <f>Pressure!I412</f>
        <v>8.1256230789298584E-5</v>
      </c>
      <c r="E412" s="40">
        <f>Pressure!H412</f>
        <v>81.256230789298584</v>
      </c>
      <c r="F412" s="10">
        <f t="shared" si="42"/>
        <v>4.5</v>
      </c>
      <c r="G412" s="4">
        <f t="shared" ref="G412:G475" si="49">IF(C412/(1+(k-1)/2*N412^2)^(k/(k-1))&lt;patm*1000000,patm*1000000,C412/(1+(k-1)/2*N412^2)^(k/(k-1)))</f>
        <v>215929.47382114708</v>
      </c>
      <c r="H412" s="42">
        <f t="shared" si="43"/>
        <v>8.0669434236523152</v>
      </c>
      <c r="I412" s="10">
        <f t="shared" si="44"/>
        <v>1.1963524646849371</v>
      </c>
      <c r="J412" s="4">
        <f t="shared" si="45"/>
        <v>495.32281598530892</v>
      </c>
      <c r="K412" s="4">
        <f t="shared" si="46"/>
        <v>111.3535398555166</v>
      </c>
      <c r="L412" s="42">
        <f>Pressure!Q412</f>
        <v>0.18730352481729268</v>
      </c>
      <c r="M412" s="10">
        <f t="shared" si="48"/>
        <v>0.23695278415997156</v>
      </c>
      <c r="N412" s="10">
        <f t="shared" si="47"/>
        <v>2.5992897854448858</v>
      </c>
    </row>
    <row r="413" spans="3:14">
      <c r="C413" s="4">
        <f>Pressure!AB413*1000000</f>
        <v>5095445.4700515904</v>
      </c>
      <c r="D413" s="78">
        <f>Pressure!I413</f>
        <v>8.1256230789298584E-5</v>
      </c>
      <c r="E413" s="40">
        <f>Pressure!H413</f>
        <v>81.256230789298584</v>
      </c>
      <c r="F413" s="10">
        <f t="shared" ref="F413:F476" si="50">aexit/E413</f>
        <v>4.5</v>
      </c>
      <c r="G413" s="4">
        <f t="shared" si="49"/>
        <v>215934.27011248388</v>
      </c>
      <c r="H413" s="42">
        <f t="shared" ref="H413:H476" si="51">1/(((k+1)/2)^(1/(k-1))*(patm*1000000/C413)^(1/k)*SQRT((k+1)/(k-1)*(1-(patm*1000000/C413)^((k-1)/k))))</f>
        <v>8.0670835815313247</v>
      </c>
      <c r="I413" s="10">
        <f t="shared" ref="I413:I476" si="52">etanoz*SQRT(2*k^2/(k-1)*(2/(k+1))^((k+1)/(k-1))*(1-(G413/C413)^((k-1)/k)))+(G413-patm*1000000)/C413*(aexit/E413)</f>
        <v>1.1963544459626672</v>
      </c>
      <c r="J413" s="4">
        <f t="shared" ref="J413:J476" si="53">I413*D413*C413</f>
        <v>495.33463856846384</v>
      </c>
      <c r="K413" s="4">
        <f t="shared" ref="K413:K474" si="54">J413/4.4482</f>
        <v>111.35619769085559</v>
      </c>
      <c r="L413" s="42">
        <f>Pressure!Q413</f>
        <v>0.1877819077044327</v>
      </c>
      <c r="M413" s="10">
        <f t="shared" si="48"/>
        <v>0.23695678663811223</v>
      </c>
      <c r="N413" s="10">
        <f t="shared" si="47"/>
        <v>2.5992897854448858</v>
      </c>
    </row>
    <row r="414" spans="3:14">
      <c r="C414" s="4">
        <f>Pressure!AB414*1000000</f>
        <v>5095556.1121391179</v>
      </c>
      <c r="D414" s="78">
        <f>Pressure!I414</f>
        <v>8.1256230789298584E-5</v>
      </c>
      <c r="E414" s="40">
        <f>Pressure!H414</f>
        <v>81.256230789298584</v>
      </c>
      <c r="F414" s="10">
        <f t="shared" si="50"/>
        <v>4.5</v>
      </c>
      <c r="G414" s="4">
        <f t="shared" si="49"/>
        <v>215938.95889162095</v>
      </c>
      <c r="H414" s="42">
        <f t="shared" si="51"/>
        <v>8.0672205971416968</v>
      </c>
      <c r="I414" s="10">
        <f t="shared" si="52"/>
        <v>1.1963563827436052</v>
      </c>
      <c r="J414" s="4">
        <f t="shared" si="53"/>
        <v>495.34619614021045</v>
      </c>
      <c r="K414" s="4">
        <f t="shared" si="54"/>
        <v>111.35879594897047</v>
      </c>
      <c r="L414" s="42">
        <f>Pressure!Q414</f>
        <v>0.18826028720193264</v>
      </c>
      <c r="M414" s="10">
        <f t="shared" si="48"/>
        <v>0.23696069994537397</v>
      </c>
      <c r="N414" s="10">
        <f t="shared" ref="N414:N477" si="55">N413-1/834*(me-mef)</f>
        <v>2.5992897854448858</v>
      </c>
    </row>
    <row r="415" spans="3:14">
      <c r="C415" s="4">
        <f>Pressure!AB415*1000000</f>
        <v>5095664.2171778735</v>
      </c>
      <c r="D415" s="78">
        <f>Pressure!I415</f>
        <v>8.1256230789298584E-5</v>
      </c>
      <c r="E415" s="40">
        <f>Pressure!H415</f>
        <v>81.256230789298584</v>
      </c>
      <c r="F415" s="10">
        <f t="shared" si="50"/>
        <v>4.5</v>
      </c>
      <c r="G415" s="4">
        <f t="shared" si="49"/>
        <v>215943.54015596304</v>
      </c>
      <c r="H415" s="42">
        <f t="shared" si="51"/>
        <v>8.0673544704438171</v>
      </c>
      <c r="I415" s="10">
        <f t="shared" si="52"/>
        <v>1.1963582750324704</v>
      </c>
      <c r="J415" s="4">
        <f t="shared" si="53"/>
        <v>495.35748869415175</v>
      </c>
      <c r="K415" s="4">
        <f t="shared" si="54"/>
        <v>111.36133462842312</v>
      </c>
      <c r="L415" s="42">
        <f>Pressure!Q415</f>
        <v>0.18873866338586964</v>
      </c>
      <c r="M415" s="10">
        <f t="shared" si="48"/>
        <v>0.23696452408169677</v>
      </c>
      <c r="N415" s="10">
        <f t="shared" si="55"/>
        <v>2.5992897854448858</v>
      </c>
    </row>
    <row r="416" spans="3:14">
      <c r="C416" s="4">
        <f>Pressure!AB416*1000000</f>
        <v>5095769.7851081491</v>
      </c>
      <c r="D416" s="78">
        <f>Pressure!I416</f>
        <v>8.1256230789298584E-5</v>
      </c>
      <c r="E416" s="40">
        <f>Pressure!H416</f>
        <v>81.256230789298584</v>
      </c>
      <c r="F416" s="10">
        <f t="shared" si="50"/>
        <v>4.5</v>
      </c>
      <c r="G416" s="4">
        <f t="shared" si="49"/>
        <v>215948.01390297993</v>
      </c>
      <c r="H416" s="42">
        <f t="shared" si="51"/>
        <v>8.0674852013991405</v>
      </c>
      <c r="I416" s="10">
        <f t="shared" si="52"/>
        <v>1.196360122833876</v>
      </c>
      <c r="J416" s="4">
        <f t="shared" si="53"/>
        <v>495.36851622405078</v>
      </c>
      <c r="K416" s="4">
        <f t="shared" si="54"/>
        <v>111.36381372781143</v>
      </c>
      <c r="L416" s="42">
        <f>Pressure!Q416</f>
        <v>0.18921703633231612</v>
      </c>
      <c r="M416" s="10">
        <f t="shared" si="48"/>
        <v>0.23696825904693589</v>
      </c>
      <c r="N416" s="10">
        <f t="shared" si="55"/>
        <v>2.5992897854448858</v>
      </c>
    </row>
    <row r="417" spans="3:14">
      <c r="C417" s="4">
        <f>Pressure!AB417*1000000</f>
        <v>5095872.8158712005</v>
      </c>
      <c r="D417" s="78">
        <f>Pressure!I417</f>
        <v>8.1256230789298584E-5</v>
      </c>
      <c r="E417" s="40">
        <f>Pressure!H417</f>
        <v>81.256230789298584</v>
      </c>
      <c r="F417" s="10">
        <f t="shared" si="50"/>
        <v>4.5</v>
      </c>
      <c r="G417" s="4">
        <f t="shared" si="49"/>
        <v>215952.38013018214</v>
      </c>
      <c r="H417" s="42">
        <f t="shared" si="51"/>
        <v>8.0676127899694858</v>
      </c>
      <c r="I417" s="10">
        <f t="shared" si="52"/>
        <v>1.1963619261523184</v>
      </c>
      <c r="J417" s="4">
        <f t="shared" si="53"/>
        <v>495.37927872377111</v>
      </c>
      <c r="K417" s="4">
        <f t="shared" si="54"/>
        <v>111.36623324575584</v>
      </c>
      <c r="L417" s="42">
        <f>Pressure!Q417</f>
        <v>0.18969540611733993</v>
      </c>
      <c r="M417" s="10">
        <f t="shared" si="48"/>
        <v>0.23697190484099781</v>
      </c>
      <c r="N417" s="10">
        <f t="shared" si="55"/>
        <v>2.5992897854448858</v>
      </c>
    </row>
    <row r="418" spans="3:14">
      <c r="C418" s="4">
        <f>Pressure!AB418*1000000</f>
        <v>5095973.3094092263</v>
      </c>
      <c r="D418" s="78">
        <f>Pressure!I418</f>
        <v>8.1256230789298584E-5</v>
      </c>
      <c r="E418" s="40">
        <f>Pressure!H418</f>
        <v>81.256230789298584</v>
      </c>
      <c r="F418" s="10">
        <f t="shared" si="50"/>
        <v>4.5</v>
      </c>
      <c r="G418" s="4">
        <f t="shared" si="49"/>
        <v>215956.63883512013</v>
      </c>
      <c r="H418" s="42">
        <f t="shared" si="51"/>
        <v>8.0677372361170114</v>
      </c>
      <c r="I418" s="10">
        <f t="shared" si="52"/>
        <v>1.1963636849921777</v>
      </c>
      <c r="J418" s="4">
        <f t="shared" si="53"/>
        <v>495.38977618727495</v>
      </c>
      <c r="K418" s="4">
        <f t="shared" si="54"/>
        <v>111.36859318089901</v>
      </c>
      <c r="L418" s="42">
        <f>Pressure!Q418</f>
        <v>0.1901737728170044</v>
      </c>
      <c r="M418" s="10">
        <f t="shared" si="48"/>
        <v>0.2369754614637431</v>
      </c>
      <c r="N418" s="10">
        <f t="shared" si="55"/>
        <v>2.5992897854448858</v>
      </c>
    </row>
    <row r="419" spans="3:14">
      <c r="C419" s="4">
        <f>Pressure!AB419*1000000</f>
        <v>5096071.2656655395</v>
      </c>
      <c r="D419" s="78">
        <f>Pressure!I419</f>
        <v>8.1256230789298584E-5</v>
      </c>
      <c r="E419" s="40">
        <f>Pressure!H419</f>
        <v>81.256230789298584</v>
      </c>
      <c r="F419" s="10">
        <f t="shared" si="50"/>
        <v>4.5</v>
      </c>
      <c r="G419" s="4">
        <f t="shared" si="49"/>
        <v>215960.79001539166</v>
      </c>
      <c r="H419" s="42">
        <f t="shared" si="51"/>
        <v>8.0678585398044209</v>
      </c>
      <c r="I419" s="10">
        <f t="shared" si="52"/>
        <v>1.1963653993577199</v>
      </c>
      <c r="J419" s="4">
        <f t="shared" si="53"/>
        <v>495.40000860864063</v>
      </c>
      <c r="K419" s="4">
        <f t="shared" si="54"/>
        <v>111.37089353190969</v>
      </c>
      <c r="L419" s="42">
        <f>Pressure!Q419</f>
        <v>0.19065213650736856</v>
      </c>
      <c r="M419" s="10">
        <f t="shared" si="48"/>
        <v>0.2369789289150451</v>
      </c>
      <c r="N419" s="10">
        <f t="shared" si="55"/>
        <v>2.5992897854448858</v>
      </c>
    </row>
    <row r="420" spans="3:14">
      <c r="C420" s="4">
        <f>Pressure!AB420*1000000</f>
        <v>5096166.6845846679</v>
      </c>
      <c r="D420" s="78">
        <f>Pressure!I420</f>
        <v>8.1256230789298584E-5</v>
      </c>
      <c r="E420" s="40">
        <f>Pressure!H420</f>
        <v>81.256230789298584</v>
      </c>
      <c r="F420" s="10">
        <f t="shared" si="50"/>
        <v>4.5</v>
      </c>
      <c r="G420" s="4">
        <f t="shared" si="49"/>
        <v>215964.83366864594</v>
      </c>
      <c r="H420" s="42">
        <f t="shared" si="51"/>
        <v>8.0679767009950929</v>
      </c>
      <c r="I420" s="10">
        <f t="shared" si="52"/>
        <v>1.1963670692530999</v>
      </c>
      <c r="J420" s="4">
        <f t="shared" si="53"/>
        <v>495.40997598207389</v>
      </c>
      <c r="K420" s="4">
        <f t="shared" si="54"/>
        <v>111.37313429748525</v>
      </c>
      <c r="L420" s="42">
        <f>Pressure!Q420</f>
        <v>0.19113049726448716</v>
      </c>
      <c r="M420" s="10">
        <f t="shared" si="48"/>
        <v>0.23698230719474181</v>
      </c>
      <c r="N420" s="10">
        <f t="shared" si="55"/>
        <v>2.5992897854448858</v>
      </c>
    </row>
    <row r="421" spans="3:14">
      <c r="C421" s="4">
        <f>Pressure!AB421*1000000</f>
        <v>5096259.5661117574</v>
      </c>
      <c r="D421" s="78">
        <f>Pressure!I421</f>
        <v>8.1256230789298584E-5</v>
      </c>
      <c r="E421" s="40">
        <f>Pressure!H421</f>
        <v>81.256230789298584</v>
      </c>
      <c r="F421" s="10">
        <f t="shared" si="50"/>
        <v>4.5</v>
      </c>
      <c r="G421" s="4">
        <f t="shared" si="49"/>
        <v>215968.76979255833</v>
      </c>
      <c r="H421" s="42">
        <f t="shared" si="51"/>
        <v>8.0680917196523367</v>
      </c>
      <c r="I421" s="10">
        <f t="shared" si="52"/>
        <v>1.1963686946823495</v>
      </c>
      <c r="J421" s="4">
        <f t="shared" si="53"/>
        <v>495.41967830184433</v>
      </c>
      <c r="K421" s="4">
        <f t="shared" si="54"/>
        <v>111.37531547633748</v>
      </c>
      <c r="L421" s="42">
        <f>Pressure!Q421</f>
        <v>0.1916088551644109</v>
      </c>
      <c r="M421" s="10">
        <f t="shared" si="48"/>
        <v>0.23698559630270599</v>
      </c>
      <c r="N421" s="10">
        <f t="shared" si="55"/>
        <v>2.5992897854448858</v>
      </c>
    </row>
    <row r="422" spans="3:14">
      <c r="C422" s="4">
        <f>Pressure!AB422*1000000</f>
        <v>5096349.9101935718</v>
      </c>
      <c r="D422" s="78">
        <f>Pressure!I422</f>
        <v>8.1256230789298584E-5</v>
      </c>
      <c r="E422" s="40">
        <f>Pressure!H422</f>
        <v>81.256230789298584</v>
      </c>
      <c r="F422" s="10">
        <f t="shared" si="50"/>
        <v>4.5</v>
      </c>
      <c r="G422" s="4">
        <f t="shared" si="49"/>
        <v>215972.59838487284</v>
      </c>
      <c r="H422" s="42">
        <f t="shared" si="51"/>
        <v>8.0682035957406395</v>
      </c>
      <c r="I422" s="10">
        <f t="shared" si="52"/>
        <v>1.1963702756493964</v>
      </c>
      <c r="J422" s="4">
        <f t="shared" si="53"/>
        <v>495.42911556239125</v>
      </c>
      <c r="K422" s="4">
        <f t="shared" si="54"/>
        <v>111.37743706721623</v>
      </c>
      <c r="L422" s="42">
        <f>Pressure!Q422</f>
        <v>0.1920872102831864</v>
      </c>
      <c r="M422" s="10">
        <f t="shared" si="48"/>
        <v>0.23698879623874519</v>
      </c>
      <c r="N422" s="10">
        <f t="shared" si="55"/>
        <v>2.5992897854448858</v>
      </c>
    </row>
    <row r="423" spans="3:14">
      <c r="C423" s="4">
        <f>Pressure!AB423*1000000</f>
        <v>5096437.7167775622</v>
      </c>
      <c r="D423" s="78">
        <f>Pressure!I423</f>
        <v>8.1256230789298584E-5</v>
      </c>
      <c r="E423" s="40">
        <f>Pressure!H423</f>
        <v>81.256230789298584</v>
      </c>
      <c r="F423" s="10">
        <f t="shared" si="50"/>
        <v>4.5</v>
      </c>
      <c r="G423" s="4">
        <f t="shared" si="49"/>
        <v>215976.3194433625</v>
      </c>
      <c r="H423" s="42">
        <f t="shared" si="51"/>
        <v>8.0683123292245131</v>
      </c>
      <c r="I423" s="10">
        <f t="shared" si="52"/>
        <v>1.1963718121580469</v>
      </c>
      <c r="J423" s="4">
        <f t="shared" si="53"/>
        <v>495.43828775822527</v>
      </c>
      <c r="K423" s="4">
        <f t="shared" si="54"/>
        <v>111.37949906888748</v>
      </c>
      <c r="L423" s="42">
        <f>Pressure!Q423</f>
        <v>0.19256556269685643</v>
      </c>
      <c r="M423" s="10">
        <f t="shared" si="48"/>
        <v>0.23699190700268608</v>
      </c>
      <c r="N423" s="10">
        <f t="shared" si="55"/>
        <v>2.5992897854448858</v>
      </c>
    </row>
    <row r="424" spans="3:14">
      <c r="C424" s="4">
        <f>Pressure!AB424*1000000</f>
        <v>5096522.9858125914</v>
      </c>
      <c r="D424" s="78">
        <f>Pressure!I424</f>
        <v>8.1256230789298584E-5</v>
      </c>
      <c r="E424" s="40">
        <f>Pressure!H424</f>
        <v>81.256230789298584</v>
      </c>
      <c r="F424" s="10">
        <f t="shared" si="50"/>
        <v>4.5</v>
      </c>
      <c r="G424" s="4">
        <f t="shared" si="49"/>
        <v>215979.93296586029</v>
      </c>
      <c r="H424" s="42">
        <f t="shared" si="51"/>
        <v>8.0684179200693613</v>
      </c>
      <c r="I424" s="10">
        <f t="shared" si="52"/>
        <v>1.1963733042119993</v>
      </c>
      <c r="J424" s="4">
        <f t="shared" si="53"/>
        <v>495.44719488400483</v>
      </c>
      <c r="K424" s="4">
        <f t="shared" si="54"/>
        <v>111.38150148015036</v>
      </c>
      <c r="L424" s="42">
        <f>Pressure!Q424</f>
        <v>0.19304391248146002</v>
      </c>
      <c r="M424" s="10">
        <f t="shared" ref="M424:M473" si="56">(J424+J423)/2*(L424-L423)</f>
        <v>0.23699492859436919</v>
      </c>
      <c r="N424" s="10">
        <f t="shared" si="55"/>
        <v>2.5992897854448858</v>
      </c>
    </row>
    <row r="425" spans="3:14">
      <c r="C425" s="4">
        <f>Pressure!AB425*1000000</f>
        <v>5096605.717248057</v>
      </c>
      <c r="D425" s="78">
        <f>Pressure!I425</f>
        <v>8.1256230789298584E-5</v>
      </c>
      <c r="E425" s="40">
        <f>Pressure!H425</f>
        <v>81.256230789298584</v>
      </c>
      <c r="F425" s="10">
        <f t="shared" si="50"/>
        <v>4.5</v>
      </c>
      <c r="G425" s="4">
        <f t="shared" si="49"/>
        <v>215983.43895022175</v>
      </c>
      <c r="H425" s="42">
        <f t="shared" si="51"/>
        <v>8.0685203682404545</v>
      </c>
      <c r="I425" s="10">
        <f t="shared" si="52"/>
        <v>1.1963747518148278</v>
      </c>
      <c r="J425" s="4">
        <f t="shared" si="53"/>
        <v>495.45583693444388</v>
      </c>
      <c r="K425" s="4">
        <f t="shared" si="54"/>
        <v>111.38344429981653</v>
      </c>
      <c r="L425" s="42">
        <f>Pressure!Q425</f>
        <v>0.19352225971303255</v>
      </c>
      <c r="M425" s="10">
        <f t="shared" si="56"/>
        <v>0.23699786101359027</v>
      </c>
      <c r="N425" s="10">
        <f t="shared" si="55"/>
        <v>2.5992897854448858</v>
      </c>
    </row>
    <row r="426" spans="3:14">
      <c r="C426" s="4">
        <f>Pressure!AB426*1000000</f>
        <v>5096685.9110348355</v>
      </c>
      <c r="D426" s="78">
        <f>Pressure!I426</f>
        <v>8.1256230789298584E-5</v>
      </c>
      <c r="E426" s="40">
        <f>Pressure!H426</f>
        <v>81.256230789298584</v>
      </c>
      <c r="F426" s="10">
        <f t="shared" si="50"/>
        <v>4.5</v>
      </c>
      <c r="G426" s="4">
        <f t="shared" si="49"/>
        <v>215986.83739436511</v>
      </c>
      <c r="H426" s="42">
        <f t="shared" si="51"/>
        <v>8.0686196737040383</v>
      </c>
      <c r="I426" s="10">
        <f t="shared" si="52"/>
        <v>1.1963761549699998</v>
      </c>
      <c r="J426" s="4">
        <f t="shared" si="53"/>
        <v>495.464213904411</v>
      </c>
      <c r="K426" s="4">
        <f t="shared" si="54"/>
        <v>111.38532752673238</v>
      </c>
      <c r="L426" s="42">
        <f>Pressure!Q426</f>
        <v>0.19400060446760586</v>
      </c>
      <c r="M426" s="10">
        <f t="shared" si="56"/>
        <v>0.23700070426014302</v>
      </c>
      <c r="N426" s="10">
        <f t="shared" si="55"/>
        <v>2.5992897854448858</v>
      </c>
    </row>
    <row r="427" spans="3:14">
      <c r="C427" s="4">
        <f>Pressure!AB427*1000000</f>
        <v>5096763.567124892</v>
      </c>
      <c r="D427" s="78">
        <f>Pressure!I427</f>
        <v>8.1256230789298584E-5</v>
      </c>
      <c r="E427" s="40">
        <f>Pressure!H427</f>
        <v>81.256230789298584</v>
      </c>
      <c r="F427" s="10">
        <f t="shared" si="50"/>
        <v>4.5</v>
      </c>
      <c r="G427" s="4">
        <f t="shared" si="49"/>
        <v>215990.12829625478</v>
      </c>
      <c r="H427" s="42">
        <f t="shared" si="51"/>
        <v>8.0687158364268878</v>
      </c>
      <c r="I427" s="10">
        <f t="shared" si="52"/>
        <v>1.1963775136808692</v>
      </c>
      <c r="J427" s="4">
        <f t="shared" si="53"/>
        <v>495.47232578888867</v>
      </c>
      <c r="K427" s="4">
        <f t="shared" si="54"/>
        <v>111.38715115976994</v>
      </c>
      <c r="L427" s="42">
        <f>Pressure!Q427</f>
        <v>0.19447894682120836</v>
      </c>
      <c r="M427" s="10">
        <f t="shared" si="56"/>
        <v>0.23700345833380562</v>
      </c>
      <c r="N427" s="10">
        <f t="shared" si="55"/>
        <v>2.5992897854448858</v>
      </c>
    </row>
    <row r="428" spans="3:14">
      <c r="C428" s="4">
        <f>Pressure!AB428*1000000</f>
        <v>5096838.68547084</v>
      </c>
      <c r="D428" s="78">
        <f>Pressure!I428</f>
        <v>8.1256230789298584E-5</v>
      </c>
      <c r="E428" s="40">
        <f>Pressure!H428</f>
        <v>81.256230789298584</v>
      </c>
      <c r="F428" s="10">
        <f t="shared" si="50"/>
        <v>4.5</v>
      </c>
      <c r="G428" s="4">
        <f t="shared" si="49"/>
        <v>215993.31165388261</v>
      </c>
      <c r="H428" s="42">
        <f t="shared" si="51"/>
        <v>8.0688088563757443</v>
      </c>
      <c r="I428" s="10">
        <f t="shared" si="52"/>
        <v>1.1963788279506675</v>
      </c>
      <c r="J428" s="4">
        <f t="shared" si="53"/>
        <v>495.48017258292685</v>
      </c>
      <c r="K428" s="4">
        <f t="shared" si="54"/>
        <v>111.38891519781639</v>
      </c>
      <c r="L428" s="42">
        <f>Pressure!Q428</f>
        <v>0.19495728684986521</v>
      </c>
      <c r="M428" s="10">
        <f t="shared" si="56"/>
        <v>0.23700612323437489</v>
      </c>
      <c r="N428" s="10">
        <f t="shared" si="55"/>
        <v>2.5992897854448858</v>
      </c>
    </row>
    <row r="429" spans="3:14">
      <c r="C429" s="4">
        <f>Pressure!AB429*1000000</f>
        <v>5096911.2660268629</v>
      </c>
      <c r="D429" s="78">
        <f>Pressure!I429</f>
        <v>8.1256230789298584E-5</v>
      </c>
      <c r="E429" s="40">
        <f>Pressure!H429</f>
        <v>81.256230789298584</v>
      </c>
      <c r="F429" s="10">
        <f t="shared" si="50"/>
        <v>4.5</v>
      </c>
      <c r="G429" s="4">
        <f t="shared" si="49"/>
        <v>215996.38746530702</v>
      </c>
      <c r="H429" s="42">
        <f t="shared" si="51"/>
        <v>8.068898733518461</v>
      </c>
      <c r="I429" s="10">
        <f t="shared" si="52"/>
        <v>1.1963800977825212</v>
      </c>
      <c r="J429" s="4">
        <f t="shared" si="53"/>
        <v>495.48775428173951</v>
      </c>
      <c r="K429" s="4">
        <f t="shared" si="54"/>
        <v>111.39061963979576</v>
      </c>
      <c r="L429" s="42">
        <f>Pressure!Q429</f>
        <v>0.1954356246295984</v>
      </c>
      <c r="M429" s="10">
        <f t="shared" si="56"/>
        <v>0.23700869896162338</v>
      </c>
      <c r="N429" s="10">
        <f t="shared" si="55"/>
        <v>2.5992897854448858</v>
      </c>
    </row>
    <row r="430" spans="3:14">
      <c r="C430" s="4">
        <f>Pressure!AB430*1000000</f>
        <v>5096981.3087478317</v>
      </c>
      <c r="D430" s="78">
        <f>Pressure!I430</f>
        <v>8.1256230789298584E-5</v>
      </c>
      <c r="E430" s="40">
        <f>Pressure!H430</f>
        <v>81.256230789298584</v>
      </c>
      <c r="F430" s="10">
        <f t="shared" si="50"/>
        <v>4.5</v>
      </c>
      <c r="G430" s="4">
        <f t="shared" si="49"/>
        <v>215999.35572861551</v>
      </c>
      <c r="H430" s="42">
        <f t="shared" si="51"/>
        <v>8.0689854678229143</v>
      </c>
      <c r="I430" s="10">
        <f t="shared" si="52"/>
        <v>1.1963813231794362</v>
      </c>
      <c r="J430" s="4">
        <f t="shared" si="53"/>
        <v>495.49507088061267</v>
      </c>
      <c r="K430" s="4">
        <f t="shared" si="54"/>
        <v>111.39226448464832</v>
      </c>
      <c r="L430" s="42">
        <f>Pressure!Q430</f>
        <v>0.19591396023642685</v>
      </c>
      <c r="M430" s="10">
        <f t="shared" si="56"/>
        <v>0.23701118551530026</v>
      </c>
      <c r="N430" s="10">
        <f t="shared" si="55"/>
        <v>2.5992897854448858</v>
      </c>
    </row>
    <row r="431" spans="3:14">
      <c r="C431" s="4">
        <f>Pressure!AB431*1000000</f>
        <v>5097048.8135898355</v>
      </c>
      <c r="D431" s="78">
        <f>Pressure!I431</f>
        <v>8.1256230789298584E-5</v>
      </c>
      <c r="E431" s="40">
        <f>Pressure!H431</f>
        <v>81.256230789298584</v>
      </c>
      <c r="F431" s="10">
        <f t="shared" si="50"/>
        <v>4.5</v>
      </c>
      <c r="G431" s="4">
        <f t="shared" si="49"/>
        <v>216002.21644194721</v>
      </c>
      <c r="H431" s="42">
        <f t="shared" si="51"/>
        <v>8.0690690592576555</v>
      </c>
      <c r="I431" s="10">
        <f t="shared" si="52"/>
        <v>1.1963825041443064</v>
      </c>
      <c r="J431" s="4">
        <f t="shared" si="53"/>
        <v>495.5021223749593</v>
      </c>
      <c r="K431" s="4">
        <f t="shared" si="54"/>
        <v>111.39384973134285</v>
      </c>
      <c r="L431" s="42">
        <f>Pressure!Q431</f>
        <v>0.19639229374636652</v>
      </c>
      <c r="M431" s="10">
        <f t="shared" si="56"/>
        <v>0.23701358289515026</v>
      </c>
      <c r="N431" s="10">
        <f t="shared" si="55"/>
        <v>2.5992897854448858</v>
      </c>
    </row>
    <row r="432" spans="3:14">
      <c r="C432" s="4">
        <f>Pressure!AB432*1000000</f>
        <v>5097113.7805101536</v>
      </c>
      <c r="D432" s="78">
        <f>Pressure!I432</f>
        <v>8.1256230789298584E-5</v>
      </c>
      <c r="E432" s="40">
        <f>Pressure!H432</f>
        <v>81.256230789298584</v>
      </c>
      <c r="F432" s="10">
        <f t="shared" si="50"/>
        <v>4.5</v>
      </c>
      <c r="G432" s="4">
        <f t="shared" si="49"/>
        <v>216004.96960349171</v>
      </c>
      <c r="H432" s="42">
        <f t="shared" si="51"/>
        <v>8.0691495077918898</v>
      </c>
      <c r="I432" s="10">
        <f t="shared" si="52"/>
        <v>1.1963836406799135</v>
      </c>
      <c r="J432" s="4">
        <f t="shared" si="53"/>
        <v>495.50890876031696</v>
      </c>
      <c r="K432" s="4">
        <f t="shared" si="54"/>
        <v>111.39537537887617</v>
      </c>
      <c r="L432" s="42">
        <f>Pressure!Q432</f>
        <v>0.19687062523543059</v>
      </c>
      <c r="M432" s="10">
        <f t="shared" si="56"/>
        <v>0.23701589110092583</v>
      </c>
      <c r="N432" s="10">
        <f t="shared" si="55"/>
        <v>2.5992897854448858</v>
      </c>
    </row>
    <row r="433" spans="3:14">
      <c r="C433" s="4">
        <f>Pressure!AB433*1000000</f>
        <v>5097176.2094668178</v>
      </c>
      <c r="D433" s="78">
        <f>Pressure!I433</f>
        <v>8.1256230789298584E-5</v>
      </c>
      <c r="E433" s="40">
        <f>Pressure!H433</f>
        <v>81.256230789298584</v>
      </c>
      <c r="F433" s="10">
        <f t="shared" si="50"/>
        <v>4.5</v>
      </c>
      <c r="G433" s="4">
        <f t="shared" si="49"/>
        <v>216007.61521147055</v>
      </c>
      <c r="H433" s="42">
        <f t="shared" si="51"/>
        <v>8.0692268133949074</v>
      </c>
      <c r="I433" s="10">
        <f t="shared" si="52"/>
        <v>1.1963847327889203</v>
      </c>
      <c r="J433" s="4">
        <f t="shared" si="53"/>
        <v>495.51543003230154</v>
      </c>
      <c r="K433" s="4">
        <f t="shared" si="54"/>
        <v>111.39684142626265</v>
      </c>
      <c r="L433" s="42">
        <f>Pressure!Q433</f>
        <v>0.19734895477962952</v>
      </c>
      <c r="M433" s="10">
        <f t="shared" si="56"/>
        <v>0.23701811013236229</v>
      </c>
      <c r="N433" s="10">
        <f t="shared" si="55"/>
        <v>2.5992897854448858</v>
      </c>
    </row>
    <row r="434" spans="3:14">
      <c r="C434" s="4">
        <f>Pressure!AB434*1000000</f>
        <v>5097236.1004191507</v>
      </c>
      <c r="D434" s="78">
        <f>Pressure!I434</f>
        <v>8.1256230789298584E-5</v>
      </c>
      <c r="E434" s="40">
        <f>Pressure!H434</f>
        <v>81.256230789298584</v>
      </c>
      <c r="F434" s="10">
        <f t="shared" si="50"/>
        <v>4.5</v>
      </c>
      <c r="G434" s="4">
        <f t="shared" si="49"/>
        <v>216010.1532641598</v>
      </c>
      <c r="H434" s="42">
        <f t="shared" si="51"/>
        <v>8.0693009760367804</v>
      </c>
      <c r="I434" s="10">
        <f t="shared" si="52"/>
        <v>1.1963857804738787</v>
      </c>
      <c r="J434" s="4">
        <f t="shared" si="53"/>
        <v>495.52168618666406</v>
      </c>
      <c r="K434" s="4">
        <f t="shared" si="54"/>
        <v>111.39824787254712</v>
      </c>
      <c r="L434" s="42">
        <f>Pressure!Q434</f>
        <v>0.19782728245497119</v>
      </c>
      <c r="M434" s="10">
        <f t="shared" si="56"/>
        <v>0.23702023998916616</v>
      </c>
      <c r="N434" s="10">
        <f t="shared" si="55"/>
        <v>2.5992897854448858</v>
      </c>
    </row>
    <row r="435" spans="3:14">
      <c r="C435" s="4">
        <f>Pressure!AB435*1000000</f>
        <v>5097293.4533275021</v>
      </c>
      <c r="D435" s="78">
        <f>Pressure!I435</f>
        <v>8.1256230789298584E-5</v>
      </c>
      <c r="E435" s="40">
        <f>Pressure!H435</f>
        <v>81.256230789298584</v>
      </c>
      <c r="F435" s="10">
        <f t="shared" si="50"/>
        <v>4.5</v>
      </c>
      <c r="G435" s="4">
        <f t="shared" si="49"/>
        <v>216012.58375987929</v>
      </c>
      <c r="H435" s="42">
        <f t="shared" si="51"/>
        <v>8.0693719956880088</v>
      </c>
      <c r="I435" s="10">
        <f t="shared" si="52"/>
        <v>1.196386783737226</v>
      </c>
      <c r="J435" s="4">
        <f t="shared" si="53"/>
        <v>495.52767721926256</v>
      </c>
      <c r="K435" s="4">
        <f t="shared" si="54"/>
        <v>111.39959471679838</v>
      </c>
      <c r="L435" s="42">
        <f>Pressure!Q435</f>
        <v>0.19830560833746103</v>
      </c>
      <c r="M435" s="10">
        <f t="shared" si="56"/>
        <v>0.23702228067106348</v>
      </c>
      <c r="N435" s="10">
        <f t="shared" si="55"/>
        <v>2.5992897854448858</v>
      </c>
    </row>
    <row r="436" spans="3:14">
      <c r="C436" s="4">
        <f>Pressure!AB436*1000000</f>
        <v>5097348.2681531571</v>
      </c>
      <c r="D436" s="78">
        <f>Pressure!I436</f>
        <v>8.1256230789298584E-5</v>
      </c>
      <c r="E436" s="40">
        <f>Pressure!H436</f>
        <v>81.256230789298584</v>
      </c>
      <c r="F436" s="10">
        <f t="shared" si="50"/>
        <v>4.5</v>
      </c>
      <c r="G436" s="4">
        <f t="shared" si="49"/>
        <v>216014.90669698824</v>
      </c>
      <c r="H436" s="42">
        <f t="shared" si="51"/>
        <v>8.0694398723194283</v>
      </c>
      <c r="I436" s="10">
        <f t="shared" si="52"/>
        <v>1.1963877425812828</v>
      </c>
      <c r="J436" s="4">
        <f t="shared" si="53"/>
        <v>495.53340312605303</v>
      </c>
      <c r="K436" s="4">
        <f t="shared" si="54"/>
        <v>111.40088195810733</v>
      </c>
      <c r="L436" s="42">
        <f>Pressure!Q436</f>
        <v>0.19878393250310211</v>
      </c>
      <c r="M436" s="10">
        <f t="shared" si="56"/>
        <v>0.23702423217776336</v>
      </c>
      <c r="N436" s="10">
        <f t="shared" si="55"/>
        <v>2.5992897854448858</v>
      </c>
    </row>
    <row r="437" spans="3:14">
      <c r="C437" s="4">
        <f>Pressure!AB437*1000000</f>
        <v>5097400.5448587136</v>
      </c>
      <c r="D437" s="78">
        <f>Pressure!I437</f>
        <v>8.1256230789298584E-5</v>
      </c>
      <c r="E437" s="40">
        <f>Pressure!H437</f>
        <v>81.256230789298584</v>
      </c>
      <c r="F437" s="10">
        <f t="shared" si="50"/>
        <v>4.5</v>
      </c>
      <c r="G437" s="4">
        <f t="shared" si="49"/>
        <v>216017.12207390173</v>
      </c>
      <c r="H437" s="42">
        <f t="shared" si="51"/>
        <v>8.0695046059026723</v>
      </c>
      <c r="I437" s="10">
        <f t="shared" si="52"/>
        <v>1.1963886570082605</v>
      </c>
      <c r="J437" s="4">
        <f t="shared" si="53"/>
        <v>495.5388639031284</v>
      </c>
      <c r="K437" s="4">
        <f t="shared" si="54"/>
        <v>111.40210959559562</v>
      </c>
      <c r="L437" s="42">
        <f>Pressure!Q437</f>
        <v>0.1992622550278953</v>
      </c>
      <c r="M437" s="10">
        <f t="shared" si="56"/>
        <v>0.23702609450895154</v>
      </c>
      <c r="N437" s="10">
        <f t="shared" si="55"/>
        <v>2.5992897854448858</v>
      </c>
    </row>
    <row r="438" spans="3:14">
      <c r="C438" s="4">
        <f>Pressure!AB438*1000000</f>
        <v>5097450.2834074982</v>
      </c>
      <c r="D438" s="78">
        <f>Pressure!I438</f>
        <v>8.1256230789298584E-5</v>
      </c>
      <c r="E438" s="40">
        <f>Pressure!H438</f>
        <v>81.256230789298584</v>
      </c>
      <c r="F438" s="10">
        <f t="shared" si="50"/>
        <v>4.5</v>
      </c>
      <c r="G438" s="4">
        <f t="shared" si="49"/>
        <v>216019.22988906555</v>
      </c>
      <c r="H438" s="42">
        <f t="shared" si="51"/>
        <v>8.0695661964094292</v>
      </c>
      <c r="I438" s="10">
        <f t="shared" si="52"/>
        <v>1.19638952702025</v>
      </c>
      <c r="J438" s="4">
        <f t="shared" si="53"/>
        <v>495.54405954665793</v>
      </c>
      <c r="K438" s="4">
        <f t="shared" si="54"/>
        <v>111.40327762840204</v>
      </c>
      <c r="L438" s="42">
        <f>Pressure!Q438</f>
        <v>0.19974057598783931</v>
      </c>
      <c r="M438" s="10">
        <f t="shared" si="56"/>
        <v>0.2370278676643125</v>
      </c>
      <c r="N438" s="10">
        <f t="shared" si="55"/>
        <v>2.5992897854448858</v>
      </c>
    </row>
    <row r="439" spans="3:14">
      <c r="C439" s="4">
        <f>Pressure!AB439*1000000</f>
        <v>5097497.4837641325</v>
      </c>
      <c r="D439" s="78">
        <f>Pressure!I439</f>
        <v>8.1256230789298584E-5</v>
      </c>
      <c r="E439" s="40">
        <f>Pressure!H439</f>
        <v>81.256230789298584</v>
      </c>
      <c r="F439" s="10">
        <f t="shared" si="50"/>
        <v>4.5</v>
      </c>
      <c r="G439" s="4">
        <f t="shared" si="49"/>
        <v>216021.23014098048</v>
      </c>
      <c r="H439" s="42">
        <f t="shared" si="51"/>
        <v>8.0696246438121833</v>
      </c>
      <c r="I439" s="10">
        <f t="shared" si="52"/>
        <v>1.1963903526192321</v>
      </c>
      <c r="J439" s="4">
        <f t="shared" si="53"/>
        <v>495.54899005294584</v>
      </c>
      <c r="K439" s="4">
        <f t="shared" si="54"/>
        <v>111.40438605569575</v>
      </c>
      <c r="L439" s="42">
        <f>Pressure!Q439</f>
        <v>0.20021889545893093</v>
      </c>
      <c r="M439" s="10">
        <f t="shared" si="56"/>
        <v>0.2370295516435291</v>
      </c>
      <c r="N439" s="10">
        <f t="shared" si="55"/>
        <v>2.5992897854448858</v>
      </c>
    </row>
    <row r="440" spans="3:14">
      <c r="C440" s="4">
        <f>Pressure!AB440*1000000</f>
        <v>5097542.1458941791</v>
      </c>
      <c r="D440" s="78">
        <f>Pressure!I440</f>
        <v>8.1256230789298584E-5</v>
      </c>
      <c r="E440" s="40">
        <f>Pressure!H440</f>
        <v>81.256230789298584</v>
      </c>
      <c r="F440" s="10">
        <f t="shared" si="50"/>
        <v>4.5</v>
      </c>
      <c r="G440" s="4">
        <f t="shared" si="49"/>
        <v>216023.12282818713</v>
      </c>
      <c r="H440" s="42">
        <f t="shared" si="51"/>
        <v>8.0696799480837331</v>
      </c>
      <c r="I440" s="10">
        <f t="shared" si="52"/>
        <v>1.1963911338070716</v>
      </c>
      <c r="J440" s="4">
        <f t="shared" si="53"/>
        <v>495.55365541839495</v>
      </c>
      <c r="K440" s="4">
        <f t="shared" si="54"/>
        <v>111.40543487666808</v>
      </c>
      <c r="L440" s="42">
        <f>Pressure!Q440</f>
        <v>0.20069721351716502</v>
      </c>
      <c r="M440" s="10">
        <f t="shared" si="56"/>
        <v>0.2370311464462605</v>
      </c>
      <c r="N440" s="10">
        <f t="shared" si="55"/>
        <v>2.5992897854448858</v>
      </c>
    </row>
    <row r="441" spans="3:14">
      <c r="C441" s="4">
        <f>Pressure!AB441*1000000</f>
        <v>5097584.269764564</v>
      </c>
      <c r="D441" s="78">
        <f>Pressure!I441</f>
        <v>8.1256230789298584E-5</v>
      </c>
      <c r="E441" s="40">
        <f>Pressure!H441</f>
        <v>81.256230789298584</v>
      </c>
      <c r="F441" s="10">
        <f t="shared" si="50"/>
        <v>4.5</v>
      </c>
      <c r="G441" s="4">
        <f t="shared" si="49"/>
        <v>216024.90794928386</v>
      </c>
      <c r="H441" s="42">
        <f t="shared" si="51"/>
        <v>8.0697321091977479</v>
      </c>
      <c r="I441" s="10">
        <f t="shared" si="52"/>
        <v>1.1963918705855241</v>
      </c>
      <c r="J441" s="4">
        <f t="shared" si="53"/>
        <v>495.55805563955039</v>
      </c>
      <c r="K441" s="4">
        <f t="shared" si="54"/>
        <v>111.40642409054233</v>
      </c>
      <c r="L441" s="42">
        <f>Pressure!Q441</f>
        <v>0.20117553023853468</v>
      </c>
      <c r="M441" s="10">
        <f t="shared" si="56"/>
        <v>0.23703265207215748</v>
      </c>
      <c r="N441" s="10">
        <f t="shared" si="55"/>
        <v>2.5992897854448858</v>
      </c>
    </row>
    <row r="442" spans="3:14">
      <c r="C442" s="4">
        <f>Pressure!AB442*1000000</f>
        <v>5097623.85534281</v>
      </c>
      <c r="D442" s="78">
        <f>Pressure!I442</f>
        <v>8.1256230789298584E-5</v>
      </c>
      <c r="E442" s="40">
        <f>Pressure!H442</f>
        <v>81.256230789298584</v>
      </c>
      <c r="F442" s="10">
        <f t="shared" si="50"/>
        <v>4.5</v>
      </c>
      <c r="G442" s="4">
        <f t="shared" si="49"/>
        <v>216026.58550289439</v>
      </c>
      <c r="H442" s="42">
        <f t="shared" si="51"/>
        <v>8.0697811271278006</v>
      </c>
      <c r="I442" s="10">
        <f t="shared" si="52"/>
        <v>1.1963925629562231</v>
      </c>
      <c r="J442" s="4">
        <f t="shared" si="53"/>
        <v>495.5621907130195</v>
      </c>
      <c r="K442" s="4">
        <f t="shared" si="54"/>
        <v>111.4073536965558</v>
      </c>
      <c r="L442" s="42">
        <f>Pressure!Q442</f>
        <v>0.20165384569903141</v>
      </c>
      <c r="M442" s="10">
        <f t="shared" si="56"/>
        <v>0.23703406852088149</v>
      </c>
      <c r="N442" s="10">
        <f t="shared" si="55"/>
        <v>2.5992897854448858</v>
      </c>
    </row>
    <row r="443" spans="3:14">
      <c r="C443" s="4">
        <f>Pressure!AB443*1000000</f>
        <v>5097660.9025979042</v>
      </c>
      <c r="D443" s="78">
        <f>Pressure!I443</f>
        <v>8.1256230789298584E-5</v>
      </c>
      <c r="E443" s="40">
        <f>Pressure!H443</f>
        <v>81.256230789298584</v>
      </c>
      <c r="F443" s="10">
        <f t="shared" si="50"/>
        <v>4.5</v>
      </c>
      <c r="G443" s="4">
        <f t="shared" si="49"/>
        <v>216028.15548770444</v>
      </c>
      <c r="H443" s="42">
        <f t="shared" si="51"/>
        <v>8.0698270018484362</v>
      </c>
      <c r="I443" s="10">
        <f t="shared" si="52"/>
        <v>1.1963932109206952</v>
      </c>
      <c r="J443" s="4">
        <f t="shared" si="53"/>
        <v>495.56606063556291</v>
      </c>
      <c r="K443" s="4">
        <f t="shared" si="54"/>
        <v>111.40822369398025</v>
      </c>
      <c r="L443" s="42">
        <f>Pressure!Q443</f>
        <v>0.20213215997464518</v>
      </c>
      <c r="M443" s="10">
        <f t="shared" si="56"/>
        <v>0.23703539579206565</v>
      </c>
      <c r="N443" s="10">
        <f t="shared" si="55"/>
        <v>2.5992897854448858</v>
      </c>
    </row>
    <row r="444" spans="3:14">
      <c r="C444" s="4">
        <f>Pressure!AB444*1000000</f>
        <v>5097695.4114994844</v>
      </c>
      <c r="D444" s="78">
        <f>Pressure!I444</f>
        <v>8.1256230789298584E-5</v>
      </c>
      <c r="E444" s="40">
        <f>Pressure!H444</f>
        <v>81.256230789298584</v>
      </c>
      <c r="F444" s="10">
        <f t="shared" si="50"/>
        <v>4.5</v>
      </c>
      <c r="G444" s="4">
        <f t="shared" si="49"/>
        <v>216029.61790242733</v>
      </c>
      <c r="H444" s="42">
        <f t="shared" si="51"/>
        <v>8.0698697333342029</v>
      </c>
      <c r="I444" s="10">
        <f t="shared" si="52"/>
        <v>1.1963938144803452</v>
      </c>
      <c r="J444" s="4">
        <f t="shared" si="53"/>
        <v>495.56966540400884</v>
      </c>
      <c r="K444" s="4">
        <f t="shared" si="54"/>
        <v>111.40903408210262</v>
      </c>
      <c r="L444" s="42">
        <f>Pressure!Q444</f>
        <v>0.20261047314136452</v>
      </c>
      <c r="M444" s="10">
        <f t="shared" si="56"/>
        <v>0.23703663388533028</v>
      </c>
      <c r="N444" s="10">
        <f t="shared" si="55"/>
        <v>2.5992897854448858</v>
      </c>
    </row>
    <row r="445" spans="3:14">
      <c r="C445" s="4">
        <f>Pressure!AB445*1000000</f>
        <v>5097727.3820186853</v>
      </c>
      <c r="D445" s="78">
        <f>Pressure!I445</f>
        <v>8.1256230789298584E-5</v>
      </c>
      <c r="E445" s="40">
        <f>Pressure!H445</f>
        <v>81.256230789298584</v>
      </c>
      <c r="F445" s="10">
        <f t="shared" si="50"/>
        <v>4.5</v>
      </c>
      <c r="G445" s="4">
        <f t="shared" si="49"/>
        <v>216030.97274583983</v>
      </c>
      <c r="H445" s="42">
        <f t="shared" si="51"/>
        <v>8.069909321560635</v>
      </c>
      <c r="I445" s="10">
        <f t="shared" si="52"/>
        <v>1.1963943736364717</v>
      </c>
      <c r="J445" s="4">
        <f t="shared" si="53"/>
        <v>495.57300501534212</v>
      </c>
      <c r="K445" s="4">
        <f t="shared" si="54"/>
        <v>111.40978486024507</v>
      </c>
      <c r="L445" s="42">
        <f>Pressure!Q445</f>
        <v>0.20308878527517674</v>
      </c>
      <c r="M445" s="10">
        <f t="shared" si="56"/>
        <v>0.23703778280031074</v>
      </c>
      <c r="N445" s="10">
        <f t="shared" si="55"/>
        <v>2.5992897854448858</v>
      </c>
    </row>
    <row r="446" spans="3:14">
      <c r="C446" s="4">
        <f>Pressure!AB446*1000000</f>
        <v>5097756.8141274704</v>
      </c>
      <c r="D446" s="78">
        <f>Pressure!I446</f>
        <v>8.1256230789298584E-5</v>
      </c>
      <c r="E446" s="40">
        <f>Pressure!H446</f>
        <v>81.256230789298584</v>
      </c>
      <c r="F446" s="10">
        <f t="shared" si="50"/>
        <v>4.5</v>
      </c>
      <c r="G446" s="4">
        <f t="shared" si="49"/>
        <v>216032.22001675377</v>
      </c>
      <c r="H446" s="42">
        <f t="shared" si="51"/>
        <v>8.0699457665034924</v>
      </c>
      <c r="I446" s="10">
        <f t="shared" si="52"/>
        <v>1.1963948883902551</v>
      </c>
      <c r="J446" s="4">
        <f t="shared" si="53"/>
        <v>495.57607946663398</v>
      </c>
      <c r="K446" s="4">
        <f t="shared" si="54"/>
        <v>111.4104760277492</v>
      </c>
      <c r="L446" s="42">
        <f>Pressure!Q446</f>
        <v>0.20356709645206794</v>
      </c>
      <c r="M446" s="10">
        <f t="shared" si="56"/>
        <v>0.23703884253660729</v>
      </c>
      <c r="N446" s="10">
        <f t="shared" si="55"/>
        <v>2.5992897854448858</v>
      </c>
    </row>
    <row r="447" spans="3:14">
      <c r="C447" s="4">
        <f>Pressure!AB447*1000000</f>
        <v>5097783.7077988097</v>
      </c>
      <c r="D447" s="78">
        <f>Pressure!I447</f>
        <v>8.1256230789298584E-5</v>
      </c>
      <c r="E447" s="40">
        <f>Pressure!H447</f>
        <v>81.256230789298584</v>
      </c>
      <c r="F447" s="10">
        <f t="shared" si="50"/>
        <v>4.5</v>
      </c>
      <c r="G447" s="4">
        <f t="shared" si="49"/>
        <v>216033.35971402368</v>
      </c>
      <c r="H447" s="42">
        <f t="shared" si="51"/>
        <v>8.0699790681389381</v>
      </c>
      <c r="I447" s="10">
        <f t="shared" si="52"/>
        <v>1.1963953587427607</v>
      </c>
      <c r="J447" s="4">
        <f t="shared" si="53"/>
        <v>495.57888875506097</v>
      </c>
      <c r="K447" s="4">
        <f t="shared" si="54"/>
        <v>111.41110758398025</v>
      </c>
      <c r="L447" s="42">
        <f>Pressure!Q447</f>
        <v>0.20404540674802321</v>
      </c>
      <c r="M447" s="10">
        <f t="shared" si="56"/>
        <v>0.23703981309382752</v>
      </c>
      <c r="N447" s="10">
        <f t="shared" si="55"/>
        <v>2.5992897854448858</v>
      </c>
    </row>
    <row r="448" spans="3:14">
      <c r="C448" s="4">
        <f>Pressure!AB448*1000000</f>
        <v>5097808.0630068649</v>
      </c>
      <c r="D448" s="78">
        <f>Pressure!I448</f>
        <v>8.1256230789298584E-5</v>
      </c>
      <c r="E448" s="40">
        <f>Pressure!H448</f>
        <v>81.256230789298584</v>
      </c>
      <c r="F448" s="10">
        <f t="shared" si="50"/>
        <v>4.5</v>
      </c>
      <c r="G448" s="4">
        <f t="shared" si="49"/>
        <v>216034.39183655463</v>
      </c>
      <c r="H448" s="42">
        <f t="shared" si="51"/>
        <v>8.0700092264437675</v>
      </c>
      <c r="I448" s="10">
        <f t="shared" si="52"/>
        <v>1.196395784694942</v>
      </c>
      <c r="J448" s="4">
        <f t="shared" si="53"/>
        <v>495.5814328779241</v>
      </c>
      <c r="K448" s="4">
        <f t="shared" si="54"/>
        <v>111.41167952833149</v>
      </c>
      <c r="L448" s="42">
        <f>Pressure!Q448</f>
        <v>0.20452371623902668</v>
      </c>
      <c r="M448" s="10">
        <f t="shared" si="56"/>
        <v>0.23704069447155446</v>
      </c>
      <c r="N448" s="10">
        <f t="shared" si="55"/>
        <v>2.5992897854448858</v>
      </c>
    </row>
    <row r="449" spans="3:14">
      <c r="C449" s="4">
        <f>Pressure!AB449*1000000</f>
        <v>5097829.8797268784</v>
      </c>
      <c r="D449" s="78">
        <f>Pressure!I449</f>
        <v>8.1256230789298584E-5</v>
      </c>
      <c r="E449" s="40">
        <f>Pressure!H449</f>
        <v>81.256230789298584</v>
      </c>
      <c r="F449" s="10">
        <f t="shared" si="50"/>
        <v>4.5</v>
      </c>
      <c r="G449" s="4">
        <f t="shared" si="49"/>
        <v>216035.31638329741</v>
      </c>
      <c r="H449" s="42">
        <f t="shared" si="51"/>
        <v>8.0700362413953091</v>
      </c>
      <c r="I449" s="10">
        <f t="shared" si="52"/>
        <v>1.1963961662476388</v>
      </c>
      <c r="J449" s="4">
        <f t="shared" si="53"/>
        <v>495.58371183263716</v>
      </c>
      <c r="K449" s="4">
        <f t="shared" si="54"/>
        <v>111.41219186022148</v>
      </c>
      <c r="L449" s="42">
        <f>Pressure!Q449</f>
        <v>0.20500202500106166</v>
      </c>
      <c r="M449" s="10">
        <f t="shared" si="56"/>
        <v>0.23704148666936195</v>
      </c>
      <c r="N449" s="10">
        <f t="shared" si="55"/>
        <v>2.5992897854448858</v>
      </c>
    </row>
    <row r="450" spans="3:14">
      <c r="C450" s="4">
        <f>Pressure!AB450*1000000</f>
        <v>5097849.1579350466</v>
      </c>
      <c r="D450" s="78">
        <f>Pressure!I450</f>
        <v>8.1256230789298584E-5</v>
      </c>
      <c r="E450" s="40">
        <f>Pressure!H450</f>
        <v>81.256230789298584</v>
      </c>
      <c r="F450" s="10">
        <f t="shared" si="50"/>
        <v>4.5</v>
      </c>
      <c r="G450" s="4">
        <f t="shared" si="49"/>
        <v>216036.13335324329</v>
      </c>
      <c r="H450" s="42">
        <f t="shared" si="51"/>
        <v>8.0700601129712286</v>
      </c>
      <c r="I450" s="10">
        <f t="shared" si="52"/>
        <v>1.1963965034015744</v>
      </c>
      <c r="J450" s="4">
        <f t="shared" si="53"/>
        <v>495.5857256167136</v>
      </c>
      <c r="K450" s="4">
        <f t="shared" si="54"/>
        <v>111.41264457909124</v>
      </c>
      <c r="L450" s="42">
        <f>Pressure!Q450</f>
        <v>0.20548033311011077</v>
      </c>
      <c r="M450" s="10">
        <f t="shared" si="56"/>
        <v>0.23704218968683638</v>
      </c>
      <c r="N450" s="10">
        <f t="shared" si="55"/>
        <v>2.5992897854448858</v>
      </c>
    </row>
    <row r="451" spans="3:14">
      <c r="C451" s="4">
        <f>Pressure!AB451*1000000</f>
        <v>5097865.8976086443</v>
      </c>
      <c r="D451" s="78">
        <f>Pressure!I451</f>
        <v>8.1256230789298584E-5</v>
      </c>
      <c r="E451" s="40">
        <f>Pressure!H451</f>
        <v>81.256230789298584</v>
      </c>
      <c r="F451" s="10">
        <f t="shared" si="50"/>
        <v>4.5</v>
      </c>
      <c r="G451" s="4">
        <f t="shared" si="49"/>
        <v>216036.84274542923</v>
      </c>
      <c r="H451" s="42">
        <f t="shared" si="51"/>
        <v>8.0700808411496876</v>
      </c>
      <c r="I451" s="10">
        <f t="shared" si="52"/>
        <v>1.1963967961573592</v>
      </c>
      <c r="J451" s="4">
        <f t="shared" si="53"/>
        <v>495.58747422777964</v>
      </c>
      <c r="K451" s="4">
        <f t="shared" si="54"/>
        <v>111.4130376844071</v>
      </c>
      <c r="L451" s="42">
        <f>Pressure!Q451</f>
        <v>0.2059586406421561</v>
      </c>
      <c r="M451" s="10">
        <f t="shared" si="56"/>
        <v>0.23704280352354887</v>
      </c>
      <c r="N451" s="10">
        <f t="shared" si="55"/>
        <v>2.5992897854448858</v>
      </c>
    </row>
    <row r="452" spans="3:14">
      <c r="C452" s="4">
        <f>Pressure!AB452*1000000</f>
        <v>5097880.098726023</v>
      </c>
      <c r="D452" s="78">
        <f>Pressure!I452</f>
        <v>8.1256230789298584E-5</v>
      </c>
      <c r="E452" s="40">
        <f>Pressure!H452</f>
        <v>81.256230789298584</v>
      </c>
      <c r="F452" s="10">
        <f t="shared" si="50"/>
        <v>4.5</v>
      </c>
      <c r="G452" s="4">
        <f t="shared" si="49"/>
        <v>216037.44455893777</v>
      </c>
      <c r="H452" s="42">
        <f t="shared" si="51"/>
        <v>8.0700984259093627</v>
      </c>
      <c r="I452" s="10">
        <f t="shared" si="52"/>
        <v>1.196397044515489</v>
      </c>
      <c r="J452" s="4">
        <f t="shared" si="53"/>
        <v>495.58895766357386</v>
      </c>
      <c r="K452" s="4">
        <f t="shared" si="54"/>
        <v>111.41337117566069</v>
      </c>
      <c r="L452" s="42">
        <f>Pressure!Q452</f>
        <v>0.20643694767317924</v>
      </c>
      <c r="M452" s="10">
        <f t="shared" si="56"/>
        <v>0.23704332817903126</v>
      </c>
      <c r="N452" s="10">
        <f t="shared" si="55"/>
        <v>2.5992897854448858</v>
      </c>
    </row>
    <row r="453" spans="3:14">
      <c r="C453" s="4">
        <f>Pressure!AB453*1000000</f>
        <v>5097891.7612667261</v>
      </c>
      <c r="D453" s="78">
        <f>Pressure!I453</f>
        <v>8.1256230789298584E-5</v>
      </c>
      <c r="E453" s="40">
        <f>Pressure!H453</f>
        <v>81.256230789298584</v>
      </c>
      <c r="F453" s="10">
        <f t="shared" si="50"/>
        <v>4.5</v>
      </c>
      <c r="G453" s="4">
        <f t="shared" si="49"/>
        <v>216037.93879290204</v>
      </c>
      <c r="H453" s="42">
        <f t="shared" si="51"/>
        <v>8.0701128672295805</v>
      </c>
      <c r="I453" s="10">
        <f t="shared" si="52"/>
        <v>1.1963972484763485</v>
      </c>
      <c r="J453" s="4">
        <f t="shared" si="53"/>
        <v>495.59017592195943</v>
      </c>
      <c r="K453" s="4">
        <f t="shared" si="54"/>
        <v>111.41364505237162</v>
      </c>
      <c r="L453" s="42">
        <f>Pressure!Q453</f>
        <v>0.20691525427916144</v>
      </c>
      <c r="M453" s="10">
        <f t="shared" si="56"/>
        <v>0.23704376365283342</v>
      </c>
      <c r="N453" s="10">
        <f t="shared" si="55"/>
        <v>2.5992897854448858</v>
      </c>
    </row>
    <row r="454" spans="3:14">
      <c r="C454" s="4">
        <f>Pressure!AB454*1000000</f>
        <v>5097900.8852110403</v>
      </c>
      <c r="D454" s="78">
        <f>Pressure!I454</f>
        <v>8.1256230789298584E-5</v>
      </c>
      <c r="E454" s="40">
        <f>Pressure!H454</f>
        <v>81.256230789298584</v>
      </c>
      <c r="F454" s="10">
        <f t="shared" si="50"/>
        <v>4.5</v>
      </c>
      <c r="G454" s="4">
        <f t="shared" si="49"/>
        <v>216038.32544648662</v>
      </c>
      <c r="H454" s="42">
        <f t="shared" si="51"/>
        <v>8.0701241650897284</v>
      </c>
      <c r="I454" s="10">
        <f t="shared" si="52"/>
        <v>1.1963974080402018</v>
      </c>
      <c r="J454" s="4">
        <f t="shared" si="53"/>
        <v>495.591129000877</v>
      </c>
      <c r="K454" s="4">
        <f t="shared" si="54"/>
        <v>111.41385931407693</v>
      </c>
      <c r="L454" s="42">
        <f>Pressure!Q454</f>
        <v>0.20739356053608374</v>
      </c>
      <c r="M454" s="10">
        <f t="shared" si="56"/>
        <v>0.23704410994450173</v>
      </c>
      <c r="N454" s="10">
        <f t="shared" si="55"/>
        <v>2.5992897854448858</v>
      </c>
    </row>
    <row r="455" spans="3:14">
      <c r="C455" s="4">
        <f>Pressure!AB455*1000000</f>
        <v>5097907.4705408225</v>
      </c>
      <c r="D455" s="78">
        <f>Pressure!I455</f>
        <v>8.1256230789298584E-5</v>
      </c>
      <c r="E455" s="40">
        <f>Pressure!H455</f>
        <v>81.256230789298584</v>
      </c>
      <c r="F455" s="10">
        <f t="shared" si="50"/>
        <v>4.5</v>
      </c>
      <c r="G455" s="4">
        <f t="shared" si="49"/>
        <v>216038.60451892263</v>
      </c>
      <c r="H455" s="42">
        <f t="shared" si="51"/>
        <v>8.070132319470348</v>
      </c>
      <c r="I455" s="10">
        <f t="shared" si="52"/>
        <v>1.1963975232072086</v>
      </c>
      <c r="J455" s="4">
        <f t="shared" si="53"/>
        <v>495.59181689843143</v>
      </c>
      <c r="K455" s="4">
        <f t="shared" si="54"/>
        <v>111.41401396035057</v>
      </c>
      <c r="L455" s="42">
        <f>Pressure!Q455</f>
        <v>0.20787186651992706</v>
      </c>
      <c r="M455" s="10">
        <f t="shared" si="56"/>
        <v>0.23704436705354673</v>
      </c>
      <c r="N455" s="10">
        <f t="shared" si="55"/>
        <v>2.5992897854448858</v>
      </c>
    </row>
    <row r="456" spans="3:14">
      <c r="C456" s="4">
        <f>Pressure!AB456*1000000</f>
        <v>5097911.5172383916</v>
      </c>
      <c r="D456" s="78">
        <f>Pressure!I456</f>
        <v>8.1256230789298584E-5</v>
      </c>
      <c r="E456" s="40">
        <f>Pressure!H456</f>
        <v>81.256230789298584</v>
      </c>
      <c r="F456" s="10">
        <f t="shared" si="50"/>
        <v>4.5</v>
      </c>
      <c r="G456" s="4">
        <f t="shared" si="49"/>
        <v>216038.77600946082</v>
      </c>
      <c r="H456" s="42">
        <f t="shared" si="51"/>
        <v>8.0701373303516899</v>
      </c>
      <c r="I456" s="10">
        <f t="shared" si="52"/>
        <v>1.1963975939774041</v>
      </c>
      <c r="J456" s="4">
        <f t="shared" si="53"/>
        <v>495.59223961277593</v>
      </c>
      <c r="K456" s="4">
        <f t="shared" si="54"/>
        <v>111.41410899077738</v>
      </c>
      <c r="L456" s="42">
        <f>Pressure!Q456</f>
        <v>0.20835017230667235</v>
      </c>
      <c r="M456" s="10">
        <f t="shared" si="56"/>
        <v>0.2370445349794916</v>
      </c>
      <c r="N456" s="10">
        <f t="shared" si="55"/>
        <v>2.5992897854448858</v>
      </c>
    </row>
    <row r="457" spans="3:14">
      <c r="C457" s="4">
        <f>Pressure!AB457*1000000</f>
        <v>5097913.0252874661</v>
      </c>
      <c r="D457" s="78">
        <f>Pressure!I457</f>
        <v>8.1256230789298584E-5</v>
      </c>
      <c r="E457" s="40">
        <f>Pressure!H457</f>
        <v>81.256230789298584</v>
      </c>
      <c r="F457" s="10">
        <f t="shared" si="50"/>
        <v>4.5</v>
      </c>
      <c r="G457" s="4">
        <f t="shared" si="49"/>
        <v>216038.83991741118</v>
      </c>
      <c r="H457" s="42">
        <f t="shared" si="51"/>
        <v>8.0701391977149175</v>
      </c>
      <c r="I457" s="10">
        <f t="shared" si="52"/>
        <v>1.1963976203507145</v>
      </c>
      <c r="J457" s="4">
        <f t="shared" si="53"/>
        <v>495.59239714220945</v>
      </c>
      <c r="K457" s="4">
        <f t="shared" si="54"/>
        <v>111.41414440497492</v>
      </c>
      <c r="L457" s="42">
        <f>Pressure!Q457</f>
        <v>0.20882847797230072</v>
      </c>
      <c r="M457" s="10">
        <f t="shared" si="56"/>
        <v>0.23704461372185379</v>
      </c>
      <c r="N457" s="10">
        <f t="shared" si="55"/>
        <v>2.5992897854448858</v>
      </c>
    </row>
    <row r="458" spans="3:14">
      <c r="C458" s="4">
        <f>Pressure!AB458*1000000</f>
        <v>5097911.9946729476</v>
      </c>
      <c r="D458" s="78">
        <f>Pressure!I458</f>
        <v>8.1256230789298584E-5</v>
      </c>
      <c r="E458" s="40">
        <f>Pressure!H458</f>
        <v>81.256230789298584</v>
      </c>
      <c r="F458" s="10">
        <f t="shared" si="50"/>
        <v>4.5</v>
      </c>
      <c r="G458" s="4">
        <f t="shared" si="49"/>
        <v>216038.79624213389</v>
      </c>
      <c r="H458" s="42">
        <f t="shared" si="51"/>
        <v>8.0701379215418338</v>
      </c>
      <c r="I458" s="10">
        <f t="shared" si="52"/>
        <v>1.1963976023269547</v>
      </c>
      <c r="J458" s="4">
        <f t="shared" si="53"/>
        <v>495.59228948515494</v>
      </c>
      <c r="K458" s="4">
        <f t="shared" si="54"/>
        <v>111.41412020258868</v>
      </c>
      <c r="L458" s="42">
        <f>Pressure!Q458</f>
        <v>0.20930678359279348</v>
      </c>
      <c r="M458" s="10">
        <f t="shared" si="56"/>
        <v>0.2370446032801081</v>
      </c>
      <c r="N458" s="10">
        <f t="shared" si="55"/>
        <v>2.5992897854448858</v>
      </c>
    </row>
    <row r="459" spans="3:14">
      <c r="C459" s="4">
        <f>Pressure!AB459*1000000</f>
        <v>5097908.425380419</v>
      </c>
      <c r="D459" s="78">
        <f>Pressure!I459</f>
        <v>8.1256230789298584E-5</v>
      </c>
      <c r="E459" s="40">
        <f>Pressure!H459</f>
        <v>81.256230789298584</v>
      </c>
      <c r="F459" s="10">
        <f t="shared" si="50"/>
        <v>4.5</v>
      </c>
      <c r="G459" s="4">
        <f t="shared" si="49"/>
        <v>216038.64498301799</v>
      </c>
      <c r="H459" s="42">
        <f t="shared" si="51"/>
        <v>8.0701335018142455</v>
      </c>
      <c r="I459" s="10">
        <f t="shared" si="52"/>
        <v>1.1963975399058191</v>
      </c>
      <c r="J459" s="4">
        <f t="shared" si="53"/>
        <v>495.59191664010666</v>
      </c>
      <c r="K459" s="4">
        <f t="shared" si="54"/>
        <v>111.41403638328013</v>
      </c>
      <c r="L459" s="42">
        <f>Pressure!Q459</f>
        <v>0.20978508924413231</v>
      </c>
      <c r="M459" s="10">
        <f t="shared" si="56"/>
        <v>0.2370445036537514</v>
      </c>
      <c r="N459" s="10">
        <f t="shared" si="55"/>
        <v>2.5992897854448858</v>
      </c>
    </row>
    <row r="460" spans="3:14">
      <c r="C460" s="4">
        <f>Pressure!AB460*1000000</f>
        <v>5097902.3173969733</v>
      </c>
      <c r="D460" s="78">
        <f>Pressure!I460</f>
        <v>8.1256230789298584E-5</v>
      </c>
      <c r="E460" s="40">
        <f>Pressure!H460</f>
        <v>81.256230789298584</v>
      </c>
      <c r="F460" s="10">
        <f t="shared" si="50"/>
        <v>4.5</v>
      </c>
      <c r="G460" s="4">
        <f t="shared" si="49"/>
        <v>216038.38613951649</v>
      </c>
      <c r="H460" s="42">
        <f t="shared" si="51"/>
        <v>8.0701259385149982</v>
      </c>
      <c r="I460" s="10">
        <f t="shared" si="52"/>
        <v>1.1963974330868949</v>
      </c>
      <c r="J460" s="4">
        <f t="shared" si="53"/>
        <v>495.5912786057159</v>
      </c>
      <c r="K460" s="4">
        <f t="shared" si="54"/>
        <v>111.41389294674607</v>
      </c>
      <c r="L460" s="42">
        <f>Pressure!Q460</f>
        <v>0.2102633950022994</v>
      </c>
      <c r="M460" s="10">
        <f t="shared" si="56"/>
        <v>0.2370443148422694</v>
      </c>
      <c r="N460" s="10">
        <f t="shared" si="55"/>
        <v>2.5992897854448858</v>
      </c>
    </row>
    <row r="461" spans="3:14">
      <c r="C461" s="4">
        <f>Pressure!AB461*1000000</f>
        <v>5097893.6707102573</v>
      </c>
      <c r="D461" s="78">
        <f>Pressure!I461</f>
        <v>8.1256230789298584E-5</v>
      </c>
      <c r="E461" s="40">
        <f>Pressure!H461</f>
        <v>81.256230789298584</v>
      </c>
      <c r="F461" s="10">
        <f t="shared" si="50"/>
        <v>4.5</v>
      </c>
      <c r="G461" s="4">
        <f t="shared" si="49"/>
        <v>216038.01971110588</v>
      </c>
      <c r="H461" s="42">
        <f t="shared" si="51"/>
        <v>8.0701152316268097</v>
      </c>
      <c r="I461" s="10">
        <f t="shared" si="52"/>
        <v>1.1963972818696473</v>
      </c>
      <c r="J461" s="4">
        <f t="shared" si="53"/>
        <v>495.59037538069259</v>
      </c>
      <c r="K461" s="4">
        <f t="shared" si="54"/>
        <v>111.41368989269651</v>
      </c>
      <c r="L461" s="42">
        <f>Pressure!Q461</f>
        <v>0.21074170094327757</v>
      </c>
      <c r="M461" s="10">
        <f t="shared" si="56"/>
        <v>0.23704403684513337</v>
      </c>
      <c r="N461" s="10">
        <f t="shared" si="55"/>
        <v>2.5992897854448858</v>
      </c>
    </row>
    <row r="462" spans="3:14">
      <c r="C462" s="4">
        <f>Pressure!AB462*1000000</f>
        <v>5097882.4853093792</v>
      </c>
      <c r="D462" s="78">
        <f>Pressure!I462</f>
        <v>8.1256230789298584E-5</v>
      </c>
      <c r="E462" s="40">
        <f>Pressure!H462</f>
        <v>81.256230789298584</v>
      </c>
      <c r="F462" s="10">
        <f t="shared" si="50"/>
        <v>4.5</v>
      </c>
      <c r="G462" s="4">
        <f t="shared" si="49"/>
        <v>216037.54569732462</v>
      </c>
      <c r="H462" s="42">
        <f t="shared" si="51"/>
        <v>8.0701013811333482</v>
      </c>
      <c r="I462" s="10">
        <f t="shared" si="52"/>
        <v>1.1963970862534337</v>
      </c>
      <c r="J462" s="4">
        <f t="shared" si="53"/>
        <v>495.58920696389873</v>
      </c>
      <c r="K462" s="4">
        <f t="shared" si="54"/>
        <v>111.41342722087558</v>
      </c>
      <c r="L462" s="42">
        <f>Pressure!Q462</f>
        <v>0.21122000714305031</v>
      </c>
      <c r="M462" s="10">
        <f t="shared" si="56"/>
        <v>0.23704366966178547</v>
      </c>
      <c r="N462" s="10">
        <f t="shared" si="55"/>
        <v>2.5992897854448858</v>
      </c>
    </row>
    <row r="463" spans="3:14">
      <c r="C463" s="4">
        <f>Pressure!AB463*1000000</f>
        <v>5097868.761184399</v>
      </c>
      <c r="D463" s="78">
        <f>Pressure!I463</f>
        <v>8.1256230789298584E-5</v>
      </c>
      <c r="E463" s="40">
        <f>Pressure!H463</f>
        <v>81.256230789298584</v>
      </c>
      <c r="F463" s="10">
        <f t="shared" si="50"/>
        <v>4.5</v>
      </c>
      <c r="G463" s="4">
        <f t="shared" si="49"/>
        <v>216036.96409775142</v>
      </c>
      <c r="H463" s="42">
        <f t="shared" si="51"/>
        <v>8.0700843870186478</v>
      </c>
      <c r="I463" s="10">
        <f t="shared" si="52"/>
        <v>1.1963968462374961</v>
      </c>
      <c r="J463" s="4">
        <f t="shared" si="53"/>
        <v>495.58777335429636</v>
      </c>
      <c r="K463" s="4">
        <f t="shared" si="54"/>
        <v>111.41310493104994</v>
      </c>
      <c r="L463" s="42">
        <f>Pressure!Q463</f>
        <v>0.21169831367760197</v>
      </c>
      <c r="M463" s="10">
        <f t="shared" si="56"/>
        <v>0.23704321329168968</v>
      </c>
      <c r="N463" s="10">
        <f t="shared" si="55"/>
        <v>2.5992897854448858</v>
      </c>
    </row>
    <row r="464" spans="3:14">
      <c r="C464" s="4">
        <f>Pressure!AB464*1000000</f>
        <v>5097852.498326391</v>
      </c>
      <c r="D464" s="78">
        <f>Pressure!I464</f>
        <v>8.1256230789298584E-5</v>
      </c>
      <c r="E464" s="40">
        <f>Pressure!H464</f>
        <v>81.256230789298584</v>
      </c>
      <c r="F464" s="10">
        <f t="shared" si="50"/>
        <v>4.5</v>
      </c>
      <c r="G464" s="4">
        <f t="shared" si="49"/>
        <v>216036.27491200808</v>
      </c>
      <c r="H464" s="42">
        <f t="shared" si="51"/>
        <v>8.0700642492671708</v>
      </c>
      <c r="I464" s="10">
        <f t="shared" si="52"/>
        <v>1.1963965618209609</v>
      </c>
      <c r="J464" s="4">
        <f t="shared" si="53"/>
        <v>495.58607455095279</v>
      </c>
      <c r="K464" s="4">
        <f t="shared" si="54"/>
        <v>111.41272302300993</v>
      </c>
      <c r="L464" s="42">
        <f>Pressure!Q464</f>
        <v>0.21217662062291787</v>
      </c>
      <c r="M464" s="10">
        <f t="shared" si="56"/>
        <v>0.23704266773427954</v>
      </c>
      <c r="N464" s="10">
        <f t="shared" si="55"/>
        <v>2.5992897854448858</v>
      </c>
    </row>
    <row r="465" spans="3:14">
      <c r="C465" s="4">
        <f>Pressure!AB465*1000000</f>
        <v>5097833.6967275459</v>
      </c>
      <c r="D465" s="78">
        <f>Pressure!I465</f>
        <v>8.1256230789298584E-5</v>
      </c>
      <c r="E465" s="40">
        <f>Pressure!H465</f>
        <v>81.256230789298584</v>
      </c>
      <c r="F465" s="10">
        <f t="shared" si="50"/>
        <v>4.5</v>
      </c>
      <c r="G465" s="4">
        <f t="shared" si="49"/>
        <v>216035.47813976367</v>
      </c>
      <c r="H465" s="42">
        <f t="shared" si="51"/>
        <v>8.070040967863914</v>
      </c>
      <c r="I465" s="10">
        <f t="shared" si="52"/>
        <v>1.1963962330028417</v>
      </c>
      <c r="J465" s="4">
        <f t="shared" si="53"/>
        <v>495.58411055305231</v>
      </c>
      <c r="K465" s="4">
        <f t="shared" si="54"/>
        <v>111.41228149657216</v>
      </c>
      <c r="L465" s="42">
        <f>Pressure!Q465</f>
        <v>0.21265492805498434</v>
      </c>
      <c r="M465" s="10">
        <f t="shared" si="56"/>
        <v>0.23704203298897572</v>
      </c>
      <c r="N465" s="10">
        <f t="shared" si="55"/>
        <v>2.5992897854448858</v>
      </c>
    </row>
    <row r="466" spans="3:14">
      <c r="C466" s="4">
        <f>Pressure!AB466*1000000</f>
        <v>5097812.3563810531</v>
      </c>
      <c r="D466" s="78">
        <f>Pressure!I466</f>
        <v>8.1256230789298584E-5</v>
      </c>
      <c r="E466" s="40">
        <f>Pressure!H466</f>
        <v>81.256230789298584</v>
      </c>
      <c r="F466" s="10">
        <f t="shared" si="50"/>
        <v>4.5</v>
      </c>
      <c r="G466" s="4">
        <f t="shared" si="49"/>
        <v>216034.57378072952</v>
      </c>
      <c r="H466" s="42">
        <f t="shared" si="51"/>
        <v>8.0700145427942935</v>
      </c>
      <c r="I466" s="10">
        <f t="shared" si="52"/>
        <v>1.1963958597820372</v>
      </c>
      <c r="J466" s="4">
        <f t="shared" si="53"/>
        <v>495.5818813598836</v>
      </c>
      <c r="K466" s="4">
        <f t="shared" si="54"/>
        <v>111.41178035157672</v>
      </c>
      <c r="L466" s="42">
        <f>Pressure!Q466</f>
        <v>0.21313323604978901</v>
      </c>
      <c r="M466" s="10">
        <f t="shared" si="56"/>
        <v>0.2370413090552273</v>
      </c>
      <c r="N466" s="10">
        <f t="shared" si="55"/>
        <v>2.5992897854448858</v>
      </c>
    </row>
    <row r="467" spans="3:14">
      <c r="C467" s="4">
        <f>Pressure!AB467*1000000</f>
        <v>5097788.477281237</v>
      </c>
      <c r="D467" s="78">
        <f>Pressure!I467</f>
        <v>8.1256230789298584E-5</v>
      </c>
      <c r="E467" s="40">
        <f>Pressure!H467</f>
        <v>81.256230789298584</v>
      </c>
      <c r="F467" s="10">
        <f t="shared" si="50"/>
        <v>4.5</v>
      </c>
      <c r="G467" s="4">
        <f t="shared" si="49"/>
        <v>216033.56183466513</v>
      </c>
      <c r="H467" s="42">
        <f t="shared" si="51"/>
        <v>8.0699849740442922</v>
      </c>
      <c r="I467" s="10">
        <f t="shared" si="52"/>
        <v>1.1963954421573324</v>
      </c>
      <c r="J467" s="4">
        <f t="shared" si="53"/>
        <v>495.5793869708537</v>
      </c>
      <c r="K467" s="4">
        <f t="shared" si="54"/>
        <v>111.41121958789032</v>
      </c>
      <c r="L467" s="42">
        <f>Pressure!Q467</f>
        <v>0.21361154468332075</v>
      </c>
      <c r="M467" s="10">
        <f t="shared" si="56"/>
        <v>0.23704049593242948</v>
      </c>
      <c r="N467" s="10">
        <f t="shared" si="55"/>
        <v>2.5992897854448858</v>
      </c>
    </row>
    <row r="468" spans="3:14">
      <c r="C468" s="4">
        <f>Pressure!AB468*1000000</f>
        <v>5097762.0594233014</v>
      </c>
      <c r="D468" s="78">
        <f>Pressure!I468</f>
        <v>8.1256230789298584E-5</v>
      </c>
      <c r="E468" s="40">
        <f>Pressure!H468</f>
        <v>81.256230789298584</v>
      </c>
      <c r="F468" s="10">
        <f t="shared" si="50"/>
        <v>4.5</v>
      </c>
      <c r="G468" s="4">
        <f t="shared" si="49"/>
        <v>216032.44230136723</v>
      </c>
      <c r="H468" s="42">
        <f t="shared" si="51"/>
        <v>8.0699522616001644</v>
      </c>
      <c r="I468" s="10">
        <f t="shared" si="52"/>
        <v>1.1963949801273959</v>
      </c>
      <c r="J468" s="4">
        <f t="shared" si="53"/>
        <v>495.57662738546168</v>
      </c>
      <c r="K468" s="4">
        <f t="shared" si="54"/>
        <v>111.41059920540032</v>
      </c>
      <c r="L468" s="42">
        <f>Pressure!Q468</f>
        <v>0.21408985403156988</v>
      </c>
      <c r="M468" s="10">
        <f t="shared" si="56"/>
        <v>0.2370395936199893</v>
      </c>
      <c r="N468" s="10">
        <f t="shared" si="55"/>
        <v>2.5992897854448858</v>
      </c>
    </row>
    <row r="469" spans="3:14">
      <c r="C469" s="4">
        <f>Pressure!AB469*1000000</f>
        <v>5097733.102803817</v>
      </c>
      <c r="D469" s="78">
        <f>Pressure!I469</f>
        <v>8.1256230789298584E-5</v>
      </c>
      <c r="E469" s="40">
        <f>Pressure!H469</f>
        <v>81.256230789298584</v>
      </c>
      <c r="F469" s="10">
        <f t="shared" si="50"/>
        <v>4.5</v>
      </c>
      <c r="G469" s="4">
        <f t="shared" si="49"/>
        <v>216031.21518069055</v>
      </c>
      <c r="H469" s="42">
        <f t="shared" si="51"/>
        <v>8.0699164054490051</v>
      </c>
      <c r="I469" s="10">
        <f t="shared" si="52"/>
        <v>1.1963944736907868</v>
      </c>
      <c r="J469" s="4">
        <f t="shared" si="53"/>
        <v>495.57360260334934</v>
      </c>
      <c r="K469" s="4">
        <f t="shared" si="54"/>
        <v>111.4099192040262</v>
      </c>
      <c r="L469" s="42">
        <f>Pressure!Q469</f>
        <v>0.21456816417052829</v>
      </c>
      <c r="M469" s="10">
        <f t="shared" si="56"/>
        <v>0.23703860211730407</v>
      </c>
      <c r="N469" s="10">
        <f t="shared" si="55"/>
        <v>2.5992897854448858</v>
      </c>
    </row>
    <row r="470" spans="3:14">
      <c r="C470" s="4">
        <f>Pressure!AB470*1000000</f>
        <v>5097701.6074202294</v>
      </c>
      <c r="D470" s="78">
        <f>Pressure!I470</f>
        <v>8.1256230789298584E-5</v>
      </c>
      <c r="E470" s="40">
        <f>Pressure!H470</f>
        <v>81.256230789298584</v>
      </c>
      <c r="F470" s="10">
        <f t="shared" si="50"/>
        <v>4.5</v>
      </c>
      <c r="G470" s="4">
        <f t="shared" si="49"/>
        <v>216029.88047252677</v>
      </c>
      <c r="H470" s="42">
        <f t="shared" si="51"/>
        <v>8.0698774055781684</v>
      </c>
      <c r="I470" s="10">
        <f t="shared" si="52"/>
        <v>1.1963939228459473</v>
      </c>
      <c r="J470" s="4">
        <f t="shared" si="53"/>
        <v>495.57031262424977</v>
      </c>
      <c r="K470" s="4">
        <f t="shared" si="54"/>
        <v>111.40917958370797</v>
      </c>
      <c r="L470" s="42">
        <f>Pressure!Q470</f>
        <v>0.21504647517618949</v>
      </c>
      <c r="M470" s="10">
        <f t="shared" si="56"/>
        <v>0.23703752142374743</v>
      </c>
      <c r="N470" s="10">
        <f t="shared" si="55"/>
        <v>2.5992897854448858</v>
      </c>
    </row>
    <row r="471" spans="3:14">
      <c r="C471" s="4">
        <f>Pressure!AB471*1000000</f>
        <v>5097667.5732710557</v>
      </c>
      <c r="D471" s="78">
        <f>Pressure!I471</f>
        <v>8.1256230789298584E-5</v>
      </c>
      <c r="E471" s="40">
        <f>Pressure!H471</f>
        <v>81.256230789298584</v>
      </c>
      <c r="F471" s="10">
        <f t="shared" si="50"/>
        <v>4.5</v>
      </c>
      <c r="G471" s="4">
        <f t="shared" si="49"/>
        <v>216028.4381768131</v>
      </c>
      <c r="H471" s="42">
        <f t="shared" si="51"/>
        <v>8.0698352619755198</v>
      </c>
      <c r="I471" s="10">
        <f t="shared" si="52"/>
        <v>1.1963933275912049</v>
      </c>
      <c r="J471" s="4">
        <f t="shared" si="53"/>
        <v>495.56675744800805</v>
      </c>
      <c r="K471" s="4">
        <f t="shared" si="54"/>
        <v>111.40838034441079</v>
      </c>
      <c r="L471" s="42">
        <f>Pressure!Q471</f>
        <v>0.21552478712454878</v>
      </c>
      <c r="M471" s="10">
        <f t="shared" si="56"/>
        <v>0.2370363515386894</v>
      </c>
      <c r="N471" s="10">
        <f t="shared" si="55"/>
        <v>2.5992897854448858</v>
      </c>
    </row>
    <row r="472" spans="3:14">
      <c r="C472" s="4">
        <f>Pressure!AB472*1000000</f>
        <v>5097631.0003558351</v>
      </c>
      <c r="D472" s="78">
        <f>Pressure!I472</f>
        <v>8.1256230789298584E-5</v>
      </c>
      <c r="E472" s="40">
        <f>Pressure!H472</f>
        <v>81.256230789298584</v>
      </c>
      <c r="F472" s="10">
        <f t="shared" si="50"/>
        <v>4.5</v>
      </c>
      <c r="G472" s="4">
        <f t="shared" si="49"/>
        <v>216026.88829352998</v>
      </c>
      <c r="H472" s="42">
        <f t="shared" si="51"/>
        <v>8.0697899746293409</v>
      </c>
      <c r="I472" s="10">
        <f t="shared" si="52"/>
        <v>1.196392687924773</v>
      </c>
      <c r="J472" s="4">
        <f t="shared" si="53"/>
        <v>495.5629370745761</v>
      </c>
      <c r="K472" s="4">
        <f t="shared" si="54"/>
        <v>111.40752148612385</v>
      </c>
      <c r="L472" s="42">
        <f>Pressure!Q472</f>
        <v>0.21600310009160339</v>
      </c>
      <c r="M472" s="10">
        <f t="shared" si="56"/>
        <v>0.237035092461514</v>
      </c>
      <c r="N472" s="10">
        <f t="shared" si="55"/>
        <v>2.5992897854448858</v>
      </c>
    </row>
    <row r="473" spans="3:14">
      <c r="C473" s="4">
        <f>Pressure!AB473*1000000</f>
        <v>5097591.8886752268</v>
      </c>
      <c r="D473" s="78">
        <f>Pressure!I473</f>
        <v>8.1256230789298584E-5</v>
      </c>
      <c r="E473" s="40">
        <f>Pressure!H473</f>
        <v>81.256230789298584</v>
      </c>
      <c r="F473" s="10">
        <f t="shared" si="50"/>
        <v>4.5</v>
      </c>
      <c r="G473" s="4">
        <f t="shared" si="49"/>
        <v>216025.23082270537</v>
      </c>
      <c r="H473" s="42">
        <f t="shared" si="51"/>
        <v>8.0697415435284743</v>
      </c>
      <c r="I473" s="10">
        <f t="shared" si="52"/>
        <v>1.1963920038447518</v>
      </c>
      <c r="J473" s="4">
        <f t="shared" si="53"/>
        <v>495.55885150402275</v>
      </c>
      <c r="K473" s="4">
        <f t="shared" si="54"/>
        <v>111.40660300886263</v>
      </c>
      <c r="L473" s="42">
        <f>Pressure!Q473</f>
        <v>0.21648141415335259</v>
      </c>
      <c r="M473" s="10">
        <f t="shared" si="56"/>
        <v>0.23703374419157902</v>
      </c>
      <c r="N473" s="10">
        <f t="shared" si="55"/>
        <v>2.5992897854448858</v>
      </c>
    </row>
    <row r="474" spans="3:14">
      <c r="C474" s="4">
        <f>Pressure!AB474*1000000</f>
        <v>5097550.2382310526</v>
      </c>
      <c r="D474" s="78">
        <f>Pressure!I474</f>
        <v>8.1256230789298584E-5</v>
      </c>
      <c r="E474" s="40">
        <f>Pressure!H474</f>
        <v>81.256230789298584</v>
      </c>
      <c r="F474" s="10">
        <f t="shared" si="50"/>
        <v>4.5</v>
      </c>
      <c r="G474" s="4">
        <f t="shared" si="49"/>
        <v>216023.46576441647</v>
      </c>
      <c r="H474" s="42">
        <f t="shared" si="51"/>
        <v>8.0696899686623667</v>
      </c>
      <c r="I474" s="10">
        <f t="shared" si="52"/>
        <v>1.1963912753491281</v>
      </c>
      <c r="J474" s="4">
        <f t="shared" si="53"/>
        <v>495.55450073653839</v>
      </c>
      <c r="K474" s="4">
        <f t="shared" si="54"/>
        <v>111.40562491266994</v>
      </c>
      <c r="L474" s="42">
        <f>Pressure!Q474</f>
        <v>0.21695972938579772</v>
      </c>
      <c r="M474" s="10">
        <f t="shared" ref="M474:M505" si="57">(J474+J473)/2*(L474-L473)</f>
        <v>0.23703230672820585</v>
      </c>
      <c r="N474" s="10">
        <f t="shared" si="55"/>
        <v>2.5992897854448858</v>
      </c>
    </row>
    <row r="475" spans="3:14">
      <c r="C475" s="4">
        <f>Pressure!AB475*1000000</f>
        <v>5097506.0490258923</v>
      </c>
      <c r="D475" s="78">
        <f>Pressure!I475</f>
        <v>8.1256230789298584E-5</v>
      </c>
      <c r="E475" s="40">
        <f>Pressure!H475</f>
        <v>81.256230789298584</v>
      </c>
      <c r="F475" s="10">
        <f t="shared" si="50"/>
        <v>4.5</v>
      </c>
      <c r="G475" s="4">
        <f t="shared" si="49"/>
        <v>216021.59311877258</v>
      </c>
      <c r="H475" s="42">
        <f t="shared" si="51"/>
        <v>8.069635250020589</v>
      </c>
      <c r="I475" s="10">
        <f t="shared" si="52"/>
        <v>1.1963905024357704</v>
      </c>
      <c r="J475" s="4">
        <f t="shared" si="53"/>
        <v>495.54988477239249</v>
      </c>
      <c r="K475" s="4">
        <f t="shared" ref="K475:K506" si="58">J475/4.4482</f>
        <v>111.40458719760633</v>
      </c>
      <c r="L475" s="42">
        <f>Pressure!Q475</f>
        <v>0.21743804586494242</v>
      </c>
      <c r="M475" s="10">
        <f t="shared" si="57"/>
        <v>0.23703078007075287</v>
      </c>
      <c r="N475" s="10">
        <f t="shared" si="55"/>
        <v>2.5992897854448858</v>
      </c>
    </row>
    <row r="476" spans="3:14">
      <c r="C476" s="4">
        <f>Pressure!AB476*1000000</f>
        <v>5097459.3210637281</v>
      </c>
      <c r="D476" s="78">
        <f>Pressure!I476</f>
        <v>8.1256230789298584E-5</v>
      </c>
      <c r="E476" s="40">
        <f>Pressure!H476</f>
        <v>81.256230789298584</v>
      </c>
      <c r="F476" s="10">
        <f t="shared" si="50"/>
        <v>4.5</v>
      </c>
      <c r="G476" s="4">
        <f t="shared" ref="G476:G539" si="59">IF(C476/(1+(k-1)/2*N476^2)^(k/(k-1))&lt;patm*1000000,patm*1000000,C476/(1+(k-1)/2*N476^2)^(k/(k-1)))</f>
        <v>216019.61288594248</v>
      </c>
      <c r="H476" s="42">
        <f t="shared" si="51"/>
        <v>8.0695773875935881</v>
      </c>
      <c r="I476" s="10">
        <f t="shared" si="52"/>
        <v>1.1963896851024378</v>
      </c>
      <c r="J476" s="4">
        <f t="shared" si="53"/>
        <v>495.54500361200076</v>
      </c>
      <c r="K476" s="4">
        <f t="shared" si="58"/>
        <v>111.40348986376529</v>
      </c>
      <c r="L476" s="42">
        <f>Pressure!Q476</f>
        <v>0.21791636366679268</v>
      </c>
      <c r="M476" s="10">
        <f t="shared" si="57"/>
        <v>0.23702916421852527</v>
      </c>
      <c r="N476" s="10">
        <f t="shared" si="55"/>
        <v>2.5992897854448858</v>
      </c>
    </row>
    <row r="477" spans="3:14">
      <c r="C477" s="4">
        <f>Pressure!AB477*1000000</f>
        <v>5097410.0543495137</v>
      </c>
      <c r="D477" s="78">
        <f>Pressure!I477</f>
        <v>8.1256230789298584E-5</v>
      </c>
      <c r="E477" s="40">
        <f>Pressure!H477</f>
        <v>81.256230789298584</v>
      </c>
      <c r="F477" s="10">
        <f t="shared" ref="F477:F540" si="60">aexit/E477</f>
        <v>4.5</v>
      </c>
      <c r="G477" s="4">
        <f t="shared" si="59"/>
        <v>216017.52506613609</v>
      </c>
      <c r="H477" s="42">
        <f t="shared" ref="H477:H540" si="61">1/(((k+1)/2)^(1/(k-1))*(patm*1000000/C477)^(1/k)*SQRT((k+1)/(k-1)*(1-(patm*1000000/C477)^((k-1)/k))))</f>
        <v>8.0695163813722139</v>
      </c>
      <c r="I477" s="10">
        <f t="shared" ref="I477:I540" si="62">etanoz*SQRT(2*k^2/(k-1)*(2/(k+1))^((k+1)/(k-1))*(1-(G477/C477)^((k-1)/k)))+(G477-patm*1000000)/C477*(aexit/E477)</f>
        <v>1.1963888233467748</v>
      </c>
      <c r="J477" s="4">
        <f t="shared" ref="J477:J540" si="63">I477*D477*C477</f>
        <v>495.53985725588103</v>
      </c>
      <c r="K477" s="4">
        <f t="shared" si="58"/>
        <v>111.40233291126322</v>
      </c>
      <c r="L477" s="42">
        <f>Pressure!Q477</f>
        <v>0.21839468286735703</v>
      </c>
      <c r="M477" s="10">
        <f t="shared" si="57"/>
        <v>0.23702745917087653</v>
      </c>
      <c r="N477" s="10">
        <f t="shared" si="55"/>
        <v>2.5992897854448858</v>
      </c>
    </row>
    <row r="478" spans="3:14">
      <c r="C478" s="4">
        <f>Pressure!AB478*1000000</f>
        <v>5097358.2488891296</v>
      </c>
      <c r="D478" s="78">
        <f>Pressure!I478</f>
        <v>8.1256230789298584E-5</v>
      </c>
      <c r="E478" s="40">
        <f>Pressure!H478</f>
        <v>81.256230789298584</v>
      </c>
      <c r="F478" s="10">
        <f t="shared" si="60"/>
        <v>4.5</v>
      </c>
      <c r="G478" s="4">
        <f t="shared" si="59"/>
        <v>216015.32965960263</v>
      </c>
      <c r="H478" s="42">
        <f t="shared" si="61"/>
        <v>8.0694522313476114</v>
      </c>
      <c r="I478" s="10">
        <f t="shared" si="62"/>
        <v>1.1963879171663081</v>
      </c>
      <c r="J478" s="4">
        <f t="shared" si="63"/>
        <v>495.53444570464734</v>
      </c>
      <c r="K478" s="4">
        <f t="shared" si="58"/>
        <v>111.40111634023815</v>
      </c>
      <c r="L478" s="42">
        <f>Pressure!Q478</f>
        <v>0.21887300354264655</v>
      </c>
      <c r="M478" s="10">
        <f t="shared" si="57"/>
        <v>0.23702566492708663</v>
      </c>
      <c r="N478" s="10">
        <f t="shared" ref="N478:N541" si="64">N477-1/834*(me-mef)</f>
        <v>2.5992897854448858</v>
      </c>
    </row>
    <row r="479" spans="3:14">
      <c r="C479" s="4">
        <f>Pressure!AB479*1000000</f>
        <v>5097303.9046894973</v>
      </c>
      <c r="D479" s="78">
        <f>Pressure!I479</f>
        <v>8.1256230789298584E-5</v>
      </c>
      <c r="E479" s="40">
        <f>Pressure!H479</f>
        <v>81.256230789298584</v>
      </c>
      <c r="F479" s="10">
        <f t="shared" si="60"/>
        <v>4.5</v>
      </c>
      <c r="G479" s="4">
        <f t="shared" si="59"/>
        <v>216013.02666663539</v>
      </c>
      <c r="H479" s="42">
        <f t="shared" si="61"/>
        <v>8.0693849375113889</v>
      </c>
      <c r="I479" s="10">
        <f t="shared" si="62"/>
        <v>1.1963869665584506</v>
      </c>
      <c r="J479" s="4">
        <f t="shared" si="63"/>
        <v>495.52876895902284</v>
      </c>
      <c r="K479" s="4">
        <f t="shared" si="58"/>
        <v>111.39984015085267</v>
      </c>
      <c r="L479" s="42">
        <f>Pressure!Q479</f>
        <v>0.21935132576867508</v>
      </c>
      <c r="M479" s="10">
        <f t="shared" si="57"/>
        <v>0.23702378148646</v>
      </c>
      <c r="N479" s="10">
        <f t="shared" si="64"/>
        <v>2.5992897854448858</v>
      </c>
    </row>
    <row r="480" spans="3:14">
      <c r="C480" s="4">
        <f>Pressure!AB480*1000000</f>
        <v>5097247.0217588339</v>
      </c>
      <c r="D480" s="78">
        <f>Pressure!I480</f>
        <v>8.1256230789298584E-5</v>
      </c>
      <c r="E480" s="40">
        <f>Pressure!H480</f>
        <v>81.256230789298584</v>
      </c>
      <c r="F480" s="10">
        <f t="shared" si="60"/>
        <v>4.5</v>
      </c>
      <c r="G480" s="4">
        <f t="shared" si="59"/>
        <v>216010.6160875826</v>
      </c>
      <c r="H480" s="42">
        <f t="shared" si="61"/>
        <v>8.069314499855933</v>
      </c>
      <c r="I480" s="10">
        <f t="shared" si="62"/>
        <v>1.1963859715205043</v>
      </c>
      <c r="J480" s="4">
        <f t="shared" si="63"/>
        <v>495.5228270198657</v>
      </c>
      <c r="K480" s="4">
        <f t="shared" si="58"/>
        <v>111.39850434329969</v>
      </c>
      <c r="L480" s="42">
        <f>Pressure!Q480</f>
        <v>0.21982964962145932</v>
      </c>
      <c r="M480" s="10">
        <f t="shared" si="57"/>
        <v>0.23702180884829344</v>
      </c>
      <c r="N480" s="10">
        <f t="shared" si="64"/>
        <v>2.5992897854448858</v>
      </c>
    </row>
    <row r="481" spans="3:14">
      <c r="C481" s="4">
        <f>Pressure!AB481*1000000</f>
        <v>5097187.6001061983</v>
      </c>
      <c r="D481" s="78">
        <f>Pressure!I481</f>
        <v>8.1256230789298584E-5</v>
      </c>
      <c r="E481" s="40">
        <f>Pressure!H481</f>
        <v>81.256230789298584</v>
      </c>
      <c r="F481" s="10">
        <f t="shared" si="60"/>
        <v>4.5</v>
      </c>
      <c r="G481" s="4">
        <f t="shared" si="59"/>
        <v>216008.09792282819</v>
      </c>
      <c r="H481" s="42">
        <f t="shared" si="61"/>
        <v>8.069240918373831</v>
      </c>
      <c r="I481" s="10">
        <f t="shared" si="62"/>
        <v>1.1963849320496538</v>
      </c>
      <c r="J481" s="4">
        <f t="shared" si="63"/>
        <v>495.51661988812242</v>
      </c>
      <c r="K481" s="4">
        <f t="shared" si="58"/>
        <v>111.39710891779201</v>
      </c>
      <c r="L481" s="42">
        <f>Pressure!Q481</f>
        <v>0.22030797517701892</v>
      </c>
      <c r="M481" s="10">
        <f t="shared" si="57"/>
        <v>0.23701974701187106</v>
      </c>
      <c r="N481" s="10">
        <f t="shared" si="64"/>
        <v>2.5992897854448858</v>
      </c>
    </row>
    <row r="482" spans="3:14">
      <c r="C482" s="4">
        <f>Pressure!AB482*1000000</f>
        <v>5097125.6397419861</v>
      </c>
      <c r="D482" s="78">
        <f>Pressure!I482</f>
        <v>8.1256230789298584E-5</v>
      </c>
      <c r="E482" s="40">
        <f>Pressure!H482</f>
        <v>81.256230789298584</v>
      </c>
      <c r="F482" s="10">
        <f t="shared" si="60"/>
        <v>4.5</v>
      </c>
      <c r="G482" s="4">
        <f t="shared" si="59"/>
        <v>216005.47217281268</v>
      </c>
      <c r="H482" s="42">
        <f t="shared" si="61"/>
        <v>8.0691641930585032</v>
      </c>
      <c r="I482" s="10">
        <f t="shared" si="62"/>
        <v>1.1963838481429736</v>
      </c>
      <c r="J482" s="4">
        <f t="shared" si="63"/>
        <v>495.51014756487876</v>
      </c>
      <c r="K482" s="4">
        <f t="shared" si="58"/>
        <v>111.39565387457371</v>
      </c>
      <c r="L482" s="42">
        <f>Pressure!Q482</f>
        <v>0.2207863025113766</v>
      </c>
      <c r="M482" s="10">
        <f t="shared" si="57"/>
        <v>0.23701759597645175</v>
      </c>
      <c r="N482" s="10">
        <f t="shared" si="64"/>
        <v>2.5992897854448858</v>
      </c>
    </row>
    <row r="483" spans="3:14">
      <c r="C483" s="4">
        <f>Pressure!AB483*1000000</f>
        <v>5097061.1406772109</v>
      </c>
      <c r="D483" s="78">
        <f>Pressure!I483</f>
        <v>8.1256230789298584E-5</v>
      </c>
      <c r="E483" s="40">
        <f>Pressure!H483</f>
        <v>81.256230789298584</v>
      </c>
      <c r="F483" s="10">
        <f t="shared" si="60"/>
        <v>4.5</v>
      </c>
      <c r="G483" s="4">
        <f t="shared" si="59"/>
        <v>216002.73883800278</v>
      </c>
      <c r="H483" s="42">
        <f t="shared" si="61"/>
        <v>8.0690843239032937</v>
      </c>
      <c r="I483" s="10">
        <f t="shared" si="62"/>
        <v>1.1963827197974164</v>
      </c>
      <c r="J483" s="4">
        <f t="shared" si="63"/>
        <v>495.50341005128524</v>
      </c>
      <c r="K483" s="4">
        <f t="shared" si="58"/>
        <v>111.39413921390343</v>
      </c>
      <c r="L483" s="42">
        <f>Pressure!Q483</f>
        <v>0.22126463170055827</v>
      </c>
      <c r="M483" s="10">
        <f t="shared" si="57"/>
        <v>0.2370153557412909</v>
      </c>
      <c r="N483" s="10">
        <f t="shared" si="64"/>
        <v>2.5992897854448858</v>
      </c>
    </row>
    <row r="484" spans="3:14">
      <c r="C484" s="4">
        <f>Pressure!AB484*1000000</f>
        <v>5096994.1029244317</v>
      </c>
      <c r="D484" s="78">
        <f>Pressure!I484</f>
        <v>8.1256230789298584E-5</v>
      </c>
      <c r="E484" s="40">
        <f>Pressure!H484</f>
        <v>81.256230789298584</v>
      </c>
      <c r="F484" s="10">
        <f t="shared" si="60"/>
        <v>4.5</v>
      </c>
      <c r="G484" s="4">
        <f t="shared" si="59"/>
        <v>215999.89791893077</v>
      </c>
      <c r="H484" s="42">
        <f t="shared" si="61"/>
        <v>8.0690013109026442</v>
      </c>
      <c r="I484" s="10">
        <f t="shared" si="62"/>
        <v>1.1963815470098289</v>
      </c>
      <c r="J484" s="4">
        <f t="shared" si="63"/>
        <v>495.49640734865386</v>
      </c>
      <c r="K484" s="4">
        <f t="shared" si="58"/>
        <v>111.39256493607614</v>
      </c>
      <c r="L484" s="42">
        <f>Pressure!Q484</f>
        <v>0.22174296282059319</v>
      </c>
      <c r="M484" s="10">
        <f t="shared" si="57"/>
        <v>0.23701302630565949</v>
      </c>
      <c r="N484" s="10">
        <f t="shared" si="64"/>
        <v>2.5992897854448858</v>
      </c>
    </row>
    <row r="485" spans="3:14">
      <c r="C485" s="4">
        <f>Pressure!AB485*1000000</f>
        <v>5096924.5264968425</v>
      </c>
      <c r="D485" s="78">
        <f>Pressure!I485</f>
        <v>8.1256230789298584E-5</v>
      </c>
      <c r="E485" s="40">
        <f>Pressure!H485</f>
        <v>81.256230789298584</v>
      </c>
      <c r="F485" s="10">
        <f t="shared" si="60"/>
        <v>4.5</v>
      </c>
      <c r="G485" s="4">
        <f t="shared" si="59"/>
        <v>215996.94941615572</v>
      </c>
      <c r="H485" s="42">
        <f t="shared" si="61"/>
        <v>8.0689151540509272</v>
      </c>
      <c r="I485" s="10">
        <f t="shared" si="62"/>
        <v>1.1963803297769355</v>
      </c>
      <c r="J485" s="4">
        <f t="shared" si="63"/>
        <v>495.48913945836267</v>
      </c>
      <c r="K485" s="4">
        <f t="shared" si="58"/>
        <v>111.39093104140161</v>
      </c>
      <c r="L485" s="42">
        <f>Pressure!Q485</f>
        <v>0.22222129594751408</v>
      </c>
      <c r="M485" s="10">
        <f t="shared" si="57"/>
        <v>0.23701060766880308</v>
      </c>
      <c r="N485" s="10">
        <f t="shared" si="64"/>
        <v>2.5992897854448858</v>
      </c>
    </row>
    <row r="486" spans="3:14">
      <c r="C486" s="4">
        <f>Pressure!AB486*1000000</f>
        <v>5096852.4114089822</v>
      </c>
      <c r="D486" s="78">
        <f>Pressure!I486</f>
        <v>8.1256230789298584E-5</v>
      </c>
      <c r="E486" s="40">
        <f>Pressure!H486</f>
        <v>81.256230789298584</v>
      </c>
      <c r="F486" s="10">
        <f t="shared" si="60"/>
        <v>4.5</v>
      </c>
      <c r="G486" s="4">
        <f t="shared" si="59"/>
        <v>215993.89333029379</v>
      </c>
      <c r="H486" s="42">
        <f t="shared" si="61"/>
        <v>8.068825853343375</v>
      </c>
      <c r="I486" s="10">
        <f t="shared" si="62"/>
        <v>1.1963790680953521</v>
      </c>
      <c r="J486" s="4">
        <f t="shared" si="63"/>
        <v>495.48160638193053</v>
      </c>
      <c r="K486" s="4">
        <f t="shared" si="58"/>
        <v>111.38923753022134</v>
      </c>
      <c r="L486" s="42">
        <f>Pressure!Q486</f>
        <v>0.22269963115735716</v>
      </c>
      <c r="M486" s="10">
        <f t="shared" si="57"/>
        <v>0.23700809982993692</v>
      </c>
      <c r="N486" s="10">
        <f t="shared" si="64"/>
        <v>2.5992897854448858</v>
      </c>
    </row>
    <row r="487" spans="3:14">
      <c r="C487" s="4">
        <f>Pressure!AB487*1000000</f>
        <v>5096777.7576763909</v>
      </c>
      <c r="D487" s="78">
        <f>Pressure!I487</f>
        <v>8.1256230789298584E-5</v>
      </c>
      <c r="E487" s="40">
        <f>Pressure!H487</f>
        <v>81.256230789298584</v>
      </c>
      <c r="F487" s="10">
        <f t="shared" si="60"/>
        <v>4.5</v>
      </c>
      <c r="G487" s="4">
        <f t="shared" si="59"/>
        <v>215990.72966200355</v>
      </c>
      <c r="H487" s="42">
        <f t="shared" si="61"/>
        <v>8.0687334087756124</v>
      </c>
      <c r="I487" s="10">
        <f t="shared" si="62"/>
        <v>1.1963777619615783</v>
      </c>
      <c r="J487" s="4">
        <f t="shared" si="63"/>
        <v>495.47380812098072</v>
      </c>
      <c r="K487" s="4">
        <f t="shared" si="58"/>
        <v>111.38748440290021</v>
      </c>
      <c r="L487" s="42">
        <f>Pressure!Q487</f>
        <v>0.22317796852616234</v>
      </c>
      <c r="M487" s="10">
        <f t="shared" si="57"/>
        <v>0.23700550278828264</v>
      </c>
      <c r="N487" s="10">
        <f t="shared" si="64"/>
        <v>2.5992897854448858</v>
      </c>
    </row>
    <row r="488" spans="3:14">
      <c r="C488" s="4">
        <f>Pressure!AB488*1000000</f>
        <v>5096700.565315661</v>
      </c>
      <c r="D488" s="78">
        <f>Pressure!I488</f>
        <v>8.1256230789298584E-5</v>
      </c>
      <c r="E488" s="40">
        <f>Pressure!H488</f>
        <v>81.256230789298584</v>
      </c>
      <c r="F488" s="10">
        <f t="shared" si="60"/>
        <v>4.5</v>
      </c>
      <c r="G488" s="4">
        <f t="shared" si="59"/>
        <v>215987.45841198813</v>
      </c>
      <c r="H488" s="42">
        <f t="shared" si="61"/>
        <v>8.0686378203437403</v>
      </c>
      <c r="I488" s="10">
        <f t="shared" si="62"/>
        <v>1.1963764113719995</v>
      </c>
      <c r="J488" s="4">
        <f t="shared" si="63"/>
        <v>495.46574467724645</v>
      </c>
      <c r="K488" s="4">
        <f t="shared" si="58"/>
        <v>111.38567165982789</v>
      </c>
      <c r="L488" s="42">
        <f>Pressure!Q488</f>
        <v>0.22365630812997334</v>
      </c>
      <c r="M488" s="10">
        <f t="shared" si="57"/>
        <v>0.23700281654307451</v>
      </c>
      <c r="N488" s="10">
        <f t="shared" si="64"/>
        <v>2.5992897854448858</v>
      </c>
    </row>
    <row r="489" spans="3:14">
      <c r="C489" s="4">
        <f>Pressure!AB489*1000000</f>
        <v>5096620.8343443349</v>
      </c>
      <c r="D489" s="78">
        <f>Pressure!I489</f>
        <v>8.1256230789298584E-5</v>
      </c>
      <c r="E489" s="40">
        <f>Pressure!H489</f>
        <v>81.256230789298584</v>
      </c>
      <c r="F489" s="10">
        <f t="shared" si="60"/>
        <v>4.5</v>
      </c>
      <c r="G489" s="4">
        <f t="shared" si="59"/>
        <v>215984.07958099095</v>
      </c>
      <c r="H489" s="42">
        <f t="shared" si="61"/>
        <v>8.0685390880441989</v>
      </c>
      <c r="I489" s="10">
        <f t="shared" si="62"/>
        <v>1.1963750163228841</v>
      </c>
      <c r="J489" s="4">
        <f t="shared" si="63"/>
        <v>495.45741605256006</v>
      </c>
      <c r="K489" s="4">
        <f t="shared" si="58"/>
        <v>111.38379930141632</v>
      </c>
      <c r="L489" s="42">
        <f>Pressure!Q489</f>
        <v>0.22413465004483776</v>
      </c>
      <c r="M489" s="10">
        <f t="shared" si="57"/>
        <v>0.23700004109350326</v>
      </c>
      <c r="N489" s="10">
        <f t="shared" si="64"/>
        <v>2.5992897854448858</v>
      </c>
    </row>
    <row r="490" spans="3:14">
      <c r="C490" s="4">
        <f>Pressure!AB490*1000000</f>
        <v>5096538.5647812011</v>
      </c>
      <c r="D490" s="78">
        <f>Pressure!I490</f>
        <v>8.1256230789298584E-5</v>
      </c>
      <c r="E490" s="40">
        <f>Pressure!H490</f>
        <v>81.256230789298584</v>
      </c>
      <c r="F490" s="10">
        <f t="shared" si="60"/>
        <v>4.5</v>
      </c>
      <c r="G490" s="4">
        <f t="shared" si="59"/>
        <v>215980.59316980824</v>
      </c>
      <c r="H490" s="42">
        <f t="shared" si="61"/>
        <v>8.0684372118741461</v>
      </c>
      <c r="I490" s="10">
        <f t="shared" si="62"/>
        <v>1.19637357681039</v>
      </c>
      <c r="J490" s="4">
        <f t="shared" si="63"/>
        <v>495.44882224888443</v>
      </c>
      <c r="K490" s="4">
        <f t="shared" si="58"/>
        <v>111.38186732810675</v>
      </c>
      <c r="L490" s="42">
        <f>Pressure!Q490</f>
        <v>0.22461299434680726</v>
      </c>
      <c r="M490" s="10">
        <f t="shared" si="57"/>
        <v>0.23699717643876209</v>
      </c>
      <c r="N490" s="10">
        <f t="shared" si="64"/>
        <v>2.5992897854448858</v>
      </c>
    </row>
    <row r="491" spans="3:14">
      <c r="C491" s="4">
        <f>Pressure!AB491*1000000</f>
        <v>5096453.7566461135</v>
      </c>
      <c r="D491" s="78">
        <f>Pressure!I491</f>
        <v>8.1256230789298584E-5</v>
      </c>
      <c r="E491" s="40">
        <f>Pressure!H491</f>
        <v>81.256230789298584</v>
      </c>
      <c r="F491" s="10">
        <f t="shared" si="60"/>
        <v>4.5</v>
      </c>
      <c r="G491" s="4">
        <f t="shared" si="59"/>
        <v>215976.99917928132</v>
      </c>
      <c r="H491" s="42">
        <f t="shared" si="61"/>
        <v>8.0683321918312192</v>
      </c>
      <c r="I491" s="10">
        <f t="shared" si="62"/>
        <v>1.1963720928305601</v>
      </c>
      <c r="J491" s="4">
        <f t="shared" si="63"/>
        <v>495.43996326829318</v>
      </c>
      <c r="K491" s="4">
        <f t="shared" si="58"/>
        <v>111.37987574036536</v>
      </c>
      <c r="L491" s="42">
        <f>Pressure!Q491</f>
        <v>0.22509134111193763</v>
      </c>
      <c r="M491" s="10">
        <f t="shared" si="57"/>
        <v>0.23699422257804967</v>
      </c>
      <c r="N491" s="10">
        <f t="shared" si="64"/>
        <v>2.5992897854448858</v>
      </c>
    </row>
    <row r="492" spans="3:14">
      <c r="C492" s="4">
        <f>Pressure!AB492*1000000</f>
        <v>5096366.4099597055</v>
      </c>
      <c r="D492" s="78">
        <f>Pressure!I492</f>
        <v>8.1256230789298584E-5</v>
      </c>
      <c r="E492" s="40">
        <f>Pressure!H492</f>
        <v>81.256230789298584</v>
      </c>
      <c r="F492" s="10">
        <f t="shared" si="60"/>
        <v>4.5</v>
      </c>
      <c r="G492" s="4">
        <f t="shared" si="59"/>
        <v>215973.29761028464</v>
      </c>
      <c r="H492" s="42">
        <f t="shared" si="61"/>
        <v>8.068224027913196</v>
      </c>
      <c r="I492" s="10">
        <f t="shared" si="62"/>
        <v>1.1963705643793181</v>
      </c>
      <c r="J492" s="4">
        <f t="shared" si="63"/>
        <v>495.43083911294201</v>
      </c>
      <c r="K492" s="4">
        <f t="shared" si="58"/>
        <v>111.37782453867678</v>
      </c>
      <c r="L492" s="42">
        <f>Pressure!Q492</f>
        <v>0.22556969041628894</v>
      </c>
      <c r="M492" s="10">
        <f t="shared" si="57"/>
        <v>0.23699117951054458</v>
      </c>
      <c r="N492" s="10">
        <f t="shared" si="64"/>
        <v>2.5992897854448858</v>
      </c>
    </row>
    <row r="493" spans="3:14">
      <c r="C493" s="4">
        <f>Pressure!AB493*1000000</f>
        <v>5096276.5247439202</v>
      </c>
      <c r="D493" s="78">
        <f>Pressure!I493</f>
        <v>8.1256230789298584E-5</v>
      </c>
      <c r="E493" s="40">
        <f>Pressure!H493</f>
        <v>81.256230789298584</v>
      </c>
      <c r="F493" s="10">
        <f t="shared" si="60"/>
        <v>4.5</v>
      </c>
      <c r="G493" s="4">
        <f t="shared" si="59"/>
        <v>215969.48846374807</v>
      </c>
      <c r="H493" s="42">
        <f t="shared" si="61"/>
        <v>8.0681127201186449</v>
      </c>
      <c r="I493" s="10">
        <f t="shared" si="62"/>
        <v>1.1963689914524771</v>
      </c>
      <c r="J493" s="4">
        <f t="shared" si="63"/>
        <v>495.42144978512277</v>
      </c>
      <c r="K493" s="4">
        <f t="shared" si="58"/>
        <v>111.37571372355622</v>
      </c>
      <c r="L493" s="42">
        <f>Pressure!Q493</f>
        <v>0.22604804233592563</v>
      </c>
      <c r="M493" s="10">
        <f t="shared" si="57"/>
        <v>0.23698804723539776</v>
      </c>
      <c r="N493" s="10">
        <f t="shared" si="64"/>
        <v>2.5992897854448858</v>
      </c>
    </row>
    <row r="494" spans="3:14">
      <c r="C494" s="4">
        <f>Pressure!AB494*1000000</f>
        <v>5096184.1010217937</v>
      </c>
      <c r="D494" s="78">
        <f>Pressure!I494</f>
        <v>8.1256230789298584E-5</v>
      </c>
      <c r="E494" s="40">
        <f>Pressure!H494</f>
        <v>81.256230789298584</v>
      </c>
      <c r="F494" s="10">
        <f t="shared" si="60"/>
        <v>4.5</v>
      </c>
      <c r="G494" s="4">
        <f t="shared" si="59"/>
        <v>215965.57174064784</v>
      </c>
      <c r="H494" s="42">
        <f t="shared" si="61"/>
        <v>8.0679982684466562</v>
      </c>
      <c r="I494" s="10">
        <f t="shared" si="62"/>
        <v>1.1963673740457366</v>
      </c>
      <c r="J494" s="4">
        <f t="shared" si="63"/>
        <v>495.411795287242</v>
      </c>
      <c r="K494" s="4">
        <f t="shared" si="58"/>
        <v>111.37354329554472</v>
      </c>
      <c r="L494" s="42">
        <f>Pressure!Q494</f>
        <v>0.22652639694691662</v>
      </c>
      <c r="M494" s="10">
        <f t="shared" si="57"/>
        <v>0.23698482575176774</v>
      </c>
      <c r="N494" s="10">
        <f t="shared" si="64"/>
        <v>2.5992897854448858</v>
      </c>
    </row>
    <row r="495" spans="3:14">
      <c r="C495" s="4">
        <f>Pressure!AB495*1000000</f>
        <v>5096089.1388173075</v>
      </c>
      <c r="D495" s="78">
        <f>Pressure!I495</f>
        <v>8.1256230789298584E-5</v>
      </c>
      <c r="E495" s="40">
        <f>Pressure!H495</f>
        <v>81.256230789298584</v>
      </c>
      <c r="F495" s="10">
        <f t="shared" si="60"/>
        <v>4.5</v>
      </c>
      <c r="G495" s="4">
        <f t="shared" si="59"/>
        <v>215961.54744200027</v>
      </c>
      <c r="H495" s="42">
        <f t="shared" si="61"/>
        <v>8.0678806728966457</v>
      </c>
      <c r="I495" s="10">
        <f t="shared" si="62"/>
        <v>1.1963657121546789</v>
      </c>
      <c r="J495" s="4">
        <f t="shared" si="63"/>
        <v>495.40187562180461</v>
      </c>
      <c r="K495" s="4">
        <f t="shared" si="58"/>
        <v>111.37131325520539</v>
      </c>
      <c r="L495" s="42">
        <f>Pressure!Q495</f>
        <v>0.22700475432533551</v>
      </c>
      <c r="M495" s="10">
        <f t="shared" si="57"/>
        <v>0.23698151505882523</v>
      </c>
      <c r="N495" s="10">
        <f t="shared" si="64"/>
        <v>2.5992897854448858</v>
      </c>
    </row>
    <row r="496" spans="3:14">
      <c r="C496" s="4">
        <f>Pressure!AB496*1000000</f>
        <v>5095991.6381554883</v>
      </c>
      <c r="D496" s="78">
        <f>Pressure!I496</f>
        <v>8.1256230789298584E-5</v>
      </c>
      <c r="E496" s="40">
        <f>Pressure!H496</f>
        <v>81.256230789298584</v>
      </c>
      <c r="F496" s="10">
        <f t="shared" si="60"/>
        <v>4.5</v>
      </c>
      <c r="G496" s="4">
        <f t="shared" si="59"/>
        <v>215957.41556886586</v>
      </c>
      <c r="H496" s="42">
        <f t="shared" si="61"/>
        <v>8.0677599334685084</v>
      </c>
      <c r="I496" s="10">
        <f t="shared" si="62"/>
        <v>1.1963640057747718</v>
      </c>
      <c r="J496" s="4">
        <f t="shared" si="63"/>
        <v>495.39169079142494</v>
      </c>
      <c r="K496" s="4">
        <f t="shared" si="58"/>
        <v>111.36902360312597</v>
      </c>
      <c r="L496" s="42">
        <f>Pressure!Q496</f>
        <v>0.22748311454726058</v>
      </c>
      <c r="M496" s="10">
        <f t="shared" si="57"/>
        <v>0.23697811515568334</v>
      </c>
      <c r="N496" s="10">
        <f t="shared" si="64"/>
        <v>2.5992897854448858</v>
      </c>
    </row>
    <row r="497" spans="3:14">
      <c r="C497" s="114">
        <f>Pressure!AB497*1000000</f>
        <v>5095891.5990625359</v>
      </c>
      <c r="D497" s="79">
        <f>Pressure!I497</f>
        <v>8.1256230789298584E-5</v>
      </c>
      <c r="E497" s="111">
        <f>Pressure!H497</f>
        <v>81.256230789298584</v>
      </c>
      <c r="F497" s="10">
        <f t="shared" si="60"/>
        <v>4.5</v>
      </c>
      <c r="G497" s="4">
        <f t="shared" si="59"/>
        <v>215953.17612235498</v>
      </c>
      <c r="H497" s="58">
        <f t="shared" si="61"/>
        <v>8.0676360501627489</v>
      </c>
      <c r="I497" s="10">
        <f t="shared" si="62"/>
        <v>1.1963622549013702</v>
      </c>
      <c r="J497" s="4">
        <f t="shared" si="63"/>
        <v>495.38124079883983</v>
      </c>
      <c r="K497" s="4">
        <f t="shared" si="58"/>
        <v>111.36667433992173</v>
      </c>
      <c r="L497" s="42">
        <f>Pressure!Q497</f>
        <v>0.22796147768877498</v>
      </c>
      <c r="M497" s="10">
        <f t="shared" si="57"/>
        <v>0.2369746260414719</v>
      </c>
      <c r="N497" s="10">
        <f t="shared" si="64"/>
        <v>2.5992897854448858</v>
      </c>
    </row>
    <row r="498" spans="3:14">
      <c r="C498" s="4">
        <f>Pressure!AB498*1000000</f>
        <v>5095789.0215656469</v>
      </c>
      <c r="D498" s="78">
        <f>Pressure!I498</f>
        <v>8.1256230789298584E-5</v>
      </c>
      <c r="E498" s="40">
        <f>Pressure!H498</f>
        <v>81.256230789298584</v>
      </c>
      <c r="F498" s="10">
        <f t="shared" si="60"/>
        <v>4.5</v>
      </c>
      <c r="G498" s="4">
        <f t="shared" si="59"/>
        <v>215948.82910362014</v>
      </c>
      <c r="H498" s="42">
        <f t="shared" si="61"/>
        <v>8.0675090229802713</v>
      </c>
      <c r="I498" s="10">
        <f t="shared" si="62"/>
        <v>1.196360459529713</v>
      </c>
      <c r="J498" s="4">
        <f t="shared" si="63"/>
        <v>495.3705256468902</v>
      </c>
      <c r="K498" s="4">
        <f t="shared" si="58"/>
        <v>111.36426546623133</v>
      </c>
      <c r="L498" s="42">
        <f>Pressure!Q498</f>
        <v>0.22843984382596685</v>
      </c>
      <c r="M498" s="10">
        <f t="shared" si="57"/>
        <v>0.2369710477153362</v>
      </c>
      <c r="N498" s="10">
        <f t="shared" si="64"/>
        <v>2.5992897854448858</v>
      </c>
    </row>
    <row r="499" spans="3:14">
      <c r="C499" s="4">
        <f>Pressure!AB499*1000000</f>
        <v>5095683.9056929713</v>
      </c>
      <c r="D499" s="78">
        <f>Pressure!I499</f>
        <v>8.1256230789298584E-5</v>
      </c>
      <c r="E499" s="40">
        <f>Pressure!H499</f>
        <v>81.256230789298584</v>
      </c>
      <c r="F499" s="10">
        <f t="shared" si="60"/>
        <v>4.5</v>
      </c>
      <c r="G499" s="4">
        <f t="shared" si="59"/>
        <v>215944.37451385427</v>
      </c>
      <c r="H499" s="42">
        <f t="shared" si="61"/>
        <v>8.0673788519223457</v>
      </c>
      <c r="I499" s="10">
        <f t="shared" si="62"/>
        <v>1.1963586196549225</v>
      </c>
      <c r="J499" s="4">
        <f t="shared" si="63"/>
        <v>495.35954533851657</v>
      </c>
      <c r="K499" s="4">
        <f t="shared" si="58"/>
        <v>111.36179698271583</v>
      </c>
      <c r="L499" s="42">
        <f>Pressure!Q499</f>
        <v>0.22891821303492943</v>
      </c>
      <c r="M499" s="10">
        <f t="shared" si="57"/>
        <v>0.23696738017636276</v>
      </c>
      <c r="N499" s="10">
        <f t="shared" si="64"/>
        <v>2.5992897854448858</v>
      </c>
    </row>
    <row r="500" spans="3:14">
      <c r="C500" s="4">
        <f>Pressure!AB500*1000000</f>
        <v>5095576.251473981</v>
      </c>
      <c r="D500" s="78">
        <f>Pressure!I500</f>
        <v>8.1256230789298584E-5</v>
      </c>
      <c r="E500" s="40">
        <f>Pressure!H500</f>
        <v>81.256230789298584</v>
      </c>
      <c r="F500" s="10">
        <f t="shared" si="60"/>
        <v>4.5</v>
      </c>
      <c r="G500" s="4">
        <f t="shared" si="59"/>
        <v>215939.81235430634</v>
      </c>
      <c r="H500" s="42">
        <f t="shared" si="61"/>
        <v>8.067245536991031</v>
      </c>
      <c r="I500" s="10">
        <f t="shared" si="62"/>
        <v>1.1963567352720113</v>
      </c>
      <c r="J500" s="4">
        <f t="shared" si="63"/>
        <v>495.34829987679757</v>
      </c>
      <c r="K500" s="4">
        <f t="shared" si="58"/>
        <v>111.35926889006734</v>
      </c>
      <c r="L500" s="42">
        <f>Pressure!Q500</f>
        <v>0.22939658539176114</v>
      </c>
      <c r="M500" s="10">
        <f t="shared" si="57"/>
        <v>0.23696362342365629</v>
      </c>
      <c r="N500" s="10">
        <f t="shared" si="64"/>
        <v>2.5992897854448858</v>
      </c>
    </row>
    <row r="501" spans="3:14">
      <c r="C501" s="4">
        <f>Pressure!AB501*1000000</f>
        <v>5095466.0589390714</v>
      </c>
      <c r="D501" s="78">
        <f>Pressure!I501</f>
        <v>8.1256230789298584E-5</v>
      </c>
      <c r="E501" s="40">
        <f>Pressure!H501</f>
        <v>81.256230789298584</v>
      </c>
      <c r="F501" s="10">
        <f t="shared" si="60"/>
        <v>4.5</v>
      </c>
      <c r="G501" s="4">
        <f t="shared" si="59"/>
        <v>215935.14262626442</v>
      </c>
      <c r="H501" s="42">
        <f t="shared" si="61"/>
        <v>8.0671090781886932</v>
      </c>
      <c r="I501" s="10">
        <f t="shared" si="62"/>
        <v>1.1963548063758738</v>
      </c>
      <c r="J501" s="4">
        <f t="shared" si="63"/>
        <v>495.33678926490825</v>
      </c>
      <c r="K501" s="4">
        <f t="shared" si="58"/>
        <v>111.35668118899966</v>
      </c>
      <c r="L501" s="42">
        <f>Pressure!Q501</f>
        <v>0.22987496097256577</v>
      </c>
      <c r="M501" s="10">
        <f t="shared" si="57"/>
        <v>0.23695977745632493</v>
      </c>
      <c r="N501" s="10">
        <f t="shared" si="64"/>
        <v>2.5992897854448858</v>
      </c>
    </row>
    <row r="502" spans="3:14">
      <c r="C502" s="4">
        <f>Pressure!AB502*1000000</f>
        <v>5095353.328119616</v>
      </c>
      <c r="D502" s="78">
        <f>Pressure!I502</f>
        <v>8.1256230789298584E-5</v>
      </c>
      <c r="E502" s="40">
        <f>Pressure!H502</f>
        <v>81.256230789298584</v>
      </c>
      <c r="F502" s="10">
        <f t="shared" si="60"/>
        <v>4.5</v>
      </c>
      <c r="G502" s="4">
        <f t="shared" si="59"/>
        <v>215930.36533105807</v>
      </c>
      <c r="H502" s="42">
        <f t="shared" si="61"/>
        <v>8.0669694755180981</v>
      </c>
      <c r="I502" s="10">
        <f t="shared" si="62"/>
        <v>1.1963528329612885</v>
      </c>
      <c r="J502" s="4">
        <f t="shared" si="63"/>
        <v>495.32501350612569</v>
      </c>
      <c r="K502" s="4">
        <f t="shared" si="58"/>
        <v>111.35403388024947</v>
      </c>
      <c r="L502" s="42">
        <f>Pressure!Q502</f>
        <v>0.23035333985345252</v>
      </c>
      <c r="M502" s="10">
        <f t="shared" si="57"/>
        <v>0.23695584227343069</v>
      </c>
      <c r="N502" s="10">
        <f t="shared" si="64"/>
        <v>2.5992897854448858</v>
      </c>
    </row>
    <row r="503" spans="3:14">
      <c r="C503" s="4">
        <f>Pressure!AB503*1000000</f>
        <v>5095238.059048106</v>
      </c>
      <c r="D503" s="78">
        <f>Pressure!I503</f>
        <v>8.1256230789298584E-5</v>
      </c>
      <c r="E503" s="40">
        <f>Pressure!H503</f>
        <v>81.256230789298584</v>
      </c>
      <c r="F503" s="10">
        <f t="shared" si="60"/>
        <v>4.5</v>
      </c>
      <c r="G503" s="4">
        <f t="shared" si="59"/>
        <v>215925.48047006421</v>
      </c>
      <c r="H503" s="42">
        <f t="shared" si="61"/>
        <v>8.0668267289825373</v>
      </c>
      <c r="I503" s="10">
        <f t="shared" si="62"/>
        <v>1.1963508150229205</v>
      </c>
      <c r="J503" s="4">
        <f t="shared" si="63"/>
        <v>495.31297260384429</v>
      </c>
      <c r="K503" s="4">
        <f t="shared" si="58"/>
        <v>111.3513269645799</v>
      </c>
      <c r="L503" s="42">
        <f>Pressure!Q503</f>
        <v>0.23083172211053621</v>
      </c>
      <c r="M503" s="10">
        <f t="shared" si="57"/>
        <v>0.23695181787406283</v>
      </c>
      <c r="N503" s="10">
        <f t="shared" si="64"/>
        <v>2.5992897854448858</v>
      </c>
    </row>
    <row r="504" spans="3:14">
      <c r="C504" s="4">
        <f>Pressure!AB504*1000000</f>
        <v>5095120.2517581945</v>
      </c>
      <c r="D504" s="78">
        <f>Pressure!I504</f>
        <v>8.1256230789298584E-5</v>
      </c>
      <c r="E504" s="40">
        <f>Pressure!H504</f>
        <v>81.256230789298584</v>
      </c>
      <c r="F504" s="10">
        <f t="shared" si="60"/>
        <v>4.5</v>
      </c>
      <c r="G504" s="4">
        <f t="shared" si="59"/>
        <v>215920.48804470897</v>
      </c>
      <c r="H504" s="42">
        <f t="shared" si="61"/>
        <v>8.066680838585933</v>
      </c>
      <c r="I504" s="10">
        <f t="shared" si="62"/>
        <v>1.1963487525553209</v>
      </c>
      <c r="J504" s="4">
        <f t="shared" si="63"/>
        <v>495.30066656157902</v>
      </c>
      <c r="K504" s="4">
        <f t="shared" si="58"/>
        <v>111.34856044278114</v>
      </c>
      <c r="L504" s="42">
        <f>Pressure!Q504</f>
        <v>0.23131010781993727</v>
      </c>
      <c r="M504" s="10">
        <f t="shared" si="57"/>
        <v>0.23694770425726011</v>
      </c>
      <c r="N504" s="10">
        <f t="shared" si="64"/>
        <v>2.5992897854448858</v>
      </c>
    </row>
    <row r="505" spans="3:14">
      <c r="C505" s="4">
        <f>Pressure!AB505*1000000</f>
        <v>5094999.9062844934</v>
      </c>
      <c r="D505" s="78">
        <f>Pressure!I505</f>
        <v>8.1256230789298584E-5</v>
      </c>
      <c r="E505" s="40">
        <f>Pressure!H505</f>
        <v>81.256230789298584</v>
      </c>
      <c r="F505" s="10">
        <f t="shared" si="60"/>
        <v>4.5</v>
      </c>
      <c r="G505" s="4">
        <f t="shared" si="59"/>
        <v>215915.38805645911</v>
      </c>
      <c r="H505" s="42">
        <f t="shared" si="61"/>
        <v>8.0665318043325431</v>
      </c>
      <c r="I505" s="10">
        <f t="shared" si="62"/>
        <v>1.1963466455529246</v>
      </c>
      <c r="J505" s="4">
        <f t="shared" si="63"/>
        <v>495.28809538294564</v>
      </c>
      <c r="K505" s="4">
        <f t="shared" si="58"/>
        <v>111.34573431566604</v>
      </c>
      <c r="L505" s="42">
        <f>Pressure!Q505</f>
        <v>0.23178849705778201</v>
      </c>
      <c r="M505" s="10">
        <f t="shared" si="57"/>
        <v>0.23694350142210269</v>
      </c>
      <c r="N505" s="10">
        <f t="shared" si="64"/>
        <v>2.5992897854448858</v>
      </c>
    </row>
    <row r="506" spans="3:14">
      <c r="C506" s="4">
        <f>Pressure!AB506*1000000</f>
        <v>5094877.0226627029</v>
      </c>
      <c r="D506" s="78">
        <f>Pressure!I506</f>
        <v>8.1256230789298584E-5</v>
      </c>
      <c r="E506" s="40">
        <f>Pressure!H506</f>
        <v>81.256230789298584</v>
      </c>
      <c r="F506" s="10">
        <f t="shared" si="60"/>
        <v>4.5</v>
      </c>
      <c r="G506" s="4">
        <f t="shared" si="59"/>
        <v>215910.18050682757</v>
      </c>
      <c r="H506" s="42">
        <f t="shared" si="61"/>
        <v>8.0663796262271479</v>
      </c>
      <c r="I506" s="10">
        <f t="shared" si="62"/>
        <v>1.1963444940100518</v>
      </c>
      <c r="J506" s="4">
        <f t="shared" si="63"/>
        <v>495.2752590716733</v>
      </c>
      <c r="K506" s="4">
        <f t="shared" si="58"/>
        <v>111.34284858407295</v>
      </c>
      <c r="L506" s="42">
        <f>Pressure!Q506</f>
        <v>0.23226688990020264</v>
      </c>
      <c r="M506" s="10">
        <f t="shared" ref="M506:M526" si="65">(J506+J505)/2*(L506-L505)</f>
        <v>0.23693920936762833</v>
      </c>
      <c r="N506" s="10">
        <f t="shared" si="64"/>
        <v>2.5992897854448858</v>
      </c>
    </row>
    <row r="507" spans="3:14">
      <c r="C507" s="4">
        <f>Pressure!AB507*1000000</f>
        <v>5094751.60092963</v>
      </c>
      <c r="D507" s="78">
        <f>Pressure!I507</f>
        <v>8.1256230789298584E-5</v>
      </c>
      <c r="E507" s="40">
        <f>Pressure!H507</f>
        <v>81.256230789298584</v>
      </c>
      <c r="F507" s="10">
        <f t="shared" si="60"/>
        <v>4.5</v>
      </c>
      <c r="G507" s="4">
        <f t="shared" si="59"/>
        <v>215904.86539737415</v>
      </c>
      <c r="H507" s="42">
        <f t="shared" si="61"/>
        <v>8.0662243042750639</v>
      </c>
      <c r="I507" s="10">
        <f t="shared" si="62"/>
        <v>1.1963422979209086</v>
      </c>
      <c r="J507" s="4">
        <f t="shared" si="63"/>
        <v>495.26215763160684</v>
      </c>
      <c r="K507" s="4">
        <f t="shared" ref="K507:K526" si="66">J507/4.4482</f>
        <v>111.33990324886625</v>
      </c>
      <c r="L507" s="42">
        <f>Pressure!Q507</f>
        <v>0.23274528642333736</v>
      </c>
      <c r="M507" s="10">
        <f t="shared" si="65"/>
        <v>0.23693482809284927</v>
      </c>
      <c r="N507" s="10">
        <f t="shared" si="64"/>
        <v>2.5992897854448858</v>
      </c>
    </row>
    <row r="508" spans="3:14">
      <c r="C508" s="4">
        <f>Pressure!AB508*1000000</f>
        <v>5094623.6411230881</v>
      </c>
      <c r="D508" s="78">
        <f>Pressure!I508</f>
        <v>8.1256230789298584E-5</v>
      </c>
      <c r="E508" s="40">
        <f>Pressure!H508</f>
        <v>81.256230789298584</v>
      </c>
      <c r="F508" s="10">
        <f t="shared" si="60"/>
        <v>4.5</v>
      </c>
      <c r="G508" s="4">
        <f t="shared" si="59"/>
        <v>215899.44272970126</v>
      </c>
      <c r="H508" s="42">
        <f t="shared" si="61"/>
        <v>8.066065838482027</v>
      </c>
      <c r="I508" s="10">
        <f t="shared" si="62"/>
        <v>1.1963400572795848</v>
      </c>
      <c r="J508" s="4">
        <f t="shared" si="63"/>
        <v>495.24879106669613</v>
      </c>
      <c r="K508" s="4">
        <f t="shared" si="66"/>
        <v>111.33689831093389</v>
      </c>
      <c r="L508" s="42">
        <f>Pressure!Q508</f>
        <v>0.23322368670333063</v>
      </c>
      <c r="M508" s="10">
        <f t="shared" si="65"/>
        <v>0.23693035759683309</v>
      </c>
      <c r="N508" s="10">
        <f t="shared" si="64"/>
        <v>2.5992897854448858</v>
      </c>
    </row>
    <row r="509" spans="3:14">
      <c r="C509" s="4">
        <f>Pressure!AB509*1000000</f>
        <v>5094493.1432818845</v>
      </c>
      <c r="D509" s="78">
        <f>Pressure!I509</f>
        <v>8.1256230789298584E-5</v>
      </c>
      <c r="E509" s="40">
        <f>Pressure!H509</f>
        <v>81.256230789298584</v>
      </c>
      <c r="F509" s="10">
        <f t="shared" si="60"/>
        <v>4.5</v>
      </c>
      <c r="G509" s="4">
        <f t="shared" si="59"/>
        <v>215893.91250545351</v>
      </c>
      <c r="H509" s="42">
        <f t="shared" si="61"/>
        <v>8.0659042288541674</v>
      </c>
      <c r="I509" s="10">
        <f t="shared" si="62"/>
        <v>1.1963377720800539</v>
      </c>
      <c r="J509" s="4">
        <f t="shared" si="63"/>
        <v>495.23515938099501</v>
      </c>
      <c r="K509" s="4">
        <f t="shared" si="66"/>
        <v>111.33383377118723</v>
      </c>
      <c r="L509" s="42">
        <f>Pressure!Q509</f>
        <v>0.23370209081633309</v>
      </c>
      <c r="M509" s="10">
        <f t="shared" si="65"/>
        <v>0.23692579787854828</v>
      </c>
      <c r="N509" s="10">
        <f t="shared" si="64"/>
        <v>2.5992897854448858</v>
      </c>
    </row>
    <row r="510" spans="3:14">
      <c r="C510" s="4">
        <f>Pressure!AB510*1000000</f>
        <v>5094360.1074461257</v>
      </c>
      <c r="D510" s="78">
        <f>Pressure!I510</f>
        <v>8.1256230789298584E-5</v>
      </c>
      <c r="E510" s="40">
        <f>Pressure!H510</f>
        <v>81.256230789298584</v>
      </c>
      <c r="F510" s="10">
        <f t="shared" si="60"/>
        <v>4.5</v>
      </c>
      <c r="G510" s="4">
        <f t="shared" si="59"/>
        <v>215888.27472633054</v>
      </c>
      <c r="H510" s="42">
        <f t="shared" si="61"/>
        <v>8.0657394753983844</v>
      </c>
      <c r="I510" s="10">
        <f t="shared" si="62"/>
        <v>1.1963354423161787</v>
      </c>
      <c r="J510" s="4">
        <f t="shared" si="63"/>
        <v>495.22126257869303</v>
      </c>
      <c r="K510" s="4">
        <f t="shared" si="66"/>
        <v>111.33070963056811</v>
      </c>
      <c r="L510" s="42">
        <f>Pressure!Q510</f>
        <v>0.23418049883850184</v>
      </c>
      <c r="M510" s="10">
        <f t="shared" si="65"/>
        <v>0.23692114893703686</v>
      </c>
      <c r="N510" s="10">
        <f t="shared" si="64"/>
        <v>2.5992897854448858</v>
      </c>
    </row>
    <row r="511" spans="3:14">
      <c r="C511" s="4">
        <f>Pressure!AB511*1000000</f>
        <v>5094224.5336567219</v>
      </c>
      <c r="D511" s="78">
        <f>Pressure!I511</f>
        <v>8.1256230789298584E-5</v>
      </c>
      <c r="E511" s="40">
        <f>Pressure!H511</f>
        <v>81.256230789298584</v>
      </c>
      <c r="F511" s="10">
        <f t="shared" si="60"/>
        <v>4.5</v>
      </c>
      <c r="G511" s="4">
        <f t="shared" si="59"/>
        <v>215882.52939406599</v>
      </c>
      <c r="H511" s="42">
        <f t="shared" si="61"/>
        <v>8.0655715781217463</v>
      </c>
      <c r="I511" s="10">
        <f t="shared" si="62"/>
        <v>1.1963330679817021</v>
      </c>
      <c r="J511" s="4">
        <f t="shared" si="63"/>
        <v>495.20710066406355</v>
      </c>
      <c r="K511" s="4">
        <f t="shared" si="66"/>
        <v>111.32752589003722</v>
      </c>
      <c r="L511" s="42">
        <f>Pressure!Q511</f>
        <v>0.23465891084600049</v>
      </c>
      <c r="M511" s="10">
        <f t="shared" si="65"/>
        <v>0.23691641077128564</v>
      </c>
      <c r="N511" s="10">
        <f t="shared" si="64"/>
        <v>2.5992897854448858</v>
      </c>
    </row>
    <row r="512" spans="3:14">
      <c r="C512" s="4">
        <f>Pressure!AB512*1000000</f>
        <v>5094086.4219558602</v>
      </c>
      <c r="D512" s="78">
        <f>Pressure!I512</f>
        <v>8.1256230789298584E-5</v>
      </c>
      <c r="E512" s="40">
        <f>Pressure!H512</f>
        <v>81.256230789298584</v>
      </c>
      <c r="F512" s="10">
        <f t="shared" si="60"/>
        <v>4.5</v>
      </c>
      <c r="G512" s="4">
        <f t="shared" si="59"/>
        <v>215876.67651044769</v>
      </c>
      <c r="H512" s="42">
        <f t="shared" si="61"/>
        <v>8.065400537032076</v>
      </c>
      <c r="I512" s="10">
        <f t="shared" si="62"/>
        <v>1.1963306490702559</v>
      </c>
      <c r="J512" s="4">
        <f t="shared" si="63"/>
        <v>495.19267364151341</v>
      </c>
      <c r="K512" s="4">
        <f t="shared" si="66"/>
        <v>111.32428255058528</v>
      </c>
      <c r="L512" s="42">
        <f>Pressure!Q512</f>
        <v>0.23513732691499925</v>
      </c>
      <c r="M512" s="10">
        <f t="shared" si="65"/>
        <v>0.23691158338026685</v>
      </c>
      <c r="N512" s="10">
        <f t="shared" si="64"/>
        <v>2.5992897854448858</v>
      </c>
    </row>
    <row r="513" spans="3:14">
      <c r="C513" s="4">
        <f>Pressure!AB513*1000000</f>
        <v>5093945.7723865975</v>
      </c>
      <c r="D513" s="78">
        <f>Pressure!I513</f>
        <v>8.1256230789298584E-5</v>
      </c>
      <c r="E513" s="40">
        <f>Pressure!H513</f>
        <v>81.256230789298584</v>
      </c>
      <c r="F513" s="10">
        <f t="shared" si="60"/>
        <v>4.5</v>
      </c>
      <c r="G513" s="4">
        <f t="shared" si="59"/>
        <v>215870.71607730031</v>
      </c>
      <c r="H513" s="42">
        <f t="shared" si="61"/>
        <v>8.0652263521374259</v>
      </c>
      <c r="I513" s="10">
        <f t="shared" si="62"/>
        <v>1.1963281855753525</v>
      </c>
      <c r="J513" s="4">
        <f t="shared" si="63"/>
        <v>495.17798151554024</v>
      </c>
      <c r="K513" s="4">
        <f t="shared" si="66"/>
        <v>111.32097961322339</v>
      </c>
      <c r="L513" s="42">
        <f>Pressure!Q513</f>
        <v>0.23561574712167513</v>
      </c>
      <c r="M513" s="10">
        <f t="shared" si="65"/>
        <v>0.23690666676298117</v>
      </c>
      <c r="N513" s="10">
        <f t="shared" si="64"/>
        <v>2.5992897854448858</v>
      </c>
    </row>
    <row r="514" spans="3:14">
      <c r="C514" s="4">
        <f>Pressure!AB514*1000000</f>
        <v>5093802.5849931827</v>
      </c>
      <c r="D514" s="78">
        <f>Pressure!I514</f>
        <v>8.1256230789298584E-5</v>
      </c>
      <c r="E514" s="40">
        <f>Pressure!H514</f>
        <v>81.256230789298584</v>
      </c>
      <c r="F514" s="10">
        <f t="shared" si="60"/>
        <v>4.5</v>
      </c>
      <c r="G514" s="4">
        <f t="shared" si="59"/>
        <v>215864.648096499</v>
      </c>
      <c r="H514" s="42">
        <f t="shared" si="61"/>
        <v>8.0650490234465018</v>
      </c>
      <c r="I514" s="10">
        <f t="shared" si="62"/>
        <v>1.1963256774903921</v>
      </c>
      <c r="J514" s="4">
        <f t="shared" si="63"/>
        <v>495.16302429076643</v>
      </c>
      <c r="K514" s="4">
        <f t="shared" si="66"/>
        <v>111.31761707899071</v>
      </c>
      <c r="L514" s="42">
        <f>Pressure!Q514</f>
        <v>0.23609417154221199</v>
      </c>
      <c r="M514" s="10">
        <f t="shared" si="65"/>
        <v>0.23690166091838688</v>
      </c>
      <c r="N514" s="10">
        <f t="shared" si="64"/>
        <v>2.5992897854448858</v>
      </c>
    </row>
    <row r="515" spans="3:14">
      <c r="C515" s="4">
        <f>Pressure!AB515*1000000</f>
        <v>5093656.85982092</v>
      </c>
      <c r="D515" s="78">
        <f>Pressure!I515</f>
        <v>8.1256230789298584E-5</v>
      </c>
      <c r="E515" s="40">
        <f>Pressure!H515</f>
        <v>81.256230789298584</v>
      </c>
      <c r="F515" s="10">
        <f t="shared" si="60"/>
        <v>4.5</v>
      </c>
      <c r="G515" s="4">
        <f t="shared" si="59"/>
        <v>215858.47256996369</v>
      </c>
      <c r="H515" s="42">
        <f t="shared" si="61"/>
        <v>8.0648685509684839</v>
      </c>
      <c r="I515" s="10">
        <f t="shared" si="62"/>
        <v>1.196323124808659</v>
      </c>
      <c r="J515" s="4">
        <f t="shared" si="63"/>
        <v>495.1478019719242</v>
      </c>
      <c r="K515" s="4">
        <f t="shared" si="66"/>
        <v>111.31419494895108</v>
      </c>
      <c r="L515" s="42">
        <f>Pressure!Q515</f>
        <v>0.23657260025280069</v>
      </c>
      <c r="M515" s="10">
        <f t="shared" si="65"/>
        <v>0.23689656584544555</v>
      </c>
      <c r="N515" s="10">
        <f t="shared" si="64"/>
        <v>2.5992897854448858</v>
      </c>
    </row>
    <row r="516" spans="3:14">
      <c r="C516" s="4">
        <f>Pressure!AB516*1000000</f>
        <v>5093508.5969160581</v>
      </c>
      <c r="D516" s="78">
        <f>Pressure!I516</f>
        <v>8.1256230789298584E-5</v>
      </c>
      <c r="E516" s="40">
        <f>Pressure!H516</f>
        <v>81.256230789298584</v>
      </c>
      <c r="F516" s="10">
        <f t="shared" si="60"/>
        <v>4.5</v>
      </c>
      <c r="G516" s="4">
        <f t="shared" si="59"/>
        <v>215852.18949965428</v>
      </c>
      <c r="H516" s="42">
        <f t="shared" si="61"/>
        <v>8.064684934712874</v>
      </c>
      <c r="I516" s="10">
        <f t="shared" si="62"/>
        <v>1.19632052752332</v>
      </c>
      <c r="J516" s="4">
        <f t="shared" si="63"/>
        <v>495.13231456384477</v>
      </c>
      <c r="K516" s="4">
        <f t="shared" si="66"/>
        <v>111.31071322419064</v>
      </c>
      <c r="L516" s="42">
        <f>Pressure!Q516</f>
        <v>0.2370510333296392</v>
      </c>
      <c r="M516" s="10">
        <f t="shared" si="65"/>
        <v>0.23689138154310216</v>
      </c>
      <c r="N516" s="10">
        <f t="shared" si="64"/>
        <v>2.5992897854448858</v>
      </c>
    </row>
    <row r="517" spans="3:14">
      <c r="C517" s="4">
        <f>Pressure!AB517*1000000</f>
        <v>5093357.7963260878</v>
      </c>
      <c r="D517" s="78">
        <f>Pressure!I517</f>
        <v>8.1256230789298584E-5</v>
      </c>
      <c r="E517" s="40">
        <f>Pressure!H517</f>
        <v>81.256230789298584</v>
      </c>
      <c r="F517" s="10">
        <f t="shared" si="60"/>
        <v>4.5</v>
      </c>
      <c r="G517" s="4">
        <f t="shared" si="59"/>
        <v>215845.79888758334</v>
      </c>
      <c r="H517" s="42">
        <f t="shared" si="61"/>
        <v>8.0644981746898967</v>
      </c>
      <c r="I517" s="10">
        <f t="shared" si="62"/>
        <v>1.1963178856274299</v>
      </c>
      <c r="J517" s="4">
        <f t="shared" si="63"/>
        <v>495.11656207148894</v>
      </c>
      <c r="K517" s="4">
        <f t="shared" si="66"/>
        <v>111.30717190582459</v>
      </c>
      <c r="L517" s="42">
        <f>Pressure!Q517</f>
        <v>0.23752947084893269</v>
      </c>
      <c r="M517" s="10">
        <f t="shared" si="65"/>
        <v>0.23688610801028978</v>
      </c>
      <c r="N517" s="10">
        <f t="shared" si="64"/>
        <v>2.5992897854448858</v>
      </c>
    </row>
    <row r="518" spans="3:14">
      <c r="C518" s="4">
        <f>Pressure!AB518*1000000</f>
        <v>5093204.458099491</v>
      </c>
      <c r="D518" s="78">
        <f>Pressure!I518</f>
        <v>8.1256230789298584E-5</v>
      </c>
      <c r="E518" s="40">
        <f>Pressure!H518</f>
        <v>81.256230789298584</v>
      </c>
      <c r="F518" s="10">
        <f t="shared" si="60"/>
        <v>4.5</v>
      </c>
      <c r="G518" s="4">
        <f t="shared" si="59"/>
        <v>215839.30073580542</v>
      </c>
      <c r="H518" s="42">
        <f t="shared" si="61"/>
        <v>8.0643082709101659</v>
      </c>
      <c r="I518" s="10">
        <f t="shared" si="62"/>
        <v>1.1963151991139267</v>
      </c>
      <c r="J518" s="4">
        <f t="shared" si="63"/>
        <v>495.10054449992106</v>
      </c>
      <c r="K518" s="4">
        <f t="shared" si="66"/>
        <v>111.30357099499147</v>
      </c>
      <c r="L518" s="42">
        <f>Pressure!Q518</f>
        <v>0.23800791288689374</v>
      </c>
      <c r="M518" s="10">
        <f t="shared" si="65"/>
        <v>0.23688074524595812</v>
      </c>
      <c r="N518" s="10">
        <f t="shared" si="64"/>
        <v>2.5992897854448858</v>
      </c>
    </row>
    <row r="519" spans="3:14">
      <c r="C519" s="4">
        <f>Pressure!AB519*1000000</f>
        <v>5093048.5822857814</v>
      </c>
      <c r="D519" s="78">
        <f>Pressure!I519</f>
        <v>8.1256230789298584E-5</v>
      </c>
      <c r="E519" s="40">
        <f>Pressure!H519</f>
        <v>81.256230789298584</v>
      </c>
      <c r="F519" s="10">
        <f t="shared" si="60"/>
        <v>4.5</v>
      </c>
      <c r="G519" s="4">
        <f t="shared" si="59"/>
        <v>215832.69504641881</v>
      </c>
      <c r="H519" s="42">
        <f t="shared" si="61"/>
        <v>8.0641152233847322</v>
      </c>
      <c r="I519" s="10">
        <f t="shared" si="62"/>
        <v>1.1963124679756321</v>
      </c>
      <c r="J519" s="4">
        <f t="shared" si="63"/>
        <v>495.0842618543133</v>
      </c>
      <c r="K519" s="4">
        <f t="shared" si="66"/>
        <v>111.29991049285402</v>
      </c>
      <c r="L519" s="42">
        <f>Pressure!Q519</f>
        <v>0.23848635951974234</v>
      </c>
      <c r="M519" s="10">
        <f t="shared" si="65"/>
        <v>0.23687529324901338</v>
      </c>
      <c r="N519" s="10">
        <f t="shared" si="64"/>
        <v>2.5992897854448858</v>
      </c>
    </row>
    <row r="520" spans="3:14">
      <c r="C520" s="4">
        <f>Pressure!AB520*1000000</f>
        <v>5092890.1689355178</v>
      </c>
      <c r="D520" s="78">
        <f>Pressure!I520</f>
        <v>8.1256230789298584E-5</v>
      </c>
      <c r="E520" s="40">
        <f>Pressure!H520</f>
        <v>81.256230789298584</v>
      </c>
      <c r="F520" s="10">
        <f t="shared" si="60"/>
        <v>4.5</v>
      </c>
      <c r="G520" s="4">
        <f t="shared" si="59"/>
        <v>215825.98182156606</v>
      </c>
      <c r="H520" s="42">
        <f t="shared" si="61"/>
        <v>8.0639190321251082</v>
      </c>
      <c r="I520" s="10">
        <f t="shared" si="62"/>
        <v>1.1963096922052525</v>
      </c>
      <c r="J520" s="4">
        <f t="shared" si="63"/>
        <v>495.0677141399471</v>
      </c>
      <c r="K520" s="4">
        <f t="shared" si="66"/>
        <v>111.2961904005996</v>
      </c>
      <c r="L520" s="42">
        <f>Pressure!Q520</f>
        <v>0.2389648108237061</v>
      </c>
      <c r="M520" s="10">
        <f t="shared" si="65"/>
        <v>0.23686975201837457</v>
      </c>
      <c r="N520" s="10">
        <f t="shared" si="64"/>
        <v>2.5992897854448858</v>
      </c>
    </row>
    <row r="521" spans="3:14">
      <c r="C521" s="4">
        <f>Pressure!AB521*1000000</f>
        <v>5092729.2181003755</v>
      </c>
      <c r="D521" s="78">
        <f>Pressure!I521</f>
        <v>8.1256230789298584E-5</v>
      </c>
      <c r="E521" s="40">
        <f>Pressure!H521</f>
        <v>81.256230789298584</v>
      </c>
      <c r="F521" s="10">
        <f t="shared" si="60"/>
        <v>4.5</v>
      </c>
      <c r="G521" s="4">
        <f t="shared" si="59"/>
        <v>215819.16106343715</v>
      </c>
      <c r="H521" s="42">
        <f t="shared" si="61"/>
        <v>8.0637196971433713</v>
      </c>
      <c r="I521" s="10">
        <f t="shared" si="62"/>
        <v>1.1963068717953789</v>
      </c>
      <c r="J521" s="4">
        <f t="shared" si="63"/>
        <v>495.05090136222026</v>
      </c>
      <c r="K521" s="4">
        <f t="shared" si="66"/>
        <v>111.29241071944163</v>
      </c>
      <c r="L521" s="42">
        <f>Pressure!Q521</f>
        <v>0.23944326687502032</v>
      </c>
      <c r="M521" s="10">
        <f t="shared" si="65"/>
        <v>0.23686412155293415</v>
      </c>
      <c r="N521" s="10">
        <f t="shared" si="64"/>
        <v>2.5992897854448858</v>
      </c>
    </row>
    <row r="522" spans="3:14">
      <c r="C522" s="4">
        <f>Pressure!AB522*1000000</f>
        <v>5092565.7298331661</v>
      </c>
      <c r="D522" s="78">
        <f>Pressure!I522</f>
        <v>8.1256230789298584E-5</v>
      </c>
      <c r="E522" s="40">
        <f>Pressure!H522</f>
        <v>81.256230789298584</v>
      </c>
      <c r="F522" s="10">
        <f t="shared" si="60"/>
        <v>4.5</v>
      </c>
      <c r="G522" s="4">
        <f t="shared" si="59"/>
        <v>215812.23277427</v>
      </c>
      <c r="H522" s="42">
        <f t="shared" si="61"/>
        <v>8.0635172184521462</v>
      </c>
      <c r="I522" s="10">
        <f t="shared" si="62"/>
        <v>1.1963040067384887</v>
      </c>
      <c r="J522" s="4">
        <f t="shared" si="63"/>
        <v>495.03382352664954</v>
      </c>
      <c r="K522" s="4">
        <f t="shared" si="66"/>
        <v>111.28857145062038</v>
      </c>
      <c r="L522" s="42">
        <f>Pressure!Q522</f>
        <v>0.23992172774992815</v>
      </c>
      <c r="M522" s="10">
        <f t="shared" si="65"/>
        <v>0.23685840185160179</v>
      </c>
      <c r="N522" s="10">
        <f t="shared" si="64"/>
        <v>2.5992897854448858</v>
      </c>
    </row>
    <row r="523" spans="3:14">
      <c r="C523" s="4">
        <f>Pressure!AB523*1000000</f>
        <v>5092399.7041875347</v>
      </c>
      <c r="D523" s="78">
        <f>Pressure!I523</f>
        <v>8.1256230789298584E-5</v>
      </c>
      <c r="E523" s="40">
        <f>Pressure!H523</f>
        <v>81.256230789298584</v>
      </c>
      <c r="F523" s="10">
        <f t="shared" si="60"/>
        <v>4.5</v>
      </c>
      <c r="G523" s="4">
        <f t="shared" si="59"/>
        <v>215805.19695633807</v>
      </c>
      <c r="H523" s="42">
        <f t="shared" si="61"/>
        <v>8.0633115960642812</v>
      </c>
      <c r="I523" s="10">
        <f t="shared" si="62"/>
        <v>1.1963010970269388</v>
      </c>
      <c r="J523" s="4">
        <f t="shared" si="63"/>
        <v>495.01648063883857</v>
      </c>
      <c r="K523" s="4">
        <f t="shared" si="66"/>
        <v>111.28467259539558</v>
      </c>
      <c r="L523" s="42">
        <f>Pressure!Q523</f>
        <v>0.24040019352468067</v>
      </c>
      <c r="M523" s="10">
        <f t="shared" si="65"/>
        <v>0.23685259291325586</v>
      </c>
      <c r="N523" s="10">
        <f t="shared" si="64"/>
        <v>2.5992897854448858</v>
      </c>
    </row>
    <row r="524" spans="3:14">
      <c r="C524" s="4">
        <f>Pressure!AB524*1000000</f>
        <v>5092231.1412184425</v>
      </c>
      <c r="D524" s="78">
        <f>Pressure!I524</f>
        <v>8.1256230789298584E-5</v>
      </c>
      <c r="E524" s="40">
        <f>Pressure!H524</f>
        <v>81.256230789298584</v>
      </c>
      <c r="F524" s="10">
        <f t="shared" si="60"/>
        <v>4.5</v>
      </c>
      <c r="G524" s="4">
        <f t="shared" si="59"/>
        <v>215798.05361197048</v>
      </c>
      <c r="H524" s="42">
        <f t="shared" si="61"/>
        <v>8.0631028299934009</v>
      </c>
      <c r="I524" s="10">
        <f t="shared" si="62"/>
        <v>1.1962981426529757</v>
      </c>
      <c r="J524" s="4">
        <f t="shared" si="63"/>
        <v>494.99887270452865</v>
      </c>
      <c r="K524" s="4">
        <f t="shared" si="66"/>
        <v>111.28071415505792</v>
      </c>
      <c r="L524" s="42">
        <f>Pressure!Q524</f>
        <v>0.240878664275537</v>
      </c>
      <c r="M524" s="10">
        <f t="shared" si="65"/>
        <v>0.23684669473674796</v>
      </c>
      <c r="N524" s="10">
        <f t="shared" si="64"/>
        <v>2.5992897854448858</v>
      </c>
    </row>
    <row r="525" spans="3:14">
      <c r="C525" s="4">
        <f>Pressure!AB525*1000000</f>
        <v>5092060.0409818115</v>
      </c>
      <c r="D525" s="78">
        <f>Pressure!I525</f>
        <v>8.1256230789298584E-5</v>
      </c>
      <c r="E525" s="40">
        <f>Pressure!H525</f>
        <v>81.256230789298584</v>
      </c>
      <c r="F525" s="10">
        <f t="shared" si="60"/>
        <v>4.5</v>
      </c>
      <c r="G525" s="4">
        <f t="shared" si="59"/>
        <v>215790.80274353706</v>
      </c>
      <c r="H525" s="42">
        <f t="shared" si="61"/>
        <v>8.0628909202535031</v>
      </c>
      <c r="I525" s="10">
        <f t="shared" si="62"/>
        <v>1.1962951436087275</v>
      </c>
      <c r="J525" s="4">
        <f t="shared" si="63"/>
        <v>494.98099972956118</v>
      </c>
      <c r="K525" s="4">
        <f t="shared" si="66"/>
        <v>111.27669613092064</v>
      </c>
      <c r="L525" s="42">
        <f>Pressure!Q525</f>
        <v>0.24135714007876449</v>
      </c>
      <c r="M525" s="10">
        <f t="shared" si="65"/>
        <v>0.23684070732097487</v>
      </c>
      <c r="N525" s="10">
        <f t="shared" si="64"/>
        <v>2.5992897854448858</v>
      </c>
    </row>
    <row r="526" spans="3:14">
      <c r="C526" s="4">
        <f>Pressure!AB526*1000000</f>
        <v>5091886.4035345595</v>
      </c>
      <c r="D526" s="78">
        <f>Pressure!I526</f>
        <v>8.1256230789298584E-5</v>
      </c>
      <c r="E526" s="40">
        <f>Pressure!H526</f>
        <v>81.256230789298584</v>
      </c>
      <c r="F526" s="10">
        <f t="shared" si="60"/>
        <v>4.5</v>
      </c>
      <c r="G526" s="4">
        <f t="shared" si="59"/>
        <v>215783.44435344989</v>
      </c>
      <c r="H526" s="42">
        <f t="shared" si="61"/>
        <v>8.0626758668589638</v>
      </c>
      <c r="I526" s="10">
        <f t="shared" si="62"/>
        <v>1.1962920998862054</v>
      </c>
      <c r="J526" s="4">
        <f t="shared" si="63"/>
        <v>494.9628617198818</v>
      </c>
      <c r="K526" s="4">
        <f t="shared" si="66"/>
        <v>111.27261852432035</v>
      </c>
      <c r="L526" s="42">
        <f>Pressure!Q526</f>
        <v>0.24183562101063874</v>
      </c>
      <c r="M526" s="10">
        <f t="shared" si="65"/>
        <v>0.23683463066476035</v>
      </c>
      <c r="N526" s="10">
        <f t="shared" si="64"/>
        <v>2.5992897854448858</v>
      </c>
    </row>
    <row r="527" spans="3:14">
      <c r="C527" s="4">
        <f>Pressure!AB527*1000000</f>
        <v>5091710.2289348915</v>
      </c>
      <c r="D527" s="78">
        <f>Pressure!I527</f>
        <v>8.1256230789298584E-5</v>
      </c>
      <c r="E527" s="40">
        <f>Pressure!H527</f>
        <v>81.256230789298584</v>
      </c>
      <c r="F527" s="10">
        <f t="shared" si="60"/>
        <v>4.5</v>
      </c>
      <c r="G527" s="4">
        <f t="shared" si="59"/>
        <v>215775.97844417556</v>
      </c>
      <c r="H527" s="42">
        <f t="shared" si="61"/>
        <v>8.0624576698249442</v>
      </c>
      <c r="I527" s="10">
        <f t="shared" si="62"/>
        <v>1.1962890114773095</v>
      </c>
      <c r="J527" s="4">
        <f t="shared" si="63"/>
        <v>494.94445868157067</v>
      </c>
      <c r="K527" s="4">
        <f t="shared" ref="K527:K590" si="67">J527/4.4482</f>
        <v>111.26848133662395</v>
      </c>
      <c r="L527" s="42">
        <f>Pressure!Q527</f>
        <v>0.24231410714744381</v>
      </c>
      <c r="M527" s="10">
        <f t="shared" ref="M527:M590" si="68">(J527+J526)/2*(L527-L526)</f>
        <v>0.23682846476697356</v>
      </c>
      <c r="N527" s="10">
        <f t="shared" si="64"/>
        <v>2.5992897854448858</v>
      </c>
    </row>
    <row r="528" spans="3:14">
      <c r="C528" s="4">
        <f>Pressure!AB528*1000000</f>
        <v>5091531.5172417285</v>
      </c>
      <c r="D528" s="78">
        <f>Pressure!I528</f>
        <v>8.1256230789298584E-5</v>
      </c>
      <c r="E528" s="40">
        <f>Pressure!H528</f>
        <v>81.256230789298584</v>
      </c>
      <c r="F528" s="10">
        <f t="shared" si="60"/>
        <v>4.5</v>
      </c>
      <c r="G528" s="4">
        <f t="shared" si="59"/>
        <v>215768.40501821105</v>
      </c>
      <c r="H528" s="42">
        <f t="shared" si="61"/>
        <v>8.0622363291666375</v>
      </c>
      <c r="I528" s="10">
        <f t="shared" si="62"/>
        <v>1.1962858783738168</v>
      </c>
      <c r="J528" s="4">
        <f t="shared" si="63"/>
        <v>494.92579062078261</v>
      </c>
      <c r="K528" s="4">
        <f t="shared" si="67"/>
        <v>111.26428456921511</v>
      </c>
      <c r="L528" s="42">
        <f>Pressure!Q528</f>
        <v>0.24279259856547231</v>
      </c>
      <c r="M528" s="10">
        <f t="shared" si="68"/>
        <v>0.23682220962645306</v>
      </c>
      <c r="N528" s="10">
        <f t="shared" si="64"/>
        <v>2.5992897854448858</v>
      </c>
    </row>
    <row r="529" spans="3:14">
      <c r="C529" s="4">
        <f>Pressure!AB529*1000000</f>
        <v>5091350.2685152646</v>
      </c>
      <c r="D529" s="78">
        <f>Pressure!I529</f>
        <v>8.1256230789298584E-5</v>
      </c>
      <c r="E529" s="40">
        <f>Pressure!H529</f>
        <v>81.256230789298584</v>
      </c>
      <c r="F529" s="10">
        <f t="shared" si="60"/>
        <v>4.5</v>
      </c>
      <c r="G529" s="4">
        <f t="shared" si="59"/>
        <v>215760.72407810722</v>
      </c>
      <c r="H529" s="42">
        <f t="shared" si="61"/>
        <v>8.0620118448999829</v>
      </c>
      <c r="I529" s="10">
        <f t="shared" si="62"/>
        <v>1.1962827005673926</v>
      </c>
      <c r="J529" s="4">
        <f t="shared" si="63"/>
        <v>494.90685754380536</v>
      </c>
      <c r="K529" s="4">
        <f t="shared" si="67"/>
        <v>111.26002822350735</v>
      </c>
      <c r="L529" s="42">
        <f>Pressure!Q529</f>
        <v>0.24327109534102545</v>
      </c>
      <c r="M529" s="10">
        <f t="shared" si="68"/>
        <v>0.23681586524199269</v>
      </c>
      <c r="N529" s="10">
        <f t="shared" si="64"/>
        <v>2.5992897854448858</v>
      </c>
    </row>
    <row r="530" spans="3:14">
      <c r="C530" s="4">
        <f>Pressure!AB530*1000000</f>
        <v>5091166.4828169681</v>
      </c>
      <c r="D530" s="78">
        <f>Pressure!I530</f>
        <v>8.1256230789298584E-5</v>
      </c>
      <c r="E530" s="40">
        <f>Pressure!H530</f>
        <v>81.256230789298584</v>
      </c>
      <c r="F530" s="10">
        <f t="shared" si="60"/>
        <v>4.5</v>
      </c>
      <c r="G530" s="4">
        <f t="shared" si="59"/>
        <v>215752.93562646897</v>
      </c>
      <c r="H530" s="42">
        <f t="shared" si="61"/>
        <v>8.0617842170416747</v>
      </c>
      <c r="I530" s="10">
        <f t="shared" si="62"/>
        <v>1.1962794780495893</v>
      </c>
      <c r="J530" s="4">
        <f t="shared" si="63"/>
        <v>494.88765945705973</v>
      </c>
      <c r="K530" s="4">
        <f t="shared" si="67"/>
        <v>111.25571230094414</v>
      </c>
      <c r="L530" s="42">
        <f>Pressure!Q530</f>
        <v>0.24374959755041328</v>
      </c>
      <c r="M530" s="10">
        <f t="shared" si="68"/>
        <v>0.23680943161243809</v>
      </c>
      <c r="N530" s="10">
        <f t="shared" si="64"/>
        <v>2.5992897854448858</v>
      </c>
    </row>
    <row r="531" spans="3:14">
      <c r="C531" s="4">
        <f>Pressure!AB531*1000000</f>
        <v>5090980.1602089806</v>
      </c>
      <c r="D531" s="78">
        <f>Pressure!I531</f>
        <v>8.1256230789298584E-5</v>
      </c>
      <c r="E531" s="40">
        <f>Pressure!H531</f>
        <v>81.256230789298584</v>
      </c>
      <c r="F531" s="10">
        <f t="shared" si="60"/>
        <v>4.5</v>
      </c>
      <c r="G531" s="4">
        <f t="shared" si="59"/>
        <v>215745.03966592977</v>
      </c>
      <c r="H531" s="42">
        <f t="shared" si="61"/>
        <v>8.0615534456083999</v>
      </c>
      <c r="I531" s="10">
        <f t="shared" si="62"/>
        <v>1.1962762108118372</v>
      </c>
      <c r="J531" s="4">
        <f t="shared" si="63"/>
        <v>494.86819636703723</v>
      </c>
      <c r="K531" s="4">
        <f t="shared" si="67"/>
        <v>111.25133680298485</v>
      </c>
      <c r="L531" s="42">
        <f>Pressure!Q531</f>
        <v>0.24422810526995473</v>
      </c>
      <c r="M531" s="10">
        <f t="shared" si="68"/>
        <v>0.2368029087365891</v>
      </c>
      <c r="N531" s="10">
        <f t="shared" si="64"/>
        <v>2.5992897854448858</v>
      </c>
    </row>
    <row r="532" spans="3:14">
      <c r="C532" s="4">
        <f>Pressure!AB532*1000000</f>
        <v>5090791.3007546244</v>
      </c>
      <c r="D532" s="78">
        <f>Pressure!I532</f>
        <v>8.1256230789298584E-5</v>
      </c>
      <c r="E532" s="40">
        <f>Pressure!H532</f>
        <v>81.256230789298584</v>
      </c>
      <c r="F532" s="10">
        <f t="shared" si="60"/>
        <v>4.5</v>
      </c>
      <c r="G532" s="4">
        <f t="shared" si="59"/>
        <v>215737.03619917305</v>
      </c>
      <c r="H532" s="42">
        <f t="shared" si="61"/>
        <v>8.0613195306174639</v>
      </c>
      <c r="I532" s="10">
        <f t="shared" si="62"/>
        <v>1.1962728988454518</v>
      </c>
      <c r="J532" s="4">
        <f t="shared" si="63"/>
        <v>494.84846828035228</v>
      </c>
      <c r="K532" s="4">
        <f t="shared" si="67"/>
        <v>111.24690173111647</v>
      </c>
      <c r="L532" s="42">
        <f>Pressure!Q532</f>
        <v>0.24470661857597772</v>
      </c>
      <c r="M532" s="10">
        <f t="shared" si="68"/>
        <v>0.23679629661323881</v>
      </c>
      <c r="N532" s="10">
        <f t="shared" si="64"/>
        <v>2.5992897854448858</v>
      </c>
    </row>
    <row r="533" spans="3:14">
      <c r="C533" s="4">
        <f>Pressure!AB533*1000000</f>
        <v>5090599.9045185214</v>
      </c>
      <c r="D533" s="78">
        <f>Pressure!I533</f>
        <v>8.1256230789298584E-5</v>
      </c>
      <c r="E533" s="40">
        <f>Pressure!H533</f>
        <v>81.256230789298584</v>
      </c>
      <c r="F533" s="10">
        <f t="shared" si="60"/>
        <v>4.5</v>
      </c>
      <c r="G533" s="4">
        <f t="shared" si="59"/>
        <v>215728.92522893735</v>
      </c>
      <c r="H533" s="42">
        <f t="shared" si="61"/>
        <v>8.061082472086964</v>
      </c>
      <c r="I533" s="10">
        <f t="shared" si="62"/>
        <v>1.1962695421416369</v>
      </c>
      <c r="J533" s="4">
        <f t="shared" si="63"/>
        <v>494.82847520375526</v>
      </c>
      <c r="K533" s="4">
        <f t="shared" si="67"/>
        <v>111.24240708685655</v>
      </c>
      <c r="L533" s="42">
        <f>Pressure!Q533</f>
        <v>0.24518513754481938</v>
      </c>
      <c r="M533" s="10">
        <f t="shared" si="68"/>
        <v>0.23678959524118895</v>
      </c>
      <c r="N533" s="10">
        <f t="shared" si="64"/>
        <v>2.5992897854448858</v>
      </c>
    </row>
    <row r="534" spans="3:14">
      <c r="C534" s="4">
        <f>Pressure!AB534*1000000</f>
        <v>5090405.9715660401</v>
      </c>
      <c r="D534" s="78">
        <f>Pressure!I534</f>
        <v>8.1256230789298584E-5</v>
      </c>
      <c r="E534" s="40">
        <f>Pressure!H534</f>
        <v>81.256230789298584</v>
      </c>
      <c r="F534" s="10">
        <f t="shared" si="60"/>
        <v>4.5</v>
      </c>
      <c r="G534" s="4">
        <f t="shared" si="59"/>
        <v>215720.70675799286</v>
      </c>
      <c r="H534" s="42">
        <f t="shared" si="61"/>
        <v>8.0608422700350761</v>
      </c>
      <c r="I534" s="10">
        <f t="shared" si="62"/>
        <v>1.1962661406914743</v>
      </c>
      <c r="J534" s="4">
        <f t="shared" si="63"/>
        <v>494.80821714407455</v>
      </c>
      <c r="K534" s="4">
        <f t="shared" si="67"/>
        <v>111.23785287174016</v>
      </c>
      <c r="L534" s="42">
        <f>Pressure!Q534</f>
        <v>0.24566366225282601</v>
      </c>
      <c r="M534" s="10">
        <f t="shared" si="68"/>
        <v>0.23678280461919793</v>
      </c>
      <c r="N534" s="10">
        <f t="shared" si="64"/>
        <v>2.5992897854448858</v>
      </c>
    </row>
    <row r="535" spans="3:14">
      <c r="C535" s="4">
        <f>Pressure!AB535*1000000</f>
        <v>5090209.501963851</v>
      </c>
      <c r="D535" s="78">
        <f>Pressure!I535</f>
        <v>8.1256230789298584E-5</v>
      </c>
      <c r="E535" s="40">
        <f>Pressure!H535</f>
        <v>81.256230789298584</v>
      </c>
      <c r="F535" s="10">
        <f t="shared" si="60"/>
        <v>4.5</v>
      </c>
      <c r="G535" s="4">
        <f t="shared" si="59"/>
        <v>215712.38078916495</v>
      </c>
      <c r="H535" s="42">
        <f t="shared" si="61"/>
        <v>8.0605989244807539</v>
      </c>
      <c r="I535" s="10">
        <f t="shared" si="62"/>
        <v>1.1962626944859338</v>
      </c>
      <c r="J535" s="4">
        <f t="shared" si="63"/>
        <v>494.78769410827448</v>
      </c>
      <c r="K535" s="4">
        <f t="shared" si="67"/>
        <v>111.23323908733296</v>
      </c>
      <c r="L535" s="42">
        <f>Pressure!Q535</f>
        <v>0.24614219277635335</v>
      </c>
      <c r="M535" s="10">
        <f t="shared" si="68"/>
        <v>0.23677592474604953</v>
      </c>
      <c r="N535" s="10">
        <f t="shared" si="64"/>
        <v>2.5992897854448858</v>
      </c>
    </row>
    <row r="536" spans="3:14">
      <c r="C536" s="4">
        <f>Pressure!AB536*1000000</f>
        <v>5090010.4957794864</v>
      </c>
      <c r="D536" s="78">
        <f>Pressure!I536</f>
        <v>8.1256230789298584E-5</v>
      </c>
      <c r="E536" s="40">
        <f>Pressure!H536</f>
        <v>81.256230789298584</v>
      </c>
      <c r="F536" s="10">
        <f t="shared" si="60"/>
        <v>4.5</v>
      </c>
      <c r="G536" s="4">
        <f t="shared" si="59"/>
        <v>215703.94732531547</v>
      </c>
      <c r="H536" s="42">
        <f t="shared" si="61"/>
        <v>8.060352435443189</v>
      </c>
      <c r="I536" s="10">
        <f t="shared" si="62"/>
        <v>1.196259203515865</v>
      </c>
      <c r="J536" s="4">
        <f t="shared" si="63"/>
        <v>494.76690610340927</v>
      </c>
      <c r="K536" s="4">
        <f t="shared" si="67"/>
        <v>111.22856573522083</v>
      </c>
      <c r="L536" s="42">
        <f>Pressure!Q536</f>
        <v>0.24662072919176659</v>
      </c>
      <c r="M536" s="10">
        <f t="shared" si="68"/>
        <v>0.23676895562048708</v>
      </c>
      <c r="N536" s="10">
        <f t="shared" si="64"/>
        <v>2.5992897854448858</v>
      </c>
    </row>
    <row r="537" spans="3:14">
      <c r="C537" s="4">
        <f>Pressure!AB537*1000000</f>
        <v>5089808.9530818993</v>
      </c>
      <c r="D537" s="78">
        <f>Pressure!I537</f>
        <v>8.1256230789298584E-5</v>
      </c>
      <c r="E537" s="40">
        <f>Pressure!H537</f>
        <v>81.256230789298584</v>
      </c>
      <c r="F537" s="10">
        <f t="shared" si="60"/>
        <v>4.5</v>
      </c>
      <c r="G537" s="4">
        <f t="shared" si="59"/>
        <v>215695.40636936654</v>
      </c>
      <c r="H537" s="42">
        <f t="shared" si="61"/>
        <v>8.0601028029424953</v>
      </c>
      <c r="I537" s="10">
        <f t="shared" si="62"/>
        <v>1.1962556677720078</v>
      </c>
      <c r="J537" s="4">
        <f t="shared" si="63"/>
        <v>494.74585313668194</v>
      </c>
      <c r="K537" s="4">
        <f t="shared" si="67"/>
        <v>111.22383281702305</v>
      </c>
      <c r="L537" s="42">
        <f>Pressure!Q537</f>
        <v>0.24709927157544057</v>
      </c>
      <c r="M537" s="10">
        <f t="shared" si="68"/>
        <v>0.23676189724128513</v>
      </c>
      <c r="N537" s="10">
        <f t="shared" si="64"/>
        <v>2.5992897854448858</v>
      </c>
    </row>
    <row r="538" spans="3:14">
      <c r="C538" s="4">
        <f>Pressure!AB538*1000000</f>
        <v>5089604.8739405656</v>
      </c>
      <c r="D538" s="78">
        <f>Pressure!I538</f>
        <v>8.1256230789298584E-5</v>
      </c>
      <c r="E538" s="40">
        <f>Pressure!H538</f>
        <v>81.256230789298584</v>
      </c>
      <c r="F538" s="10">
        <f t="shared" si="60"/>
        <v>4.5</v>
      </c>
      <c r="G538" s="4">
        <f t="shared" si="59"/>
        <v>215686.75792426235</v>
      </c>
      <c r="H538" s="42">
        <f t="shared" si="61"/>
        <v>8.0598500269986015</v>
      </c>
      <c r="I538" s="10">
        <f t="shared" si="62"/>
        <v>1.1962520872449758</v>
      </c>
      <c r="J538" s="4">
        <f t="shared" si="63"/>
        <v>494.7245352153497</v>
      </c>
      <c r="K538" s="4">
        <f t="shared" si="67"/>
        <v>111.21904033437114</v>
      </c>
      <c r="L538" s="42">
        <f>Pressure!Q538</f>
        <v>0.24757782000375986</v>
      </c>
      <c r="M538" s="10">
        <f t="shared" si="68"/>
        <v>0.23675474960717213</v>
      </c>
      <c r="N538" s="10">
        <f t="shared" si="64"/>
        <v>2.5992897854448858</v>
      </c>
    </row>
    <row r="539" spans="3:14">
      <c r="C539" s="4">
        <f>Pressure!AB539*1000000</f>
        <v>5089398.2584264064</v>
      </c>
      <c r="D539" s="78">
        <f>Pressure!I539</f>
        <v>8.1256230789298584E-5</v>
      </c>
      <c r="E539" s="40">
        <f>Pressure!H539</f>
        <v>81.256230789298584</v>
      </c>
      <c r="F539" s="10">
        <f t="shared" si="60"/>
        <v>4.5</v>
      </c>
      <c r="G539" s="4">
        <f t="shared" si="59"/>
        <v>215678.00199300842</v>
      </c>
      <c r="H539" s="42">
        <f t="shared" si="61"/>
        <v>8.05959410763238</v>
      </c>
      <c r="I539" s="10">
        <f t="shared" si="62"/>
        <v>1.1962484619252727</v>
      </c>
      <c r="J539" s="4">
        <f t="shared" si="63"/>
        <v>494.70295234682089</v>
      </c>
      <c r="K539" s="4">
        <f t="shared" si="67"/>
        <v>111.21418828893056</v>
      </c>
      <c r="L539" s="42">
        <f>Pressure!Q539</f>
        <v>0.24805637455311888</v>
      </c>
      <c r="M539" s="10">
        <f t="shared" si="68"/>
        <v>0.23674751271687228</v>
      </c>
      <c r="N539" s="10">
        <f t="shared" si="64"/>
        <v>2.5992897854448858</v>
      </c>
    </row>
    <row r="540" spans="3:14">
      <c r="C540" s="4">
        <f>Pressure!AB540*1000000</f>
        <v>5089189.1066115163</v>
      </c>
      <c r="D540" s="78">
        <f>Pressure!I540</f>
        <v>8.1256230789298584E-5</v>
      </c>
      <c r="E540" s="40">
        <f>Pressure!H540</f>
        <v>81.256230789298584</v>
      </c>
      <c r="F540" s="10">
        <f t="shared" si="60"/>
        <v>4.5</v>
      </c>
      <c r="G540" s="4">
        <f t="shared" ref="G540:G603" si="69">IF(C540/(1+(k-1)/2*N540^2)^(k/(k-1))&lt;patm*1000000,patm*1000000,C540/(1+(k-1)/2*N540^2)^(k/(k-1)))</f>
        <v>215669.13857865997</v>
      </c>
      <c r="H540" s="42">
        <f t="shared" si="61"/>
        <v>8.0593350448653425</v>
      </c>
      <c r="I540" s="10">
        <f t="shared" si="62"/>
        <v>1.1962447918032877</v>
      </c>
      <c r="J540" s="4">
        <f t="shared" si="63"/>
        <v>494.68110453862653</v>
      </c>
      <c r="K540" s="4">
        <f t="shared" si="67"/>
        <v>111.20927668239435</v>
      </c>
      <c r="L540" s="42">
        <f>Pressure!Q540</f>
        <v>0.24853493529992204</v>
      </c>
      <c r="M540" s="10">
        <f t="shared" si="68"/>
        <v>0.23674018656912182</v>
      </c>
      <c r="N540" s="10">
        <f t="shared" si="64"/>
        <v>2.5992897854448858</v>
      </c>
    </row>
    <row r="541" spans="3:14">
      <c r="C541" s="4">
        <f>Pressure!AB541*1000000</f>
        <v>5088977.4185687043</v>
      </c>
      <c r="D541" s="78">
        <f>Pressure!I541</f>
        <v>8.1256230789298584E-5</v>
      </c>
      <c r="E541" s="40">
        <f>Pressure!H541</f>
        <v>81.256230789298584</v>
      </c>
      <c r="F541" s="10">
        <f t="shared" ref="F541:F604" si="70">aexit/E541</f>
        <v>4.5</v>
      </c>
      <c r="G541" s="4">
        <f t="shared" si="69"/>
        <v>215660.16768430249</v>
      </c>
      <c r="H541" s="42">
        <f t="shared" ref="H541:H604" si="71">1/(((k+1)/2)^(1/(k-1))*(patm*1000000/C541)^(1/k)*SQRT((k+1)/(k-1)*(1-(patm*1000000/C541)^((k-1)/k))))</f>
        <v>8.0590728387190271</v>
      </c>
      <c r="I541" s="10">
        <f t="shared" ref="I541:I604" si="72">etanoz*SQRT(2*k^2/(k-1)*(2/(k+1))^((k+1)/(k-1))*(1-(G541/C541)^((k-1)/k)))+(G541-patm*1000000)/C541*(aexit/E541)</f>
        <v>1.1962410768692873</v>
      </c>
      <c r="J541" s="4">
        <f t="shared" ref="J541:J604" si="73">I541*D541*C541</f>
        <v>494.6589917983722</v>
      </c>
      <c r="K541" s="4">
        <f t="shared" si="67"/>
        <v>111.20430551647233</v>
      </c>
      <c r="L541" s="42">
        <f>Pressure!Q541</f>
        <v>0.24901350232058381</v>
      </c>
      <c r="M541" s="10">
        <f t="shared" si="68"/>
        <v>0.2367327711626096</v>
      </c>
      <c r="N541" s="10">
        <f t="shared" si="64"/>
        <v>2.5992897854448858</v>
      </c>
    </row>
    <row r="542" spans="3:14">
      <c r="C542" s="4">
        <f>Pressure!AB542*1000000</f>
        <v>5088763.1943720328</v>
      </c>
      <c r="D542" s="78">
        <f>Pressure!I542</f>
        <v>8.1256230789298584E-5</v>
      </c>
      <c r="E542" s="40">
        <f>Pressure!H542</f>
        <v>81.256230789298584</v>
      </c>
      <c r="F542" s="10">
        <f t="shared" si="70"/>
        <v>4.5</v>
      </c>
      <c r="G542" s="4">
        <f t="shared" si="69"/>
        <v>215651.0893130746</v>
      </c>
      <c r="H542" s="42">
        <f t="shared" si="71"/>
        <v>8.0588074892156989</v>
      </c>
      <c r="I542" s="10">
        <f t="shared" si="72"/>
        <v>1.196237317113424</v>
      </c>
      <c r="J542" s="4">
        <f t="shared" si="73"/>
        <v>494.63661413379418</v>
      </c>
      <c r="K542" s="4">
        <f t="shared" si="67"/>
        <v>111.19927479290369</v>
      </c>
      <c r="L542" s="42">
        <f>Pressure!Q542</f>
        <v>0.2494920756915289</v>
      </c>
      <c r="M542" s="10">
        <f t="shared" si="68"/>
        <v>0.23672526649606118</v>
      </c>
      <c r="N542" s="10">
        <f t="shared" ref="N542:N605" si="74">N541-1/834*(me-mef)</f>
        <v>2.5992897854448858</v>
      </c>
    </row>
    <row r="543" spans="3:14">
      <c r="C543" s="4">
        <f>Pressure!AB543*1000000</f>
        <v>5088546.4340966027</v>
      </c>
      <c r="D543" s="78">
        <f>Pressure!I543</f>
        <v>8.1256230789298584E-5</v>
      </c>
      <c r="E543" s="40">
        <f>Pressure!H543</f>
        <v>81.256230789298584</v>
      </c>
      <c r="F543" s="10">
        <f t="shared" si="70"/>
        <v>4.5</v>
      </c>
      <c r="G543" s="4">
        <f t="shared" si="69"/>
        <v>215641.90346815888</v>
      </c>
      <c r="H543" s="42">
        <f t="shared" si="71"/>
        <v>8.0585389963780845</v>
      </c>
      <c r="I543" s="10">
        <f t="shared" si="72"/>
        <v>1.196233512525734</v>
      </c>
      <c r="J543" s="4">
        <f t="shared" si="73"/>
        <v>494.61397155273778</v>
      </c>
      <c r="K543" s="4">
        <f t="shared" si="67"/>
        <v>111.19418451345213</v>
      </c>
      <c r="L543" s="42">
        <f>Pressure!Q543</f>
        <v>0.24997065548919237</v>
      </c>
      <c r="M543" s="10">
        <f t="shared" si="68"/>
        <v>0.23671767256816473</v>
      </c>
      <c r="N543" s="10">
        <f t="shared" si="74"/>
        <v>2.5992897854448858</v>
      </c>
    </row>
    <row r="544" spans="3:14">
      <c r="C544" s="4">
        <f>Pressure!AB544*1000000</f>
        <v>5088327.1378187323</v>
      </c>
      <c r="D544" s="78">
        <f>Pressure!I544</f>
        <v>8.1256230789298584E-5</v>
      </c>
      <c r="E544" s="40">
        <f>Pressure!H544</f>
        <v>81.256230789298584</v>
      </c>
      <c r="F544" s="10">
        <f t="shared" si="70"/>
        <v>4.5</v>
      </c>
      <c r="G544" s="4">
        <f t="shared" si="69"/>
        <v>215632.61015278957</v>
      </c>
      <c r="H544" s="42">
        <f t="shared" si="71"/>
        <v>8.0582673602295625</v>
      </c>
      <c r="I544" s="10">
        <f t="shared" si="72"/>
        <v>1.1962296630961384</v>
      </c>
      <c r="J544" s="4">
        <f t="shared" si="73"/>
        <v>494.59106406317494</v>
      </c>
      <c r="K544" s="4">
        <f t="shared" si="67"/>
        <v>111.18903467990984</v>
      </c>
      <c r="L544" s="42">
        <f>Pressure!Q544</f>
        <v>0.25044924179001971</v>
      </c>
      <c r="M544" s="10">
        <f t="shared" si="68"/>
        <v>0.23670998937759757</v>
      </c>
      <c r="N544" s="10">
        <f t="shared" si="74"/>
        <v>2.5992897854448858</v>
      </c>
    </row>
    <row r="545" spans="3:14">
      <c r="C545" s="4">
        <f>Pressure!AB545*1000000</f>
        <v>5088105.3056155406</v>
      </c>
      <c r="D545" s="78">
        <f>Pressure!I545</f>
        <v>8.1256230789298584E-5</v>
      </c>
      <c r="E545" s="40">
        <f>Pressure!H545</f>
        <v>81.256230789298584</v>
      </c>
      <c r="F545" s="10">
        <f t="shared" si="70"/>
        <v>4.5</v>
      </c>
      <c r="G545" s="4">
        <f t="shared" si="69"/>
        <v>215623.20937023478</v>
      </c>
      <c r="H545" s="42">
        <f t="shared" si="71"/>
        <v>8.0579925807936839</v>
      </c>
      <c r="I545" s="10">
        <f t="shared" si="72"/>
        <v>1.1962257688144375</v>
      </c>
      <c r="J545" s="4">
        <f t="shared" si="73"/>
        <v>494.5678916731614</v>
      </c>
      <c r="K545" s="4">
        <f t="shared" si="67"/>
        <v>111.18382529408781</v>
      </c>
      <c r="L545" s="42">
        <f>Pressure!Q545</f>
        <v>0.25092783467046698</v>
      </c>
      <c r="M545" s="10">
        <f t="shared" si="68"/>
        <v>0.2367022169230337</v>
      </c>
      <c r="N545" s="10">
        <f t="shared" si="74"/>
        <v>2.5992897854448858</v>
      </c>
    </row>
    <row r="546" spans="3:14">
      <c r="C546" s="4">
        <f>Pressure!AB546*1000000</f>
        <v>5087880.9375652121</v>
      </c>
      <c r="D546" s="78">
        <f>Pressure!I546</f>
        <v>8.1256230789298584E-5</v>
      </c>
      <c r="E546" s="40">
        <f>Pressure!H546</f>
        <v>81.256230789298584</v>
      </c>
      <c r="F546" s="10">
        <f t="shared" si="70"/>
        <v>4.5</v>
      </c>
      <c r="G546" s="4">
        <f t="shared" si="69"/>
        <v>215613.70112380787</v>
      </c>
      <c r="H546" s="42">
        <f t="shared" si="71"/>
        <v>8.0577146580944756</v>
      </c>
      <c r="I546" s="10">
        <f t="shared" si="72"/>
        <v>1.1962218296703142</v>
      </c>
      <c r="J546" s="4">
        <f t="shared" si="73"/>
        <v>494.54445439086442</v>
      </c>
      <c r="K546" s="4">
        <f t="shared" si="67"/>
        <v>111.17855635782213</v>
      </c>
      <c r="L546" s="42">
        <f>Pressure!Q546</f>
        <v>0.25140643420700098</v>
      </c>
      <c r="M546" s="10">
        <f t="shared" si="68"/>
        <v>0.23669435520315399</v>
      </c>
      <c r="N546" s="10">
        <f t="shared" si="74"/>
        <v>2.5992897854448858</v>
      </c>
    </row>
    <row r="547" spans="3:14">
      <c r="C547" s="4">
        <f>Pressure!AB547*1000000</f>
        <v>5087654.0337474672</v>
      </c>
      <c r="D547" s="78">
        <f>Pressure!I547</f>
        <v>8.1256230789298584E-5</v>
      </c>
      <c r="E547" s="40">
        <f>Pressure!H547</f>
        <v>81.256230789298584</v>
      </c>
      <c r="F547" s="10">
        <f t="shared" si="70"/>
        <v>4.5</v>
      </c>
      <c r="G547" s="4">
        <f t="shared" si="69"/>
        <v>215604.08541688716</v>
      </c>
      <c r="H547" s="42">
        <f t="shared" si="71"/>
        <v>8.0574335921570324</v>
      </c>
      <c r="I547" s="10">
        <f t="shared" si="72"/>
        <v>1.1962178456533428</v>
      </c>
      <c r="J547" s="4">
        <f t="shared" si="73"/>
        <v>494.52075222461133</v>
      </c>
      <c r="K547" s="4">
        <f t="shared" si="67"/>
        <v>111.17322787298488</v>
      </c>
      <c r="L547" s="42">
        <f>Pressure!Q547</f>
        <v>0.25188504047609928</v>
      </c>
      <c r="M547" s="10">
        <f t="shared" si="68"/>
        <v>0.23668640421658196</v>
      </c>
      <c r="N547" s="10">
        <f t="shared" si="74"/>
        <v>2.5992897854448858</v>
      </c>
    </row>
    <row r="548" spans="3:14">
      <c r="C548" s="4">
        <f>Pressure!AB548*1000000</f>
        <v>5087424.5942424322</v>
      </c>
      <c r="D548" s="78">
        <f>Pressure!I548</f>
        <v>8.1256230789298584E-5</v>
      </c>
      <c r="E548" s="40">
        <f>Pressure!H548</f>
        <v>81.256230789298584</v>
      </c>
      <c r="F548" s="10">
        <f t="shared" si="70"/>
        <v>4.5</v>
      </c>
      <c r="G548" s="4">
        <f t="shared" si="69"/>
        <v>215594.36225286825</v>
      </c>
      <c r="H548" s="42">
        <f t="shared" si="71"/>
        <v>8.0571493830061165</v>
      </c>
      <c r="I548" s="10">
        <f t="shared" si="72"/>
        <v>1.196213816752969</v>
      </c>
      <c r="J548" s="4">
        <f t="shared" si="73"/>
        <v>494.49678518277216</v>
      </c>
      <c r="K548" s="4">
        <f t="shared" si="67"/>
        <v>111.16783984145771</v>
      </c>
      <c r="L548" s="42">
        <f>Pressure!Q548</f>
        <v>0.25236365355425039</v>
      </c>
      <c r="M548" s="10">
        <f t="shared" si="68"/>
        <v>0.23667836396199085</v>
      </c>
      <c r="N548" s="10">
        <f t="shared" si="74"/>
        <v>2.5992897854448858</v>
      </c>
    </row>
    <row r="549" spans="3:14">
      <c r="C549" s="4">
        <f>Pressure!AB549*1000000</f>
        <v>5087192.6191318203</v>
      </c>
      <c r="D549" s="78">
        <f>Pressure!I549</f>
        <v>8.1256230789298584E-5</v>
      </c>
      <c r="E549" s="40">
        <f>Pressure!H549</f>
        <v>81.256230789298584</v>
      </c>
      <c r="F549" s="10">
        <f t="shared" si="70"/>
        <v>4.5</v>
      </c>
      <c r="G549" s="4">
        <f t="shared" si="69"/>
        <v>215584.53163521396</v>
      </c>
      <c r="H549" s="42">
        <f t="shared" si="71"/>
        <v>8.0568620306676184</v>
      </c>
      <c r="I549" s="10">
        <f t="shared" si="72"/>
        <v>1.1962097429585299</v>
      </c>
      <c r="J549" s="4">
        <f t="shared" si="73"/>
        <v>494.47255327388251</v>
      </c>
      <c r="K549" s="4">
        <f t="shared" si="67"/>
        <v>111.16239226515951</v>
      </c>
      <c r="L549" s="42">
        <f>Pressure!Q549</f>
        <v>0.25284227351795391</v>
      </c>
      <c r="M549" s="10">
        <f t="shared" si="68"/>
        <v>0.2366702344380088</v>
      </c>
      <c r="N549" s="10">
        <f t="shared" si="74"/>
        <v>2.5992897854448858</v>
      </c>
    </row>
    <row r="550" spans="3:14">
      <c r="C550" s="4">
        <f>Pressure!AB550*1000000</f>
        <v>5086958.1084980592</v>
      </c>
      <c r="D550" s="78">
        <f>Pressure!I550</f>
        <v>8.1256230789298584E-5</v>
      </c>
      <c r="E550" s="40">
        <f>Pressure!H550</f>
        <v>81.256230789298584</v>
      </c>
      <c r="F550" s="10">
        <f t="shared" si="70"/>
        <v>4.5</v>
      </c>
      <c r="G550" s="4">
        <f t="shared" si="69"/>
        <v>215574.59356741747</v>
      </c>
      <c r="H550" s="42">
        <f t="shared" si="71"/>
        <v>8.0565715351674818</v>
      </c>
      <c r="I550" s="10">
        <f t="shared" si="72"/>
        <v>1.1962056242592403</v>
      </c>
      <c r="J550" s="4">
        <f t="shared" si="73"/>
        <v>494.44805650655286</v>
      </c>
      <c r="K550" s="4">
        <f t="shared" si="67"/>
        <v>111.156885146026</v>
      </c>
      <c r="L550" s="42">
        <f>Pressure!Q550</f>
        <v>0.25332090044372058</v>
      </c>
      <c r="M550" s="10">
        <f t="shared" si="68"/>
        <v>0.23666201564325401</v>
      </c>
      <c r="N550" s="10">
        <f t="shared" si="74"/>
        <v>2.5992897854448858</v>
      </c>
    </row>
    <row r="551" spans="3:14">
      <c r="C551" s="4">
        <f>Pressure!AB551*1000000</f>
        <v>5086721.0624249233</v>
      </c>
      <c r="D551" s="78">
        <f>Pressure!I551</f>
        <v>8.1256230789298584E-5</v>
      </c>
      <c r="E551" s="40">
        <f>Pressure!H551</f>
        <v>81.256230789298584</v>
      </c>
      <c r="F551" s="10">
        <f t="shared" si="70"/>
        <v>4.5</v>
      </c>
      <c r="G551" s="4">
        <f t="shared" si="69"/>
        <v>215564.54805302888</v>
      </c>
      <c r="H551" s="42">
        <f t="shared" si="71"/>
        <v>8.0562778965324711</v>
      </c>
      <c r="I551" s="10">
        <f t="shared" si="72"/>
        <v>1.1962014606442017</v>
      </c>
      <c r="J551" s="4">
        <f t="shared" si="73"/>
        <v>494.42329488953402</v>
      </c>
      <c r="K551" s="4">
        <f t="shared" si="67"/>
        <v>111.15131848602446</v>
      </c>
      <c r="L551" s="42">
        <f>Pressure!Q551</f>
        <v>0.25379953440807246</v>
      </c>
      <c r="M551" s="10">
        <f t="shared" si="68"/>
        <v>0.23665370757635612</v>
      </c>
      <c r="N551" s="10">
        <f t="shared" si="74"/>
        <v>2.5992897854448858</v>
      </c>
    </row>
    <row r="552" spans="3:14">
      <c r="C552" s="4">
        <f>Pressure!AB552*1000000</f>
        <v>5086481.480997147</v>
      </c>
      <c r="D552" s="78">
        <f>Pressure!I552</f>
        <v>8.1256230789298584E-5</v>
      </c>
      <c r="E552" s="40">
        <f>Pressure!H552</f>
        <v>81.256230789298584</v>
      </c>
      <c r="F552" s="10">
        <f t="shared" si="70"/>
        <v>4.5</v>
      </c>
      <c r="G552" s="4">
        <f t="shared" si="69"/>
        <v>215554.39509563911</v>
      </c>
      <c r="H552" s="42">
        <f t="shared" si="71"/>
        <v>8.0559811147897236</v>
      </c>
      <c r="I552" s="10">
        <f t="shared" si="72"/>
        <v>1.1961972521023969</v>
      </c>
      <c r="J552" s="4">
        <f t="shared" si="73"/>
        <v>494.39826843167742</v>
      </c>
      <c r="K552" s="4">
        <f t="shared" si="67"/>
        <v>111.14569228714478</v>
      </c>
      <c r="L552" s="42">
        <f>Pressure!Q552</f>
        <v>0.254278175487543</v>
      </c>
      <c r="M552" s="10">
        <f t="shared" si="68"/>
        <v>0.23664531023590732</v>
      </c>
      <c r="N552" s="10">
        <f t="shared" si="74"/>
        <v>2.5992897854448858</v>
      </c>
    </row>
    <row r="553" spans="3:14">
      <c r="C553" s="4">
        <f>Pressure!AB553*1000000</f>
        <v>5086239.3643004354</v>
      </c>
      <c r="D553" s="78">
        <f>Pressure!I553</f>
        <v>8.1256230789298584E-5</v>
      </c>
      <c r="E553" s="40">
        <f>Pressure!H553</f>
        <v>81.256230789298584</v>
      </c>
      <c r="F553" s="10">
        <f t="shared" si="70"/>
        <v>4.5</v>
      </c>
      <c r="G553" s="4">
        <f t="shared" si="69"/>
        <v>215544.13469888011</v>
      </c>
      <c r="H553" s="42">
        <f t="shared" si="71"/>
        <v>8.055681189966716</v>
      </c>
      <c r="I553" s="10">
        <f t="shared" si="72"/>
        <v>1.1961929986226891</v>
      </c>
      <c r="J553" s="4">
        <f t="shared" si="73"/>
        <v>494.37297714193562</v>
      </c>
      <c r="K553" s="4">
        <f t="shared" si="67"/>
        <v>111.14000655139958</v>
      </c>
      <c r="L553" s="42">
        <f>Pressure!Q553</f>
        <v>0.2547568237586772</v>
      </c>
      <c r="M553" s="10">
        <f t="shared" si="68"/>
        <v>0.236636823620508</v>
      </c>
      <c r="N553" s="10">
        <f t="shared" si="74"/>
        <v>2.5992897854448858</v>
      </c>
    </row>
    <row r="554" spans="3:14">
      <c r="C554" s="4">
        <f>Pressure!AB554*1000000</f>
        <v>5085994.7124217255</v>
      </c>
      <c r="D554" s="78">
        <f>Pressure!I554</f>
        <v>8.1256230789298584E-5</v>
      </c>
      <c r="E554" s="40">
        <f>Pressure!H554</f>
        <v>81.256230789298584</v>
      </c>
      <c r="F554" s="10">
        <f t="shared" si="70"/>
        <v>4.5</v>
      </c>
      <c r="G554" s="4">
        <f t="shared" si="69"/>
        <v>215533.76686643614</v>
      </c>
      <c r="H554" s="42">
        <f t="shared" si="71"/>
        <v>8.0553781220916356</v>
      </c>
      <c r="I554" s="10">
        <f t="shared" si="72"/>
        <v>1.1961887001938276</v>
      </c>
      <c r="J554" s="4">
        <f t="shared" si="73"/>
        <v>494.34742102939003</v>
      </c>
      <c r="K554" s="4">
        <f t="shared" si="67"/>
        <v>111.13426128083046</v>
      </c>
      <c r="L554" s="42">
        <f>Pressure!Q554</f>
        <v>0.2552354792980317</v>
      </c>
      <c r="M554" s="10">
        <f t="shared" si="68"/>
        <v>0.23662824772874594</v>
      </c>
      <c r="N554" s="10">
        <f t="shared" si="74"/>
        <v>2.5992897854448858</v>
      </c>
    </row>
    <row r="555" spans="3:14">
      <c r="C555" s="4">
        <f>Pressure!AB555*1000000</f>
        <v>5085747.525448937</v>
      </c>
      <c r="D555" s="78">
        <f>Pressure!I555</f>
        <v>8.1256230789298584E-5</v>
      </c>
      <c r="E555" s="40">
        <f>Pressure!H555</f>
        <v>81.256230789298584</v>
      </c>
      <c r="F555" s="10">
        <f t="shared" si="70"/>
        <v>4.5</v>
      </c>
      <c r="G555" s="4">
        <f t="shared" si="69"/>
        <v>215523.29160203304</v>
      </c>
      <c r="H555" s="42">
        <f t="shared" si="71"/>
        <v>8.0550719111930462</v>
      </c>
      <c r="I555" s="10">
        <f t="shared" si="72"/>
        <v>1.1961843568044421</v>
      </c>
      <c r="J555" s="4">
        <f t="shared" si="73"/>
        <v>494.32160010322468</v>
      </c>
      <c r="K555" s="4">
        <f t="shared" si="67"/>
        <v>111.12845647750207</v>
      </c>
      <c r="L555" s="42">
        <f>Pressure!Q555</f>
        <v>0.25571414218217497</v>
      </c>
      <c r="M555" s="10">
        <f t="shared" si="68"/>
        <v>0.236619582559224</v>
      </c>
      <c r="N555" s="10">
        <f t="shared" si="74"/>
        <v>2.5992897854448858</v>
      </c>
    </row>
    <row r="556" spans="3:14">
      <c r="C556" s="4">
        <f>Pressure!AB556*1000000</f>
        <v>5085497.803470985</v>
      </c>
      <c r="D556" s="78">
        <f>Pressure!I556</f>
        <v>8.1256230789298584E-5</v>
      </c>
      <c r="E556" s="40">
        <f>Pressure!H556</f>
        <v>81.256230789298584</v>
      </c>
      <c r="F556" s="10">
        <f t="shared" si="70"/>
        <v>4.5</v>
      </c>
      <c r="G556" s="4">
        <f t="shared" si="69"/>
        <v>215512.70890943884</v>
      </c>
      <c r="H556" s="42">
        <f t="shared" si="71"/>
        <v>8.0547625572999024</v>
      </c>
      <c r="I556" s="10">
        <f t="shared" si="72"/>
        <v>1.1961799684430439</v>
      </c>
      <c r="J556" s="4">
        <f t="shared" si="73"/>
        <v>494.29551437272761</v>
      </c>
      <c r="K556" s="4">
        <f t="shared" si="67"/>
        <v>111.12259214350246</v>
      </c>
      <c r="L556" s="42">
        <f>Pressure!Q556</f>
        <v>0.25619281248768738</v>
      </c>
      <c r="M556" s="10">
        <f t="shared" si="68"/>
        <v>0.23661082811049944</v>
      </c>
      <c r="N556" s="10">
        <f t="shared" si="74"/>
        <v>2.5992897854448858</v>
      </c>
    </row>
    <row r="557" spans="3:14">
      <c r="C557" s="4">
        <f>Pressure!AB557*1000000</f>
        <v>5085245.5465779491</v>
      </c>
      <c r="D557" s="78">
        <f>Pressure!I557</f>
        <v>8.1256230789298584E-5</v>
      </c>
      <c r="E557" s="40">
        <f>Pressure!H557</f>
        <v>81.256230789298584</v>
      </c>
      <c r="F557" s="10">
        <f t="shared" si="70"/>
        <v>4.5</v>
      </c>
      <c r="G557" s="4">
        <f t="shared" si="69"/>
        <v>215502.01879247092</v>
      </c>
      <c r="H557" s="42">
        <f t="shared" si="71"/>
        <v>8.054450060441761</v>
      </c>
      <c r="I557" s="10">
        <f t="shared" si="72"/>
        <v>1.1961755350980277</v>
      </c>
      <c r="J557" s="4">
        <f t="shared" si="73"/>
        <v>494.26916384730822</v>
      </c>
      <c r="K557" s="4">
        <f t="shared" si="67"/>
        <v>111.11666828094695</v>
      </c>
      <c r="L557" s="42">
        <f>Pressure!Q557</f>
        <v>0.25667149029116121</v>
      </c>
      <c r="M557" s="10">
        <f t="shared" si="68"/>
        <v>0.23660198438108815</v>
      </c>
      <c r="N557" s="10">
        <f t="shared" si="74"/>
        <v>2.5992897854448858</v>
      </c>
    </row>
    <row r="558" spans="3:14">
      <c r="C558" s="4">
        <f>Pressure!AB558*1000000</f>
        <v>5084990.7548611583</v>
      </c>
      <c r="D558" s="78">
        <f>Pressure!I558</f>
        <v>8.1256230789298584E-5</v>
      </c>
      <c r="E558" s="40">
        <f>Pressure!H558</f>
        <v>81.256230789298584</v>
      </c>
      <c r="F558" s="10">
        <f t="shared" si="70"/>
        <v>4.5</v>
      </c>
      <c r="G558" s="4">
        <f t="shared" si="69"/>
        <v>215491.2212549996</v>
      </c>
      <c r="H558" s="42">
        <f t="shared" si="71"/>
        <v>8.0541344206489054</v>
      </c>
      <c r="I558" s="10">
        <f t="shared" si="72"/>
        <v>1.196171056757674</v>
      </c>
      <c r="J558" s="4">
        <f t="shared" si="73"/>
        <v>494.24254853650694</v>
      </c>
      <c r="K558" s="4">
        <f t="shared" si="67"/>
        <v>111.11068489198034</v>
      </c>
      <c r="L558" s="42">
        <f>Pressure!Q558</f>
        <v>0.25715017566920101</v>
      </c>
      <c r="M558" s="10">
        <f t="shared" si="68"/>
        <v>0.23659305136960848</v>
      </c>
      <c r="N558" s="10">
        <f t="shared" si="74"/>
        <v>2.5992897854448858</v>
      </c>
    </row>
    <row r="559" spans="3:14">
      <c r="C559" s="4">
        <f>Pressure!AB559*1000000</f>
        <v>5084733.4284125045</v>
      </c>
      <c r="D559" s="78">
        <f>Pressure!I559</f>
        <v>8.1256230789298584E-5</v>
      </c>
      <c r="E559" s="40">
        <f>Pressure!H559</f>
        <v>81.256230789298584</v>
      </c>
      <c r="F559" s="10">
        <f t="shared" si="70"/>
        <v>4.5</v>
      </c>
      <c r="G559" s="4">
        <f t="shared" si="69"/>
        <v>215480.31630091908</v>
      </c>
      <c r="H559" s="42">
        <f t="shared" si="71"/>
        <v>8.0538156379514572</v>
      </c>
      <c r="I559" s="10">
        <f t="shared" si="72"/>
        <v>1.1961665334101368</v>
      </c>
      <c r="J559" s="4">
        <f t="shared" si="73"/>
        <v>494.21566844992259</v>
      </c>
      <c r="K559" s="4">
        <f t="shared" si="67"/>
        <v>111.10464197876053</v>
      </c>
      <c r="L559" s="42">
        <f>Pressure!Q559</f>
        <v>0.2576288686984235</v>
      </c>
      <c r="M559" s="10">
        <f t="shared" si="68"/>
        <v>0.23658402907454654</v>
      </c>
      <c r="N559" s="10">
        <f t="shared" si="74"/>
        <v>2.5992897854448858</v>
      </c>
    </row>
    <row r="560" spans="3:14">
      <c r="C560" s="4">
        <f>Pressure!AB560*1000000</f>
        <v>5084473.5673255837</v>
      </c>
      <c r="D560" s="78">
        <f>Pressure!I560</f>
        <v>8.1256230789298584E-5</v>
      </c>
      <c r="E560" s="40">
        <f>Pressure!H560</f>
        <v>81.256230789298584</v>
      </c>
      <c r="F560" s="10">
        <f t="shared" si="70"/>
        <v>4.5</v>
      </c>
      <c r="G560" s="4">
        <f t="shared" si="69"/>
        <v>215469.30393419575</v>
      </c>
      <c r="H560" s="42">
        <f t="shared" si="71"/>
        <v>8.0534937123808277</v>
      </c>
      <c r="I560" s="10">
        <f t="shared" si="72"/>
        <v>1.1961619650434629</v>
      </c>
      <c r="J560" s="4">
        <f t="shared" si="73"/>
        <v>494.18852359733216</v>
      </c>
      <c r="K560" s="4">
        <f t="shared" si="67"/>
        <v>111.09853954348549</v>
      </c>
      <c r="L560" s="42">
        <f>Pressure!Q560</f>
        <v>0.25810756945545782</v>
      </c>
      <c r="M560" s="10">
        <f t="shared" si="68"/>
        <v>0.23657491749445947</v>
      </c>
      <c r="N560" s="10">
        <f t="shared" si="74"/>
        <v>2.5992897854448858</v>
      </c>
    </row>
    <row r="561" spans="3:14">
      <c r="C561" s="4">
        <f>Pressure!AB561*1000000</f>
        <v>5084211.1716944538</v>
      </c>
      <c r="D561" s="78">
        <f>Pressure!I561</f>
        <v>8.1256230789298584E-5</v>
      </c>
      <c r="E561" s="40">
        <f>Pressure!H561</f>
        <v>81.256230789298584</v>
      </c>
      <c r="F561" s="10">
        <f t="shared" si="70"/>
        <v>4.5</v>
      </c>
      <c r="G561" s="4">
        <f t="shared" si="69"/>
        <v>215458.18415881562</v>
      </c>
      <c r="H561" s="42">
        <f t="shared" si="71"/>
        <v>8.0531686439681653</v>
      </c>
      <c r="I561" s="10">
        <f t="shared" si="72"/>
        <v>1.1961573516455708</v>
      </c>
      <c r="J561" s="4">
        <f t="shared" si="73"/>
        <v>494.16111398856066</v>
      </c>
      <c r="K561" s="4">
        <f t="shared" si="67"/>
        <v>111.09237758836399</v>
      </c>
      <c r="L561" s="42">
        <f>Pressure!Q561</f>
        <v>0.25858627801694567</v>
      </c>
      <c r="M561" s="10">
        <f t="shared" si="68"/>
        <v>0.23656571662789061</v>
      </c>
      <c r="N561" s="10">
        <f t="shared" si="74"/>
        <v>2.5992897854448858</v>
      </c>
    </row>
    <row r="562" spans="3:14">
      <c r="C562" s="4">
        <f>Pressure!AB562*1000000</f>
        <v>5083946.2416147804</v>
      </c>
      <c r="D562" s="78">
        <f>Pressure!I562</f>
        <v>8.1256230789298584E-5</v>
      </c>
      <c r="E562" s="40">
        <f>Pressure!H562</f>
        <v>81.256230789298584</v>
      </c>
      <c r="F562" s="10">
        <f t="shared" si="70"/>
        <v>4.5</v>
      </c>
      <c r="G562" s="4">
        <f t="shared" si="69"/>
        <v>215446.95697883275</v>
      </c>
      <c r="H562" s="42">
        <f t="shared" si="71"/>
        <v>8.0528404327457537</v>
      </c>
      <c r="I562" s="10">
        <f t="shared" si="72"/>
        <v>1.1961526932042705</v>
      </c>
      <c r="J562" s="4">
        <f t="shared" si="73"/>
        <v>494.1334396336016</v>
      </c>
      <c r="K562" s="4">
        <f t="shared" si="67"/>
        <v>111.08615611564264</v>
      </c>
      <c r="L562" s="42">
        <f>Pressure!Q562</f>
        <v>0.25906499445954123</v>
      </c>
      <c r="M562" s="10">
        <f t="shared" si="68"/>
        <v>0.23655642647328495</v>
      </c>
      <c r="N562" s="10">
        <f t="shared" si="74"/>
        <v>2.5992897854448858</v>
      </c>
    </row>
    <row r="563" spans="3:14">
      <c r="C563" s="4">
        <f>Pressure!AB563*1000000</f>
        <v>5083678.7771828901</v>
      </c>
      <c r="D563" s="78">
        <f>Pressure!I563</f>
        <v>8.1256230789298584E-5</v>
      </c>
      <c r="E563" s="40">
        <f>Pressure!H563</f>
        <v>81.256230789298584</v>
      </c>
      <c r="F563" s="10">
        <f t="shared" si="70"/>
        <v>4.5</v>
      </c>
      <c r="G563" s="4">
        <f t="shared" si="69"/>
        <v>215435.62239832929</v>
      </c>
      <c r="H563" s="42">
        <f t="shared" si="71"/>
        <v>8.0525090787458851</v>
      </c>
      <c r="I563" s="10">
        <f t="shared" si="72"/>
        <v>1.1961479897072462</v>
      </c>
      <c r="J563" s="4">
        <f t="shared" si="73"/>
        <v>494.10550054251684</v>
      </c>
      <c r="K563" s="4">
        <f t="shared" si="67"/>
        <v>111.07987512758348</v>
      </c>
      <c r="L563" s="42">
        <f>Pressure!Q563</f>
        <v>0.25954371885991157</v>
      </c>
      <c r="M563" s="10">
        <f t="shared" si="68"/>
        <v>0.23654704702921328</v>
      </c>
      <c r="N563" s="10">
        <f t="shared" si="74"/>
        <v>2.5992897854448858</v>
      </c>
    </row>
    <row r="564" spans="3:14">
      <c r="C564" s="4">
        <f>Pressure!AB564*1000000</f>
        <v>5083408.7784963865</v>
      </c>
      <c r="D564" s="78">
        <f>Pressure!I564</f>
        <v>8.1256230789298584E-5</v>
      </c>
      <c r="E564" s="40">
        <f>Pressure!H564</f>
        <v>81.256230789298584</v>
      </c>
      <c r="F564" s="10">
        <f t="shared" si="70"/>
        <v>4.5</v>
      </c>
      <c r="G564" s="4">
        <f t="shared" si="69"/>
        <v>215424.18042144147</v>
      </c>
      <c r="H564" s="42">
        <f t="shared" si="71"/>
        <v>8.052174582001566</v>
      </c>
      <c r="I564" s="10">
        <f t="shared" si="72"/>
        <v>1.1961432411420683</v>
      </c>
      <c r="J564" s="4">
        <f t="shared" si="73"/>
        <v>494.07729672550215</v>
      </c>
      <c r="K564" s="4">
        <f t="shared" si="67"/>
        <v>111.0735346264786</v>
      </c>
      <c r="L564" s="42">
        <f>Pressure!Q564</f>
        <v>0.2600224512947365</v>
      </c>
      <c r="M564" s="10">
        <f t="shared" si="68"/>
        <v>0.23653757829411717</v>
      </c>
      <c r="N564" s="10">
        <f t="shared" si="74"/>
        <v>2.5992897854448858</v>
      </c>
    </row>
    <row r="565" spans="3:14">
      <c r="C565" s="4">
        <f>Pressure!AB565*1000000</f>
        <v>5083136.2456538854</v>
      </c>
      <c r="D565" s="78">
        <f>Pressure!I565</f>
        <v>8.1256230789298584E-5</v>
      </c>
      <c r="E565" s="40">
        <f>Pressure!H565</f>
        <v>81.256230789298584</v>
      </c>
      <c r="F565" s="10">
        <f t="shared" si="70"/>
        <v>4.5</v>
      </c>
      <c r="G565" s="4">
        <f t="shared" si="69"/>
        <v>215412.63105234841</v>
      </c>
      <c r="H565" s="42">
        <f t="shared" si="71"/>
        <v>8.0518369425462399</v>
      </c>
      <c r="I565" s="10">
        <f t="shared" si="72"/>
        <v>1.1961384474961871</v>
      </c>
      <c r="J565" s="4">
        <f t="shared" si="73"/>
        <v>494.04882819285871</v>
      </c>
      <c r="K565" s="4">
        <f t="shared" si="67"/>
        <v>111.06713461464383</v>
      </c>
      <c r="L565" s="42">
        <f>Pressure!Q565</f>
        <v>0.26050119184070897</v>
      </c>
      <c r="M565" s="10">
        <f t="shared" si="68"/>
        <v>0.23652802026653708</v>
      </c>
      <c r="N565" s="10">
        <f t="shared" si="74"/>
        <v>2.5992897854448858</v>
      </c>
    </row>
    <row r="566" spans="3:14">
      <c r="C566" s="4">
        <f>Pressure!AB566*1000000</f>
        <v>5082861.1787550105</v>
      </c>
      <c r="D566" s="78">
        <f>Pressure!I566</f>
        <v>8.1256230789298584E-5</v>
      </c>
      <c r="E566" s="40">
        <f>Pressure!H566</f>
        <v>81.256230789298584</v>
      </c>
      <c r="F566" s="10">
        <f t="shared" si="70"/>
        <v>4.5</v>
      </c>
      <c r="G566" s="4">
        <f t="shared" si="69"/>
        <v>215400.97429527197</v>
      </c>
      <c r="H566" s="42">
        <f t="shared" si="71"/>
        <v>8.0514961604137607</v>
      </c>
      <c r="I566" s="10">
        <f t="shared" si="72"/>
        <v>1.1961336087569343</v>
      </c>
      <c r="J566" s="4">
        <f t="shared" si="73"/>
        <v>494.02009495499328</v>
      </c>
      <c r="K566" s="4">
        <f t="shared" si="67"/>
        <v>111.06067509441871</v>
      </c>
      <c r="L566" s="42">
        <f>Pressure!Q566</f>
        <v>0.26097994057453489</v>
      </c>
      <c r="M566" s="10">
        <f t="shared" si="68"/>
        <v>0.23651837294488612</v>
      </c>
      <c r="N566" s="10">
        <f t="shared" si="74"/>
        <v>2.5992897854448858</v>
      </c>
    </row>
    <row r="567" spans="3:14">
      <c r="C567" s="4">
        <f>Pressure!AB567*1000000</f>
        <v>5082583.5779006695</v>
      </c>
      <c r="D567" s="78">
        <f>Pressure!I567</f>
        <v>8.1256230789298584E-5</v>
      </c>
      <c r="E567" s="40">
        <f>Pressure!H567</f>
        <v>81.256230789298584</v>
      </c>
      <c r="F567" s="10">
        <f t="shared" si="70"/>
        <v>4.5</v>
      </c>
      <c r="G567" s="4">
        <f t="shared" si="69"/>
        <v>215389.21015448839</v>
      </c>
      <c r="H567" s="42">
        <f t="shared" si="71"/>
        <v>8.0511522356387211</v>
      </c>
      <c r="I567" s="10">
        <f t="shared" si="72"/>
        <v>1.1961287249115262</v>
      </c>
      <c r="J567" s="4">
        <f t="shared" si="73"/>
        <v>493.99109702244641</v>
      </c>
      <c r="K567" s="4">
        <f t="shared" si="67"/>
        <v>111.05415606817284</v>
      </c>
      <c r="L567" s="42">
        <f>Pressure!Q567</f>
        <v>0.26145869757293344</v>
      </c>
      <c r="M567" s="10">
        <f t="shared" si="68"/>
        <v>0.23650863632764882</v>
      </c>
      <c r="N567" s="10">
        <f t="shared" si="74"/>
        <v>2.5992897854448858</v>
      </c>
    </row>
    <row r="568" spans="3:14">
      <c r="C568" s="4">
        <f>Pressure!AB568*1000000</f>
        <v>5082303.4431926757</v>
      </c>
      <c r="D568" s="78">
        <f>Pressure!I568</f>
        <v>8.1256230789298584E-5</v>
      </c>
      <c r="E568" s="40">
        <f>Pressure!H568</f>
        <v>81.256230789298584</v>
      </c>
      <c r="F568" s="10">
        <f t="shared" si="70"/>
        <v>4.5</v>
      </c>
      <c r="G568" s="4">
        <f t="shared" si="69"/>
        <v>215377.33863431233</v>
      </c>
      <c r="H568" s="42">
        <f t="shared" si="71"/>
        <v>8.0508051682560104</v>
      </c>
      <c r="I568" s="10">
        <f t="shared" si="72"/>
        <v>1.1961237959470581</v>
      </c>
      <c r="J568" s="4">
        <f t="shared" si="73"/>
        <v>493.96183440585355</v>
      </c>
      <c r="K568" s="4">
        <f t="shared" si="67"/>
        <v>111.04757753829719</v>
      </c>
      <c r="L568" s="42">
        <f>Pressure!Q568</f>
        <v>0.2619374629126372</v>
      </c>
      <c r="M568" s="10">
        <f t="shared" si="68"/>
        <v>0.2364988104132964</v>
      </c>
      <c r="N568" s="10">
        <f t="shared" si="74"/>
        <v>2.5992897854448858</v>
      </c>
    </row>
    <row r="569" spans="3:14">
      <c r="C569" s="4">
        <f>Pressure!AB569*1000000</f>
        <v>5082020.774733861</v>
      </c>
      <c r="D569" s="78">
        <f>Pressure!I569</f>
        <v>8.1256230789298584E-5</v>
      </c>
      <c r="E569" s="40">
        <f>Pressure!H569</f>
        <v>81.256230789298584</v>
      </c>
      <c r="F569" s="10">
        <f t="shared" si="70"/>
        <v>4.5</v>
      </c>
      <c r="G569" s="4">
        <f t="shared" si="69"/>
        <v>215365.35973910155</v>
      </c>
      <c r="H569" s="42">
        <f t="shared" si="71"/>
        <v>8.0504549583009339</v>
      </c>
      <c r="I569" s="10">
        <f t="shared" si="72"/>
        <v>1.1961188218505059</v>
      </c>
      <c r="J569" s="4">
        <f t="shared" si="73"/>
        <v>493.93230711595641</v>
      </c>
      <c r="K569" s="4">
        <f t="shared" si="67"/>
        <v>111.0409395072066</v>
      </c>
      <c r="L569" s="42">
        <f>Pressure!Q569</f>
        <v>0.26241623667039216</v>
      </c>
      <c r="M569" s="10">
        <f t="shared" si="68"/>
        <v>0.23648889520025251</v>
      </c>
      <c r="N569" s="10">
        <f t="shared" si="74"/>
        <v>2.5992897854448858</v>
      </c>
    </row>
    <row r="570" spans="3:14">
      <c r="C570" s="4">
        <f>Pressure!AB570*1000000</f>
        <v>5081735.572628309</v>
      </c>
      <c r="D570" s="78">
        <f>Pressure!I570</f>
        <v>8.1256230789298584E-5</v>
      </c>
      <c r="E570" s="40">
        <f>Pressure!H570</f>
        <v>81.256230789298584</v>
      </c>
      <c r="F570" s="10">
        <f t="shared" si="70"/>
        <v>4.5</v>
      </c>
      <c r="G570" s="4">
        <f t="shared" si="69"/>
        <v>215353.27347326692</v>
      </c>
      <c r="H570" s="42">
        <f t="shared" si="71"/>
        <v>8.0501016058095125</v>
      </c>
      <c r="I570" s="10">
        <f t="shared" si="72"/>
        <v>1.1961138026087299</v>
      </c>
      <c r="J570" s="4">
        <f t="shared" si="73"/>
        <v>493.90251516362741</v>
      </c>
      <c r="K570" s="4">
        <f t="shared" si="67"/>
        <v>111.03424197734532</v>
      </c>
      <c r="L570" s="42">
        <f>Pressure!Q570</f>
        <v>0.26289501892295791</v>
      </c>
      <c r="M570" s="10">
        <f t="shared" si="68"/>
        <v>0.23647889068695671</v>
      </c>
      <c r="N570" s="10">
        <f t="shared" si="74"/>
        <v>2.5992897854448858</v>
      </c>
    </row>
    <row r="571" spans="3:14">
      <c r="C571" s="4">
        <f>Pressure!AB571*1000000</f>
        <v>5081447.8369809631</v>
      </c>
      <c r="D571" s="78">
        <f>Pressure!I571</f>
        <v>8.1256230789298584E-5</v>
      </c>
      <c r="E571" s="40">
        <f>Pressure!H571</f>
        <v>81.256230789298584</v>
      </c>
      <c r="F571" s="10">
        <f t="shared" si="70"/>
        <v>4.5</v>
      </c>
      <c r="G571" s="4">
        <f t="shared" si="69"/>
        <v>215341.07984125571</v>
      </c>
      <c r="H571" s="42">
        <f t="shared" si="71"/>
        <v>8.0497451108179945</v>
      </c>
      <c r="I571" s="10">
        <f t="shared" si="72"/>
        <v>1.1961087382084676</v>
      </c>
      <c r="J571" s="4">
        <f t="shared" si="73"/>
        <v>493.87245855982889</v>
      </c>
      <c r="K571" s="4">
        <f t="shared" si="67"/>
        <v>111.02748495117775</v>
      </c>
      <c r="L571" s="42">
        <f>Pressure!Q571</f>
        <v>0.26337380974710778</v>
      </c>
      <c r="M571" s="10">
        <f t="shared" si="68"/>
        <v>0.236468796871833</v>
      </c>
      <c r="N571" s="10">
        <f t="shared" si="74"/>
        <v>2.5992897854448858</v>
      </c>
    </row>
    <row r="572" spans="3:14">
      <c r="C572" s="4">
        <f>Pressure!AB572*1000000</f>
        <v>5081157.5678980732</v>
      </c>
      <c r="D572" s="78">
        <f>Pressure!I572</f>
        <v>8.1256230789298584E-5</v>
      </c>
      <c r="E572" s="40">
        <f>Pressure!H572</f>
        <v>81.256230789298584</v>
      </c>
      <c r="F572" s="10">
        <f t="shared" si="70"/>
        <v>4.5</v>
      </c>
      <c r="G572" s="4">
        <f t="shared" si="69"/>
        <v>215328.77884757056</v>
      </c>
      <c r="H572" s="42">
        <f t="shared" si="71"/>
        <v>8.049385473363408</v>
      </c>
      <c r="I572" s="10">
        <f t="shared" si="72"/>
        <v>1.1961036286363425</v>
      </c>
      <c r="J572" s="4">
        <f t="shared" si="73"/>
        <v>493.84213731565961</v>
      </c>
      <c r="K572" s="4">
        <f t="shared" si="67"/>
        <v>111.02066843119906</v>
      </c>
      <c r="L572" s="42">
        <f>Pressure!Q572</f>
        <v>0.26385260921962894</v>
      </c>
      <c r="M572" s="10">
        <f t="shared" si="68"/>
        <v>0.23645861375331881</v>
      </c>
      <c r="N572" s="10">
        <f t="shared" si="74"/>
        <v>2.5992897854448858</v>
      </c>
    </row>
    <row r="573" spans="3:14">
      <c r="C573" s="4">
        <f>Pressure!AB573*1000000</f>
        <v>5080864.7654867461</v>
      </c>
      <c r="D573" s="78">
        <f>Pressure!I573</f>
        <v>8.1256230789298584E-5</v>
      </c>
      <c r="E573" s="40">
        <f>Pressure!H573</f>
        <v>81.256230789298584</v>
      </c>
      <c r="F573" s="10">
        <f t="shared" si="70"/>
        <v>4.5</v>
      </c>
      <c r="G573" s="4">
        <f t="shared" si="69"/>
        <v>215316.37049675046</v>
      </c>
      <c r="H573" s="42">
        <f t="shared" si="71"/>
        <v>8.0490226934830034</v>
      </c>
      <c r="I573" s="10">
        <f t="shared" si="72"/>
        <v>1.1960984738788549</v>
      </c>
      <c r="J573" s="4">
        <f t="shared" si="73"/>
        <v>493.81155144230786</v>
      </c>
      <c r="K573" s="4">
        <f t="shared" si="67"/>
        <v>111.01379241992443</v>
      </c>
      <c r="L573" s="42">
        <f>Pressure!Q573</f>
        <v>0.26433141741732252</v>
      </c>
      <c r="M573" s="10">
        <f t="shared" si="68"/>
        <v>0.23644834132980969</v>
      </c>
      <c r="N573" s="10">
        <f t="shared" si="74"/>
        <v>2.5992897854448858</v>
      </c>
    </row>
    <row r="574" spans="3:14">
      <c r="C574" s="4">
        <f>Pressure!AB574*1000000</f>
        <v>5080569.4298553113</v>
      </c>
      <c r="D574" s="78">
        <f>Pressure!I574</f>
        <v>8.1256230789298584E-5</v>
      </c>
      <c r="E574" s="40">
        <f>Pressure!H574</f>
        <v>81.256230789298584</v>
      </c>
      <c r="F574" s="10">
        <f t="shared" si="70"/>
        <v>4.5</v>
      </c>
      <c r="G574" s="4">
        <f t="shared" si="69"/>
        <v>215303.85479338618</v>
      </c>
      <c r="H574" s="42">
        <f t="shared" si="71"/>
        <v>8.0486567712147057</v>
      </c>
      <c r="I574" s="10">
        <f t="shared" si="72"/>
        <v>1.1960932739223893</v>
      </c>
      <c r="J574" s="4">
        <f t="shared" si="73"/>
        <v>493.78070095108961</v>
      </c>
      <c r="K574" s="4">
        <f t="shared" si="67"/>
        <v>111.00685691989786</v>
      </c>
      <c r="L574" s="42">
        <f>Pressure!Q574</f>
        <v>0.26481023441700369</v>
      </c>
      <c r="M574" s="10">
        <f t="shared" si="68"/>
        <v>0.23643797959968482</v>
      </c>
      <c r="N574" s="10">
        <f t="shared" si="74"/>
        <v>2.5992897854448858</v>
      </c>
    </row>
    <row r="575" spans="3:14">
      <c r="C575" s="4">
        <f>Pressure!AB575*1000000</f>
        <v>5080271.5611130437</v>
      </c>
      <c r="D575" s="78">
        <f>Pressure!I575</f>
        <v>8.1256230789298584E-5</v>
      </c>
      <c r="E575" s="40">
        <f>Pressure!H575</f>
        <v>81.256230789298584</v>
      </c>
      <c r="F575" s="10">
        <f t="shared" si="70"/>
        <v>4.5</v>
      </c>
      <c r="G575" s="4">
        <f t="shared" si="69"/>
        <v>215291.23174210853</v>
      </c>
      <c r="H575" s="42">
        <f t="shared" si="71"/>
        <v>8.0482877065967706</v>
      </c>
      <c r="I575" s="10">
        <f t="shared" si="72"/>
        <v>1.1960880287532081</v>
      </c>
      <c r="J575" s="4">
        <f t="shared" si="73"/>
        <v>493.74958585341966</v>
      </c>
      <c r="K575" s="4">
        <f t="shared" si="67"/>
        <v>110.99986193368547</v>
      </c>
      <c r="L575" s="42">
        <f>Pressure!Q575</f>
        <v>0.26528906029550181</v>
      </c>
      <c r="M575" s="10">
        <f t="shared" si="68"/>
        <v>0.23642752856133656</v>
      </c>
      <c r="N575" s="10">
        <f t="shared" si="74"/>
        <v>2.5992897854448858</v>
      </c>
    </row>
    <row r="576" spans="3:14">
      <c r="C576" s="4">
        <f>Pressure!AB576*1000000</f>
        <v>5079971.1593703702</v>
      </c>
      <c r="D576" s="78">
        <f>Pressure!I576</f>
        <v>8.1256230789298584E-5</v>
      </c>
      <c r="E576" s="40">
        <f>Pressure!H576</f>
        <v>81.256230789298584</v>
      </c>
      <c r="F576" s="10">
        <f t="shared" si="70"/>
        <v>4.5</v>
      </c>
      <c r="G576" s="4">
        <f t="shared" si="69"/>
        <v>215278.50134759722</v>
      </c>
      <c r="H576" s="42">
        <f t="shared" si="71"/>
        <v>8.0479154996680471</v>
      </c>
      <c r="I576" s="10">
        <f t="shared" si="72"/>
        <v>1.1960827383574564</v>
      </c>
      <c r="J576" s="4">
        <f t="shared" si="73"/>
        <v>493.71820616083301</v>
      </c>
      <c r="K576" s="4">
        <f t="shared" si="67"/>
        <v>110.99280746388045</v>
      </c>
      <c r="L576" s="42">
        <f>Pressure!Q576</f>
        <v>0.26576789512966065</v>
      </c>
      <c r="M576" s="10">
        <f t="shared" si="68"/>
        <v>0.23641698821316862</v>
      </c>
      <c r="N576" s="10">
        <f t="shared" si="74"/>
        <v>2.5992897854448858</v>
      </c>
    </row>
    <row r="577" spans="3:14">
      <c r="C577" s="4">
        <f>Pressure!AB577*1000000</f>
        <v>5079668.224738772</v>
      </c>
      <c r="D577" s="78">
        <f>Pressure!I577</f>
        <v>8.1256230789298584E-5</v>
      </c>
      <c r="E577" s="40">
        <f>Pressure!H577</f>
        <v>81.256230789298584</v>
      </c>
      <c r="F577" s="10">
        <f t="shared" si="70"/>
        <v>4.5</v>
      </c>
      <c r="G577" s="4">
        <f t="shared" si="69"/>
        <v>215265.66361457654</v>
      </c>
      <c r="H577" s="42">
        <f t="shared" si="71"/>
        <v>8.0475401504678512</v>
      </c>
      <c r="I577" s="10">
        <f t="shared" si="72"/>
        <v>1.1960774027211603</v>
      </c>
      <c r="J577" s="4">
        <f t="shared" si="73"/>
        <v>493.68656188497505</v>
      </c>
      <c r="K577" s="4">
        <f t="shared" si="67"/>
        <v>110.98569351310081</v>
      </c>
      <c r="L577" s="42">
        <f>Pressure!Q577</f>
        <v>0.26624673899633833</v>
      </c>
      <c r="M577" s="10">
        <f t="shared" si="68"/>
        <v>0.23640635855351655</v>
      </c>
      <c r="N577" s="10">
        <f t="shared" si="74"/>
        <v>2.5992897854448858</v>
      </c>
    </row>
    <row r="578" spans="3:14">
      <c r="C578" s="4">
        <f>Pressure!AB578*1000000</f>
        <v>5079362.757330928</v>
      </c>
      <c r="D578" s="78">
        <f>Pressure!I578</f>
        <v>8.1256230789298584E-5</v>
      </c>
      <c r="E578" s="40">
        <f>Pressure!H578</f>
        <v>81.256230789298584</v>
      </c>
      <c r="F578" s="10">
        <f t="shared" si="70"/>
        <v>4.5</v>
      </c>
      <c r="G578" s="4">
        <f t="shared" si="69"/>
        <v>215252.7185478216</v>
      </c>
      <c r="H578" s="42">
        <f t="shared" si="71"/>
        <v>8.0471616590361403</v>
      </c>
      <c r="I578" s="10">
        <f t="shared" si="72"/>
        <v>1.1960720218302276</v>
      </c>
      <c r="J578" s="4">
        <f t="shared" si="73"/>
        <v>493.65465303761596</v>
      </c>
      <c r="K578" s="4">
        <f t="shared" si="67"/>
        <v>110.97852008399262</v>
      </c>
      <c r="L578" s="42">
        <f>Pressure!Q578</f>
        <v>0.26672559197240758</v>
      </c>
      <c r="M578" s="10">
        <f t="shared" si="68"/>
        <v>0.23639563958075832</v>
      </c>
      <c r="N578" s="10">
        <f t="shared" si="74"/>
        <v>2.5992897854448858</v>
      </c>
    </row>
    <row r="579" spans="3:14">
      <c r="C579" s="4">
        <f>Pressure!AB579*1000000</f>
        <v>5079054.7572603468</v>
      </c>
      <c r="D579" s="78">
        <f>Pressure!I579</f>
        <v>8.1256230789298584E-5</v>
      </c>
      <c r="E579" s="40">
        <f>Pressure!H579</f>
        <v>81.256230789298584</v>
      </c>
      <c r="F579" s="10">
        <f t="shared" si="70"/>
        <v>4.5</v>
      </c>
      <c r="G579" s="4">
        <f t="shared" si="69"/>
        <v>215239.66615214266</v>
      </c>
      <c r="H579" s="42">
        <f t="shared" si="71"/>
        <v>8.0467800254130548</v>
      </c>
      <c r="I579" s="10">
        <f t="shared" si="72"/>
        <v>1.1960665956704437</v>
      </c>
      <c r="J579" s="4">
        <f t="shared" si="73"/>
        <v>493.62247963061287</v>
      </c>
      <c r="K579" s="4">
        <f t="shared" si="67"/>
        <v>110.97128717922146</v>
      </c>
      <c r="L579" s="42">
        <f>Pressure!Q579</f>
        <v>0.2672044541347558</v>
      </c>
      <c r="M579" s="10">
        <f t="shared" si="68"/>
        <v>0.23638483129322671</v>
      </c>
      <c r="N579" s="10">
        <f t="shared" si="74"/>
        <v>2.5992897854448858</v>
      </c>
    </row>
    <row r="580" spans="3:14">
      <c r="C580" s="4">
        <f>Pressure!AB580*1000000</f>
        <v>5078744.2246417264</v>
      </c>
      <c r="D580" s="78">
        <f>Pressure!I580</f>
        <v>8.1256230789298584E-5</v>
      </c>
      <c r="E580" s="40">
        <f>Pressure!H580</f>
        <v>81.256230789298584</v>
      </c>
      <c r="F580" s="10">
        <f t="shared" si="70"/>
        <v>4.5</v>
      </c>
      <c r="G580" s="4">
        <f t="shared" si="69"/>
        <v>215226.50643240038</v>
      </c>
      <c r="H580" s="42">
        <f t="shared" si="71"/>
        <v>8.0463952496393798</v>
      </c>
      <c r="I580" s="10">
        <f t="shared" si="72"/>
        <v>1.1960611242274755</v>
      </c>
      <c r="J580" s="4">
        <f t="shared" si="73"/>
        <v>493.59004167594679</v>
      </c>
      <c r="K580" s="4">
        <f t="shared" si="67"/>
        <v>110.96399480148078</v>
      </c>
      <c r="L580" s="42">
        <f>Pressure!Q580</f>
        <v>0.26768332556028523</v>
      </c>
      <c r="M580" s="10">
        <f t="shared" si="68"/>
        <v>0.23637393368929088</v>
      </c>
      <c r="N580" s="10">
        <f t="shared" si="74"/>
        <v>2.5992897854448858</v>
      </c>
    </row>
    <row r="581" spans="3:14">
      <c r="C581" s="4">
        <f>Pressure!AB581*1000000</f>
        <v>5078431.1595909912</v>
      </c>
      <c r="D581" s="78">
        <f>Pressure!I581</f>
        <v>8.1256230789298584E-5</v>
      </c>
      <c r="E581" s="40">
        <f>Pressure!H581</f>
        <v>81.256230789298584</v>
      </c>
      <c r="F581" s="10">
        <f t="shared" si="70"/>
        <v>4.5</v>
      </c>
      <c r="G581" s="4">
        <f t="shared" si="69"/>
        <v>215213.23939350742</v>
      </c>
      <c r="H581" s="42">
        <f t="shared" si="71"/>
        <v>8.0460073317565737</v>
      </c>
      <c r="I581" s="10">
        <f t="shared" si="72"/>
        <v>1.1960556074868738</v>
      </c>
      <c r="J581" s="4">
        <f t="shared" si="73"/>
        <v>493.55733918572747</v>
      </c>
      <c r="K581" s="4">
        <f t="shared" si="67"/>
        <v>110.95664295349299</v>
      </c>
      <c r="L581" s="42">
        <f>Pressure!Q581</f>
        <v>0.26816220632591298</v>
      </c>
      <c r="M581" s="10">
        <f t="shared" si="68"/>
        <v>0.23636294676722977</v>
      </c>
      <c r="N581" s="10">
        <f t="shared" si="74"/>
        <v>2.5992897854448858</v>
      </c>
    </row>
    <row r="582" spans="3:14">
      <c r="C582" s="4">
        <f>Pressure!AB582*1000000</f>
        <v>5078115.5622248445</v>
      </c>
      <c r="D582" s="78">
        <f>Pressure!I582</f>
        <v>8.1256230789298584E-5</v>
      </c>
      <c r="E582" s="40">
        <f>Pressure!H582</f>
        <v>81.256230789298584</v>
      </c>
      <c r="F582" s="10">
        <f t="shared" si="70"/>
        <v>4.5</v>
      </c>
      <c r="G582" s="4">
        <f t="shared" si="69"/>
        <v>215199.86504040938</v>
      </c>
      <c r="H582" s="42">
        <f t="shared" si="71"/>
        <v>8.0456162718062263</v>
      </c>
      <c r="I582" s="10">
        <f t="shared" si="72"/>
        <v>1.1960500454340639</v>
      </c>
      <c r="J582" s="4">
        <f t="shared" si="73"/>
        <v>493.52437217214532</v>
      </c>
      <c r="K582" s="4">
        <f t="shared" si="67"/>
        <v>110.94923163799859</v>
      </c>
      <c r="L582" s="42">
        <f>Pressure!Q582</f>
        <v>0.26864109650857126</v>
      </c>
      <c r="M582" s="10">
        <f t="shared" si="68"/>
        <v>0.23635187052541309</v>
      </c>
      <c r="N582" s="10">
        <f t="shared" si="74"/>
        <v>2.5992897854448858</v>
      </c>
    </row>
    <row r="583" spans="3:14">
      <c r="C583" s="4">
        <f>Pressure!AB583*1000000</f>
        <v>5077797.4326612968</v>
      </c>
      <c r="D583" s="78">
        <f>Pressure!I583</f>
        <v>8.1256230789298584E-5</v>
      </c>
      <c r="E583" s="40">
        <f>Pressure!H583</f>
        <v>81.256230789298584</v>
      </c>
      <c r="F583" s="10">
        <f t="shared" si="70"/>
        <v>4.5</v>
      </c>
      <c r="G583" s="4">
        <f t="shared" si="69"/>
        <v>215186.3833781073</v>
      </c>
      <c r="H583" s="42">
        <f t="shared" si="71"/>
        <v>8.0452220698306984</v>
      </c>
      <c r="I583" s="10">
        <f t="shared" si="72"/>
        <v>1.1960444380543558</v>
      </c>
      <c r="J583" s="4">
        <f t="shared" si="73"/>
        <v>493.49114064752763</v>
      </c>
      <c r="K583" s="4">
        <f t="shared" si="67"/>
        <v>110.9417608577689</v>
      </c>
      <c r="L583" s="42">
        <f>Pressure!Q583</f>
        <v>0.26911999618520749</v>
      </c>
      <c r="M583" s="10">
        <f t="shared" si="68"/>
        <v>0.23634070496213916</v>
      </c>
      <c r="N583" s="10">
        <f t="shared" si="74"/>
        <v>2.5992897854448858</v>
      </c>
    </row>
    <row r="584" spans="3:14">
      <c r="C584" s="4">
        <f>Pressure!AB584*1000000</f>
        <v>5077476.7710192408</v>
      </c>
      <c r="D584" s="78">
        <f>Pressure!I584</f>
        <v>8.1256230789298584E-5</v>
      </c>
      <c r="E584" s="40">
        <f>Pressure!H584</f>
        <v>81.256230789298584</v>
      </c>
      <c r="F584" s="10">
        <f t="shared" si="70"/>
        <v>4.5</v>
      </c>
      <c r="G584" s="4">
        <f t="shared" si="69"/>
        <v>215172.79441163962</v>
      </c>
      <c r="H584" s="42">
        <f t="shared" si="71"/>
        <v>8.044824725872612</v>
      </c>
      <c r="I584" s="10">
        <f t="shared" si="72"/>
        <v>1.1960387853329364</v>
      </c>
      <c r="J584" s="4">
        <f t="shared" si="73"/>
        <v>493.45764462429395</v>
      </c>
      <c r="K584" s="4">
        <f t="shared" si="67"/>
        <v>110.93423061559596</v>
      </c>
      <c r="L584" s="42">
        <f>Pressure!Q584</f>
        <v>0.26959890543278431</v>
      </c>
      <c r="M584" s="10">
        <f t="shared" si="68"/>
        <v>0.23632945007569217</v>
      </c>
      <c r="N584" s="10">
        <f t="shared" si="74"/>
        <v>2.5992897854448858</v>
      </c>
    </row>
    <row r="585" spans="3:14">
      <c r="C585" s="4">
        <f>Pressure!AB585*1000000</f>
        <v>5077153.5774189467</v>
      </c>
      <c r="D585" s="78">
        <f>Pressure!I585</f>
        <v>8.1256230789298584E-5</v>
      </c>
      <c r="E585" s="40">
        <f>Pressure!H585</f>
        <v>81.256230789298584</v>
      </c>
      <c r="F585" s="10">
        <f t="shared" si="70"/>
        <v>4.5</v>
      </c>
      <c r="G585" s="4">
        <f t="shared" si="69"/>
        <v>215159.09814610312</v>
      </c>
      <c r="H585" s="42">
        <f t="shared" si="71"/>
        <v>8.0444242399754469</v>
      </c>
      <c r="I585" s="10">
        <f t="shared" si="72"/>
        <v>1.1960330872548777</v>
      </c>
      <c r="J585" s="4">
        <f t="shared" si="73"/>
        <v>493.42388411500752</v>
      </c>
      <c r="K585" s="4">
        <f t="shared" si="67"/>
        <v>110.9266409143041</v>
      </c>
      <c r="L585" s="42">
        <f>Pressure!Q585</f>
        <v>0.27007782432827981</v>
      </c>
      <c r="M585" s="10">
        <f t="shared" si="68"/>
        <v>0.23631810586437133</v>
      </c>
      <c r="N585" s="10">
        <f t="shared" si="74"/>
        <v>2.5992897854448858</v>
      </c>
    </row>
    <row r="586" spans="3:14">
      <c r="C586" s="4">
        <f>Pressure!AB586*1000000</f>
        <v>5076827.8519813959</v>
      </c>
      <c r="D586" s="78">
        <f>Pressure!I586</f>
        <v>8.1256230789298584E-5</v>
      </c>
      <c r="E586" s="40">
        <f>Pressure!H586</f>
        <v>81.256230789298584</v>
      </c>
      <c r="F586" s="10">
        <f t="shared" si="70"/>
        <v>4.5</v>
      </c>
      <c r="G586" s="4">
        <f t="shared" si="69"/>
        <v>215145.29458662475</v>
      </c>
      <c r="H586" s="42">
        <f t="shared" si="71"/>
        <v>8.0440206121827327</v>
      </c>
      <c r="I586" s="10">
        <f t="shared" si="72"/>
        <v>1.1960273438051254</v>
      </c>
      <c r="J586" s="4">
        <f t="shared" si="73"/>
        <v>493.38985913230596</v>
      </c>
      <c r="K586" s="4">
        <f t="shared" si="67"/>
        <v>110.9189917567344</v>
      </c>
      <c r="L586" s="42">
        <f>Pressure!Q586</f>
        <v>0.27055675294868764</v>
      </c>
      <c r="M586" s="10">
        <f t="shared" si="68"/>
        <v>0.23630667232645913</v>
      </c>
      <c r="N586" s="10">
        <f t="shared" si="74"/>
        <v>2.5992897854448858</v>
      </c>
    </row>
    <row r="587" spans="3:14">
      <c r="C587" s="4">
        <f>Pressure!AB587*1000000</f>
        <v>5076499.5948288748</v>
      </c>
      <c r="D587" s="78">
        <f>Pressure!I587</f>
        <v>8.1256230789298584E-5</v>
      </c>
      <c r="E587" s="40">
        <f>Pressure!H587</f>
        <v>81.256230789298584</v>
      </c>
      <c r="F587" s="10">
        <f t="shared" si="70"/>
        <v>4.5</v>
      </c>
      <c r="G587" s="4">
        <f t="shared" si="69"/>
        <v>215131.38373838676</v>
      </c>
      <c r="H587" s="42">
        <f t="shared" si="71"/>
        <v>8.04361384253877</v>
      </c>
      <c r="I587" s="10">
        <f t="shared" si="72"/>
        <v>1.1960215549685094</v>
      </c>
      <c r="J587" s="4">
        <f t="shared" si="73"/>
        <v>493.35556968896321</v>
      </c>
      <c r="K587" s="4">
        <f t="shared" si="67"/>
        <v>110.91128314575856</v>
      </c>
      <c r="L587" s="42">
        <f>Pressure!Q587</f>
        <v>0.27103569137101707</v>
      </c>
      <c r="M587" s="10">
        <f t="shared" si="68"/>
        <v>0.23629514946021948</v>
      </c>
      <c r="N587" s="10">
        <f t="shared" si="74"/>
        <v>2.5992897854448858</v>
      </c>
    </row>
    <row r="588" spans="3:14">
      <c r="C588" s="4">
        <f>Pressure!AB588*1000000</f>
        <v>5076168.8060847456</v>
      </c>
      <c r="D588" s="78">
        <f>Pressure!I588</f>
        <v>8.1256230789298584E-5</v>
      </c>
      <c r="E588" s="40">
        <f>Pressure!H588</f>
        <v>81.256230789298584</v>
      </c>
      <c r="F588" s="10">
        <f t="shared" si="70"/>
        <v>4.5</v>
      </c>
      <c r="G588" s="4">
        <f t="shared" si="69"/>
        <v>215117.36560661698</v>
      </c>
      <c r="H588" s="42">
        <f t="shared" si="71"/>
        <v>8.0432039310883496</v>
      </c>
      <c r="I588" s="10">
        <f t="shared" si="72"/>
        <v>1.1960157207297388</v>
      </c>
      <c r="J588" s="4">
        <f t="shared" si="73"/>
        <v>493.32101579786558</v>
      </c>
      <c r="K588" s="4">
        <f t="shared" si="67"/>
        <v>110.90351508427355</v>
      </c>
      <c r="L588" s="42">
        <f>Pressure!Q588</f>
        <v>0.27151463967229322</v>
      </c>
      <c r="M588" s="10">
        <f t="shared" si="68"/>
        <v>0.2362835372639342</v>
      </c>
      <c r="N588" s="10">
        <f t="shared" si="74"/>
        <v>2.5992897854448858</v>
      </c>
    </row>
    <row r="589" spans="3:14">
      <c r="C589" s="4">
        <f>Pressure!AB589*1000000</f>
        <v>5075835.4858732987</v>
      </c>
      <c r="D589" s="78">
        <f>Pressure!I589</f>
        <v>8.1256230789298584E-5</v>
      </c>
      <c r="E589" s="40">
        <f>Pressure!H589</f>
        <v>81.256230789298584</v>
      </c>
      <c r="F589" s="10">
        <f t="shared" si="70"/>
        <v>4.5</v>
      </c>
      <c r="G589" s="4">
        <f t="shared" si="69"/>
        <v>215103.24019658254</v>
      </c>
      <c r="H589" s="42">
        <f t="shared" si="71"/>
        <v>8.0427908778765822</v>
      </c>
      <c r="I589" s="10">
        <f t="shared" si="72"/>
        <v>1.1960098410734006</v>
      </c>
      <c r="J589" s="4">
        <f t="shared" si="73"/>
        <v>493.28619747199633</v>
      </c>
      <c r="K589" s="4">
        <f t="shared" si="67"/>
        <v>110.89568757519814</v>
      </c>
      <c r="L589" s="42">
        <f>Pressure!Q589</f>
        <v>0.27199359792955707</v>
      </c>
      <c r="M589" s="10">
        <f t="shared" si="68"/>
        <v>0.23627183573583863</v>
      </c>
      <c r="N589" s="10">
        <f t="shared" si="74"/>
        <v>2.5992897854448858</v>
      </c>
    </row>
    <row r="590" spans="3:14">
      <c r="C590" s="4">
        <f>Pressure!AB590*1000000</f>
        <v>5075499.6343200393</v>
      </c>
      <c r="D590" s="78">
        <f>Pressure!I590</f>
        <v>8.1256230789298584E-5</v>
      </c>
      <c r="E590" s="40">
        <f>Pressure!H590</f>
        <v>81.256230789298584</v>
      </c>
      <c r="F590" s="10">
        <f t="shared" si="70"/>
        <v>4.5</v>
      </c>
      <c r="G590" s="4">
        <f t="shared" si="69"/>
        <v>215089.00751360215</v>
      </c>
      <c r="H590" s="42">
        <f t="shared" si="71"/>
        <v>8.0423746829492302</v>
      </c>
      <c r="I590" s="10">
        <f t="shared" si="72"/>
        <v>1.1960039159839628</v>
      </c>
      <c r="J590" s="4">
        <f t="shared" si="73"/>
        <v>493.25111472446559</v>
      </c>
      <c r="K590" s="4">
        <f t="shared" si="67"/>
        <v>110.88780062147961</v>
      </c>
      <c r="L590" s="42">
        <f>Pressure!Q590</f>
        <v>0.27247256621986565</v>
      </c>
      <c r="M590" s="10">
        <f t="shared" si="68"/>
        <v>0.23626004487418012</v>
      </c>
      <c r="N590" s="10">
        <f t="shared" si="74"/>
        <v>2.5992897854448858</v>
      </c>
    </row>
    <row r="591" spans="3:14">
      <c r="C591" s="4">
        <f>Pressure!AB591*1000000</f>
        <v>5075161.2515514223</v>
      </c>
      <c r="D591" s="78">
        <f>Pressure!I591</f>
        <v>8.1256230789298584E-5</v>
      </c>
      <c r="E591" s="40">
        <f>Pressure!H591</f>
        <v>81.256230789298584</v>
      </c>
      <c r="F591" s="10">
        <f t="shared" si="70"/>
        <v>4.5</v>
      </c>
      <c r="G591" s="4">
        <f t="shared" si="69"/>
        <v>215074.66756303463</v>
      </c>
      <c r="H591" s="42">
        <f t="shared" si="71"/>
        <v>8.0419553463524025</v>
      </c>
      <c r="I591" s="10">
        <f t="shared" si="72"/>
        <v>1.1959979454457719</v>
      </c>
      <c r="J591" s="4">
        <f t="shared" si="73"/>
        <v>493.2157675684827</v>
      </c>
      <c r="K591" s="4">
        <f t="shared" ref="K591:K654" si="75">J591/4.4482</f>
        <v>110.87985422608756</v>
      </c>
      <c r="L591" s="42">
        <f>Pressure!Q591</f>
        <v>0.27295154462029214</v>
      </c>
      <c r="M591" s="10">
        <f t="shared" ref="M591:M654" si="76">(J591+J590)/2*(L591-L590)</f>
        <v>0.23624816467719076</v>
      </c>
      <c r="N591" s="10">
        <f t="shared" si="74"/>
        <v>2.5992897854448858</v>
      </c>
    </row>
    <row r="592" spans="3:14">
      <c r="C592" s="4">
        <f>Pressure!AB592*1000000</f>
        <v>5074820.337695254</v>
      </c>
      <c r="D592" s="78">
        <f>Pressure!I592</f>
        <v>8.1256230789298584E-5</v>
      </c>
      <c r="E592" s="40">
        <f>Pressure!H592</f>
        <v>81.256230789298584</v>
      </c>
      <c r="F592" s="10">
        <f t="shared" si="70"/>
        <v>4.5</v>
      </c>
      <c r="G592" s="4">
        <f t="shared" si="69"/>
        <v>215060.22035029621</v>
      </c>
      <c r="H592" s="42">
        <f t="shared" si="71"/>
        <v>8.0415328681330269</v>
      </c>
      <c r="I592" s="10">
        <f t="shared" si="72"/>
        <v>1.1959919294430577</v>
      </c>
      <c r="J592" s="4">
        <f t="shared" si="73"/>
        <v>493.18015601739825</v>
      </c>
      <c r="K592" s="4">
        <f t="shared" si="75"/>
        <v>110.87184839202335</v>
      </c>
      <c r="L592" s="42">
        <f>Pressure!Q592</f>
        <v>0.27343053320792599</v>
      </c>
      <c r="M592" s="10">
        <f t="shared" si="76"/>
        <v>0.2362361951430911</v>
      </c>
      <c r="N592" s="10">
        <f t="shared" si="74"/>
        <v>2.5992897854448858</v>
      </c>
    </row>
    <row r="593" spans="3:14">
      <c r="C593" s="4">
        <f>Pressure!AB593*1000000</f>
        <v>5074476.8928799909</v>
      </c>
      <c r="D593" s="78">
        <f>Pressure!I593</f>
        <v>8.1256230789298584E-5</v>
      </c>
      <c r="E593" s="40">
        <f>Pressure!H593</f>
        <v>81.256230789298584</v>
      </c>
      <c r="F593" s="10">
        <f t="shared" si="70"/>
        <v>4.5</v>
      </c>
      <c r="G593" s="4">
        <f t="shared" si="69"/>
        <v>215045.66588083055</v>
      </c>
      <c r="H593" s="42">
        <f t="shared" si="71"/>
        <v>8.041107248338017</v>
      </c>
      <c r="I593" s="10">
        <f t="shared" si="72"/>
        <v>1.1959858679599222</v>
      </c>
      <c r="J593" s="4">
        <f t="shared" si="73"/>
        <v>493.14428008463068</v>
      </c>
      <c r="K593" s="4">
        <f t="shared" si="75"/>
        <v>110.86378312230356</v>
      </c>
      <c r="L593" s="42">
        <f>Pressure!Q593</f>
        <v>0.27390953205987306</v>
      </c>
      <c r="M593" s="10">
        <f t="shared" si="76"/>
        <v>0.23622413627010982</v>
      </c>
      <c r="N593" s="10">
        <f t="shared" si="74"/>
        <v>2.5992897854448858</v>
      </c>
    </row>
    <row r="594" spans="3:14">
      <c r="C594" s="4">
        <f>Pressure!AB594*1000000</f>
        <v>5074130.9172353949</v>
      </c>
      <c r="D594" s="78">
        <f>Pressure!I594</f>
        <v>8.1256230789298584E-5</v>
      </c>
      <c r="E594" s="40">
        <f>Pressure!H594</f>
        <v>81.256230789298584</v>
      </c>
      <c r="F594" s="10">
        <f t="shared" si="70"/>
        <v>4.5</v>
      </c>
      <c r="G594" s="4">
        <f t="shared" si="69"/>
        <v>215031.00416013671</v>
      </c>
      <c r="H594" s="42">
        <f t="shared" si="71"/>
        <v>8.0406784870150361</v>
      </c>
      <c r="I594" s="10">
        <f t="shared" si="72"/>
        <v>1.1959797609803509</v>
      </c>
      <c r="J594" s="4">
        <f t="shared" si="73"/>
        <v>493.10813978373483</v>
      </c>
      <c r="K594" s="4">
        <f t="shared" si="75"/>
        <v>110.85565841997546</v>
      </c>
      <c r="L594" s="42">
        <f>Pressure!Q594</f>
        <v>0.27438854125325579</v>
      </c>
      <c r="M594" s="10">
        <f t="shared" si="76"/>
        <v>0.23621198805645513</v>
      </c>
      <c r="N594" s="10">
        <f t="shared" si="74"/>
        <v>2.5992897854448858</v>
      </c>
    </row>
    <row r="595" spans="3:14">
      <c r="C595" s="4">
        <f>Pressure!AB595*1000000</f>
        <v>5073782.4108925276</v>
      </c>
      <c r="D595" s="78">
        <f>Pressure!I595</f>
        <v>8.1256230789298584E-5</v>
      </c>
      <c r="E595" s="40">
        <f>Pressure!H595</f>
        <v>81.256230789298584</v>
      </c>
      <c r="F595" s="10">
        <f t="shared" si="70"/>
        <v>4.5</v>
      </c>
      <c r="G595" s="4">
        <f t="shared" si="69"/>
        <v>215016.23519376884</v>
      </c>
      <c r="H595" s="42">
        <f t="shared" si="71"/>
        <v>8.040246584212543</v>
      </c>
      <c r="I595" s="10">
        <f t="shared" si="72"/>
        <v>1.1959736084882118</v>
      </c>
      <c r="J595" s="4">
        <f t="shared" si="73"/>
        <v>493.0717351284012</v>
      </c>
      <c r="K595" s="4">
        <f t="shared" si="75"/>
        <v>110.84747428811681</v>
      </c>
      <c r="L595" s="42">
        <f>Pressure!Q595</f>
        <v>0.27486756086521313</v>
      </c>
      <c r="M595" s="10">
        <f t="shared" si="76"/>
        <v>0.23619975050027628</v>
      </c>
      <c r="N595" s="10">
        <f t="shared" si="74"/>
        <v>2.5992897854448858</v>
      </c>
    </row>
    <row r="596" spans="3:14">
      <c r="C596" s="4">
        <f>Pressure!AB596*1000000</f>
        <v>5073431.3739831001</v>
      </c>
      <c r="D596" s="78">
        <f>Pressure!I596</f>
        <v>8.1256230789298584E-5</v>
      </c>
      <c r="E596" s="40">
        <f>Pressure!H596</f>
        <v>81.256230789298584</v>
      </c>
      <c r="F596" s="10">
        <f t="shared" si="70"/>
        <v>4.5</v>
      </c>
      <c r="G596" s="4">
        <f t="shared" si="69"/>
        <v>215001.35898730851</v>
      </c>
      <c r="H596" s="42">
        <f t="shared" si="71"/>
        <v>8.0398115399789418</v>
      </c>
      <c r="I596" s="10">
        <f t="shared" si="72"/>
        <v>1.1959674104672446</v>
      </c>
      <c r="J596" s="4">
        <f t="shared" si="73"/>
        <v>493.03506613238824</v>
      </c>
      <c r="K596" s="4">
        <f t="shared" si="75"/>
        <v>110.83923072982066</v>
      </c>
      <c r="L596" s="42">
        <f>Pressure!Q596</f>
        <v>0.27534659097290093</v>
      </c>
      <c r="M596" s="10">
        <f t="shared" si="76"/>
        <v>0.23618742359981129</v>
      </c>
      <c r="N596" s="10">
        <f t="shared" si="74"/>
        <v>2.5992897854448858</v>
      </c>
    </row>
    <row r="597" spans="3:14">
      <c r="C597" s="4">
        <f>Pressure!AB597*1000000</f>
        <v>5073077.8066400718</v>
      </c>
      <c r="D597" s="78">
        <f>Pressure!I597</f>
        <v>8.1256230789298584E-5</v>
      </c>
      <c r="E597" s="40">
        <f>Pressure!H597</f>
        <v>81.256230789298584</v>
      </c>
      <c r="F597" s="10">
        <f t="shared" si="70"/>
        <v>4.5</v>
      </c>
      <c r="G597" s="4">
        <f t="shared" si="69"/>
        <v>214986.37554639031</v>
      </c>
      <c r="H597" s="42">
        <f t="shared" si="71"/>
        <v>8.039373354363347</v>
      </c>
      <c r="I597" s="10">
        <f t="shared" si="72"/>
        <v>1.195961166901071</v>
      </c>
      <c r="J597" s="4">
        <f t="shared" si="73"/>
        <v>492.99813280958466</v>
      </c>
      <c r="K597" s="4">
        <f t="shared" si="75"/>
        <v>110.83092774820932</v>
      </c>
      <c r="L597" s="42">
        <f>Pressure!Q597</f>
        <v>0.27582563165349189</v>
      </c>
      <c r="M597" s="10">
        <f t="shared" si="76"/>
        <v>0.23617500735322139</v>
      </c>
      <c r="N597" s="10">
        <f t="shared" si="74"/>
        <v>2.5992897854448858</v>
      </c>
    </row>
    <row r="598" spans="3:14">
      <c r="C598" s="4">
        <f>Pressure!AB598*1000000</f>
        <v>5072721.7089976761</v>
      </c>
      <c r="D598" s="78">
        <f>Pressure!I598</f>
        <v>8.1256230789298584E-5</v>
      </c>
      <c r="E598" s="40">
        <f>Pressure!H598</f>
        <v>81.256230789298584</v>
      </c>
      <c r="F598" s="10">
        <f t="shared" si="70"/>
        <v>4.5</v>
      </c>
      <c r="G598" s="4">
        <f t="shared" si="69"/>
        <v>214971.28487670276</v>
      </c>
      <c r="H598" s="42">
        <f t="shared" si="71"/>
        <v>8.038932027415612</v>
      </c>
      <c r="I598" s="10">
        <f t="shared" si="72"/>
        <v>1.1959548777731952</v>
      </c>
      <c r="J598" s="4">
        <f t="shared" si="73"/>
        <v>492.96093517401266</v>
      </c>
      <c r="K598" s="4">
        <f t="shared" si="75"/>
        <v>110.82256534643511</v>
      </c>
      <c r="L598" s="42">
        <f>Pressure!Q598</f>
        <v>0.27630468298417571</v>
      </c>
      <c r="M598" s="10">
        <f t="shared" si="76"/>
        <v>0.23616250175866152</v>
      </c>
      <c r="N598" s="10">
        <f t="shared" si="74"/>
        <v>2.5992897854448858</v>
      </c>
    </row>
    <row r="599" spans="3:14">
      <c r="C599" s="4">
        <f>Pressure!AB599*1000000</f>
        <v>5072363.0811909093</v>
      </c>
      <c r="D599" s="78">
        <f>Pressure!I599</f>
        <v>8.1256230789298584E-5</v>
      </c>
      <c r="E599" s="40">
        <f>Pressure!H599</f>
        <v>81.256230789298584</v>
      </c>
      <c r="F599" s="10">
        <f t="shared" si="70"/>
        <v>4.5</v>
      </c>
      <c r="G599" s="4">
        <f t="shared" si="69"/>
        <v>214956.0869839667</v>
      </c>
      <c r="H599" s="42">
        <f t="shared" si="71"/>
        <v>8.0384875591856897</v>
      </c>
      <c r="I599" s="10">
        <f t="shared" si="72"/>
        <v>1.1959485430669941</v>
      </c>
      <c r="J599" s="4">
        <f t="shared" si="73"/>
        <v>492.92347323977344</v>
      </c>
      <c r="K599" s="4">
        <f t="shared" si="75"/>
        <v>110.81414352766815</v>
      </c>
      <c r="L599" s="42">
        <f>Pressure!Q599</f>
        <v>0.27678374504215925</v>
      </c>
      <c r="M599" s="10">
        <f t="shared" si="76"/>
        <v>0.23614990681429512</v>
      </c>
      <c r="N599" s="10">
        <f t="shared" si="74"/>
        <v>2.5992897854448858</v>
      </c>
    </row>
    <row r="600" spans="3:14">
      <c r="C600" s="4">
        <f>Pressure!AB600*1000000</f>
        <v>5072001.9233560534</v>
      </c>
      <c r="D600" s="78">
        <f>Pressure!I600</f>
        <v>8.1256230789298584E-5</v>
      </c>
      <c r="E600" s="40">
        <f>Pressure!H600</f>
        <v>81.256230789298584</v>
      </c>
      <c r="F600" s="10">
        <f t="shared" si="70"/>
        <v>4.5</v>
      </c>
      <c r="G600" s="4">
        <f t="shared" si="69"/>
        <v>214940.78187395752</v>
      </c>
      <c r="H600" s="42">
        <f t="shared" si="71"/>
        <v>8.0380399497242863</v>
      </c>
      <c r="I600" s="10">
        <f t="shared" si="72"/>
        <v>1.1959421627657272</v>
      </c>
      <c r="J600" s="4">
        <f t="shared" si="73"/>
        <v>492.88574702110321</v>
      </c>
      <c r="K600" s="4">
        <f t="shared" si="75"/>
        <v>110.80566229510886</v>
      </c>
      <c r="L600" s="42">
        <f>Pressure!Q600</f>
        <v>0.27726281790466661</v>
      </c>
      <c r="M600" s="10">
        <f t="shared" si="76"/>
        <v>0.23613722251826735</v>
      </c>
      <c r="N600" s="10">
        <f t="shared" si="74"/>
        <v>2.5992897854448858</v>
      </c>
    </row>
    <row r="601" spans="3:14">
      <c r="C601" s="4">
        <f>Pressure!AB601*1000000</f>
        <v>5071638.2356304973</v>
      </c>
      <c r="D601" s="78">
        <f>Pressure!I601</f>
        <v>8.1256230789298584E-5</v>
      </c>
      <c r="E601" s="40">
        <f>Pressure!H601</f>
        <v>81.256230789298584</v>
      </c>
      <c r="F601" s="10">
        <f t="shared" si="70"/>
        <v>4.5</v>
      </c>
      <c r="G601" s="4">
        <f t="shared" si="69"/>
        <v>214925.36955249743</v>
      </c>
      <c r="H601" s="42">
        <f t="shared" si="71"/>
        <v>8.0375891990826336</v>
      </c>
      <c r="I601" s="10">
        <f t="shared" si="72"/>
        <v>1.195935736852533</v>
      </c>
      <c r="J601" s="4">
        <f t="shared" si="73"/>
        <v>492.84775653235346</v>
      </c>
      <c r="K601" s="4">
        <f t="shared" si="75"/>
        <v>110.7971216519836</v>
      </c>
      <c r="L601" s="42">
        <f>Pressure!Q601</f>
        <v>0.27774190164893925</v>
      </c>
      <c r="M601" s="10">
        <f t="shared" si="76"/>
        <v>0.23612444886868628</v>
      </c>
      <c r="N601" s="10">
        <f t="shared" si="74"/>
        <v>2.5992897854448858</v>
      </c>
    </row>
    <row r="602" spans="3:14">
      <c r="C602" s="4">
        <f>Pressure!AB602*1000000</f>
        <v>5071272.0181524111</v>
      </c>
      <c r="D602" s="78">
        <f>Pressure!I602</f>
        <v>8.1256230789298584E-5</v>
      </c>
      <c r="E602" s="40">
        <f>Pressure!H602</f>
        <v>81.256230789298584</v>
      </c>
      <c r="F602" s="10">
        <f t="shared" si="70"/>
        <v>4.5</v>
      </c>
      <c r="G602" s="4">
        <f t="shared" si="69"/>
        <v>214909.85002544179</v>
      </c>
      <c r="H602" s="42">
        <f t="shared" si="71"/>
        <v>8.0371353073120932</v>
      </c>
      <c r="I602" s="10">
        <f t="shared" si="72"/>
        <v>1.1959292653104228</v>
      </c>
      <c r="J602" s="4">
        <f t="shared" si="73"/>
        <v>492.80950178795706</v>
      </c>
      <c r="K602" s="4">
        <f t="shared" si="75"/>
        <v>110.78852160153704</v>
      </c>
      <c r="L602" s="42">
        <f>Pressure!Q602</f>
        <v>0.27822099635223624</v>
      </c>
      <c r="M602" s="10">
        <f t="shared" si="76"/>
        <v>0.23611158586374664</v>
      </c>
      <c r="N602" s="10">
        <f t="shared" si="74"/>
        <v>2.5992897854448858</v>
      </c>
    </row>
    <row r="603" spans="3:14">
      <c r="C603" s="4">
        <f>Pressure!AB603*1000000</f>
        <v>5070903.2710614279</v>
      </c>
      <c r="D603" s="78">
        <f>Pressure!I603</f>
        <v>8.1256230789298584E-5</v>
      </c>
      <c r="E603" s="40">
        <f>Pressure!H603</f>
        <v>81.256230789298584</v>
      </c>
      <c r="F603" s="10">
        <f t="shared" si="70"/>
        <v>4.5</v>
      </c>
      <c r="G603" s="4">
        <f t="shared" si="69"/>
        <v>214894.22329870798</v>
      </c>
      <c r="H603" s="42">
        <f t="shared" si="71"/>
        <v>8.036678274465002</v>
      </c>
      <c r="I603" s="10">
        <f t="shared" si="72"/>
        <v>1.1959227481222936</v>
      </c>
      <c r="J603" s="4">
        <f t="shared" si="73"/>
        <v>492.77098280250027</v>
      </c>
      <c r="K603" s="4">
        <f t="shared" si="75"/>
        <v>110.77986214704831</v>
      </c>
      <c r="L603" s="42">
        <f>Pressure!Q603</f>
        <v>0.27870010209183416</v>
      </c>
      <c r="M603" s="10">
        <f t="shared" si="76"/>
        <v>0.23609863350149282</v>
      </c>
      <c r="N603" s="10">
        <f t="shared" si="74"/>
        <v>2.5992897854448858</v>
      </c>
    </row>
    <row r="604" spans="3:14">
      <c r="C604" s="4">
        <f>Pressure!AB604*1000000</f>
        <v>5070531.9944980424</v>
      </c>
      <c r="D604" s="78">
        <f>Pressure!I604</f>
        <v>8.1256230789298584E-5</v>
      </c>
      <c r="E604" s="40">
        <f>Pressure!H604</f>
        <v>81.256230789298584</v>
      </c>
      <c r="F604" s="10">
        <f t="shared" si="70"/>
        <v>4.5</v>
      </c>
      <c r="G604" s="4">
        <f t="shared" ref="G604:G667" si="77">IF(C604/(1+(k-1)/2*N604^2)^(k/(k-1))&lt;patm*1000000,patm*1000000,C604/(1+(k-1)/2*N604^2)^(k/(k-1)))</f>
        <v>214878.48937824983</v>
      </c>
      <c r="H604" s="42">
        <f t="shared" si="71"/>
        <v>8.0362181005939064</v>
      </c>
      <c r="I604" s="10">
        <f t="shared" si="72"/>
        <v>1.1959161852709161</v>
      </c>
      <c r="J604" s="4">
        <f t="shared" si="73"/>
        <v>492.73219959065881</v>
      </c>
      <c r="K604" s="4">
        <f t="shared" si="75"/>
        <v>110.77114329181664</v>
      </c>
      <c r="L604" s="42">
        <f>Pressure!Q604</f>
        <v>0.27917921894502745</v>
      </c>
      <c r="M604" s="10">
        <f t="shared" si="76"/>
        <v>0.23608559178009431</v>
      </c>
      <c r="N604" s="10">
        <f t="shared" si="74"/>
        <v>2.5992897854448858</v>
      </c>
    </row>
    <row r="605" spans="3:14">
      <c r="C605" s="4">
        <f>Pressure!AB605*1000000</f>
        <v>5070158.1886037532</v>
      </c>
      <c r="D605" s="78">
        <f>Pressure!I605</f>
        <v>8.1256230789298584E-5</v>
      </c>
      <c r="E605" s="40">
        <f>Pressure!H605</f>
        <v>81.256230789298584</v>
      </c>
      <c r="F605" s="10">
        <f t="shared" ref="F605:F668" si="78">aexit/E605</f>
        <v>4.5</v>
      </c>
      <c r="G605" s="4">
        <f t="shared" si="77"/>
        <v>214862.6482700638</v>
      </c>
      <c r="H605" s="42">
        <f t="shared" ref="H605:H668" si="79">1/(((k+1)/2)^(1/(k-1))*(patm*1000000/C605)^(1/k)*SQRT((k+1)/(k-1)*(1-(patm*1000000/C605)^((k-1)/k))))</f>
        <v>8.0357547857517613</v>
      </c>
      <c r="I605" s="10">
        <f t="shared" ref="I605:I668" si="80">etanoz*SQRT(2*k^2/(k-1)*(2/(k+1))^((k+1)/(k-1))*(1-(G605/C605)^((k-1)/k)))+(G605-patm*1000000)/C605*(aexit/E605)</f>
        <v>1.1959095767389383</v>
      </c>
      <c r="J605" s="4">
        <f t="shared" ref="J605:J668" si="81">I605*D605*C605</f>
        <v>492.69315216721355</v>
      </c>
      <c r="K605" s="4">
        <f t="shared" si="75"/>
        <v>110.76236503916496</v>
      </c>
      <c r="L605" s="42">
        <f>Pressure!Q605</f>
        <v>0.27965834698912839</v>
      </c>
      <c r="M605" s="10">
        <f t="shared" si="76"/>
        <v>0.23607246069761531</v>
      </c>
      <c r="N605" s="10">
        <f t="shared" si="74"/>
        <v>2.5992897854448858</v>
      </c>
    </row>
    <row r="606" spans="3:14">
      <c r="C606" s="4">
        <f>Pressure!AB606*1000000</f>
        <v>5069781.8535213759</v>
      </c>
      <c r="D606" s="78">
        <f>Pressure!I606</f>
        <v>8.1256230789298584E-5</v>
      </c>
      <c r="E606" s="40">
        <f>Pressure!H606</f>
        <v>81.256230789298584</v>
      </c>
      <c r="F606" s="10">
        <f t="shared" si="78"/>
        <v>4.5</v>
      </c>
      <c r="G606" s="4">
        <f t="shared" si="77"/>
        <v>214846.6999802021</v>
      </c>
      <c r="H606" s="42">
        <f t="shared" si="79"/>
        <v>8.035288329992321</v>
      </c>
      <c r="I606" s="10">
        <f t="shared" si="80"/>
        <v>1.1959029225088902</v>
      </c>
      <c r="J606" s="4">
        <f t="shared" si="81"/>
        <v>492.65384054708306</v>
      </c>
      <c r="K606" s="4">
        <f t="shared" si="75"/>
        <v>110.75352739244707</v>
      </c>
      <c r="L606" s="42">
        <f>Pressure!Q606</f>
        <v>0.28013748630146723</v>
      </c>
      <c r="M606" s="10">
        <f t="shared" si="76"/>
        <v>0.23605924025213545</v>
      </c>
      <c r="N606" s="10">
        <f t="shared" ref="N606:N669" si="82">N605-1/834*(me-mef)</f>
        <v>2.5992897854448858</v>
      </c>
    </row>
    <row r="607" spans="3:14">
      <c r="C607" s="4">
        <f>Pressure!AB607*1000000</f>
        <v>5069402.9893946471</v>
      </c>
      <c r="D607" s="78">
        <f>Pressure!I607</f>
        <v>8.1256230789298584E-5</v>
      </c>
      <c r="E607" s="40">
        <f>Pressure!H607</f>
        <v>81.256230789298584</v>
      </c>
      <c r="F607" s="10">
        <f t="shared" si="78"/>
        <v>4.5</v>
      </c>
      <c r="G607" s="4">
        <f t="shared" si="77"/>
        <v>214830.64451475599</v>
      </c>
      <c r="H607" s="42">
        <f t="shared" si="79"/>
        <v>8.0348187333696242</v>
      </c>
      <c r="I607" s="10">
        <f t="shared" si="80"/>
        <v>1.1958962225631766</v>
      </c>
      <c r="J607" s="4">
        <f t="shared" si="81"/>
        <v>492.61426474528162</v>
      </c>
      <c r="K607" s="4">
        <f t="shared" si="75"/>
        <v>110.74463035503835</v>
      </c>
      <c r="L607" s="42">
        <f>Pressure!Q607</f>
        <v>0.28061663695939243</v>
      </c>
      <c r="M607" s="10">
        <f t="shared" si="76"/>
        <v>0.23604593044177494</v>
      </c>
      <c r="N607" s="10">
        <f t="shared" si="82"/>
        <v>2.5992897854448858</v>
      </c>
    </row>
    <row r="608" spans="3:14">
      <c r="C608" s="4">
        <f>Pressure!AB608*1000000</f>
        <v>5069021.5963684488</v>
      </c>
      <c r="D608" s="78">
        <f>Pressure!I608</f>
        <v>8.1256230789298584E-5</v>
      </c>
      <c r="E608" s="40">
        <f>Pressure!H608</f>
        <v>81.256230789298584</v>
      </c>
      <c r="F608" s="10">
        <f t="shared" si="78"/>
        <v>4.5</v>
      </c>
      <c r="G608" s="4">
        <f t="shared" si="77"/>
        <v>214814.48187986526</v>
      </c>
      <c r="H608" s="42">
        <f t="shared" si="79"/>
        <v>8.0343459959382884</v>
      </c>
      <c r="I608" s="10">
        <f t="shared" si="80"/>
        <v>1.1958894768840815</v>
      </c>
      <c r="J608" s="4">
        <f t="shared" si="81"/>
        <v>492.5744247769436</v>
      </c>
      <c r="K608" s="4">
        <f t="shared" si="75"/>
        <v>110.73567393034118</v>
      </c>
      <c r="L608" s="42">
        <f>Pressure!Q608</f>
        <v>0.2810957990402706</v>
      </c>
      <c r="M608" s="10">
        <f t="shared" si="76"/>
        <v>0.23603253126455362</v>
      </c>
      <c r="N608" s="10">
        <f t="shared" si="82"/>
        <v>2.5992897854448858</v>
      </c>
    </row>
    <row r="609" spans="3:14">
      <c r="C609" s="4">
        <f>Pressure!AB609*1000000</f>
        <v>5068637.6745886458</v>
      </c>
      <c r="D609" s="78">
        <f>Pressure!I609</f>
        <v>8.1256230789298584E-5</v>
      </c>
      <c r="E609" s="40">
        <f>Pressure!H609</f>
        <v>81.256230789298584</v>
      </c>
      <c r="F609" s="10">
        <f t="shared" si="78"/>
        <v>4.5</v>
      </c>
      <c r="G609" s="4">
        <f t="shared" si="77"/>
        <v>214798.21208171133</v>
      </c>
      <c r="H609" s="42">
        <f t="shared" si="79"/>
        <v>8.0338701177533078</v>
      </c>
      <c r="I609" s="10">
        <f t="shared" si="80"/>
        <v>1.1958826854537652</v>
      </c>
      <c r="J609" s="4">
        <f t="shared" si="81"/>
        <v>492.53432065730607</v>
      </c>
      <c r="K609" s="4">
        <f t="shared" si="75"/>
        <v>110.72665812178096</v>
      </c>
      <c r="L609" s="42">
        <f>Pressure!Q609</f>
        <v>0.28157497262148679</v>
      </c>
      <c r="M609" s="10">
        <f t="shared" si="76"/>
        <v>0.23601904271855662</v>
      </c>
      <c r="N609" s="10">
        <f t="shared" si="82"/>
        <v>2.5992897854448858</v>
      </c>
    </row>
    <row r="610" spans="3:14">
      <c r="C610" s="4">
        <f>Pressure!AB610*1000000</f>
        <v>5068251.224202292</v>
      </c>
      <c r="D610" s="78">
        <f>Pressure!I610</f>
        <v>8.1256230789298584E-5</v>
      </c>
      <c r="E610" s="40">
        <f>Pressure!H610</f>
        <v>81.256230789298584</v>
      </c>
      <c r="F610" s="10">
        <f t="shared" si="78"/>
        <v>4.5</v>
      </c>
      <c r="G610" s="4">
        <f t="shared" si="77"/>
        <v>214781.83512652607</v>
      </c>
      <c r="H610" s="42">
        <f t="shared" si="79"/>
        <v>8.0333910988703092</v>
      </c>
      <c r="I610" s="10">
        <f t="shared" si="80"/>
        <v>1.1958758482542664</v>
      </c>
      <c r="J610" s="4">
        <f t="shared" si="81"/>
        <v>492.49395240172993</v>
      </c>
      <c r="K610" s="4">
        <f t="shared" si="75"/>
        <v>110.71758293281101</v>
      </c>
      <c r="L610" s="42">
        <f>Pressure!Q610</f>
        <v>0.28205415778044451</v>
      </c>
      <c r="M610" s="10">
        <f t="shared" si="76"/>
        <v>0.23600546480182572</v>
      </c>
      <c r="N610" s="10">
        <f t="shared" si="82"/>
        <v>2.5992897854448858</v>
      </c>
    </row>
    <row r="611" spans="3:14">
      <c r="C611" s="4">
        <f>Pressure!AB611*1000000</f>
        <v>5067862.2453575348</v>
      </c>
      <c r="D611" s="78">
        <f>Pressure!I611</f>
        <v>8.1256230789298584E-5</v>
      </c>
      <c r="E611" s="40">
        <f>Pressure!H611</f>
        <v>81.256230789298584</v>
      </c>
      <c r="F611" s="10">
        <f t="shared" si="78"/>
        <v>4.5</v>
      </c>
      <c r="G611" s="4">
        <f t="shared" si="77"/>
        <v>214765.35102058764</v>
      </c>
      <c r="H611" s="42">
        <f t="shared" si="79"/>
        <v>8.0329089393454254</v>
      </c>
      <c r="I611" s="10">
        <f t="shared" si="80"/>
        <v>1.1958689652675027</v>
      </c>
      <c r="J611" s="4">
        <f t="shared" si="81"/>
        <v>492.45332002569063</v>
      </c>
      <c r="K611" s="4">
        <f t="shared" si="75"/>
        <v>110.70844836691036</v>
      </c>
      <c r="L611" s="42">
        <f>Pressure!Q611</f>
        <v>0.28253335459456597</v>
      </c>
      <c r="M611" s="10">
        <f t="shared" si="76"/>
        <v>0.23599179751241689</v>
      </c>
      <c r="N611" s="10">
        <f t="shared" si="82"/>
        <v>2.5992897854448858</v>
      </c>
    </row>
    <row r="612" spans="3:14">
      <c r="C612" s="4">
        <f>Pressure!AB612*1000000</f>
        <v>5067470.7382034091</v>
      </c>
      <c r="D612" s="78">
        <f>Pressure!I612</f>
        <v>8.1256230789298584E-5</v>
      </c>
      <c r="E612" s="40">
        <f>Pressure!H612</f>
        <v>81.256230789298584</v>
      </c>
      <c r="F612" s="10">
        <f t="shared" si="78"/>
        <v>4.5</v>
      </c>
      <c r="G612" s="4">
        <f t="shared" si="77"/>
        <v>214748.75977021182</v>
      </c>
      <c r="H612" s="42">
        <f t="shared" si="79"/>
        <v>8.032423639235045</v>
      </c>
      <c r="I612" s="10">
        <f t="shared" si="80"/>
        <v>1.1958620364752648</v>
      </c>
      <c r="J612" s="4">
        <f t="shared" si="81"/>
        <v>492.41242354475622</v>
      </c>
      <c r="K612" s="4">
        <f t="shared" si="75"/>
        <v>110.69925442757885</v>
      </c>
      <c r="L612" s="42">
        <f>Pressure!Q612</f>
        <v>0.28301256314129208</v>
      </c>
      <c r="M612" s="10">
        <f t="shared" si="76"/>
        <v>0.23597804084836549</v>
      </c>
      <c r="N612" s="10">
        <f t="shared" si="82"/>
        <v>2.5992897854448858</v>
      </c>
    </row>
    <row r="613" spans="3:14">
      <c r="C613" s="4">
        <f>Pressure!AB613*1000000</f>
        <v>5067076.7028902564</v>
      </c>
      <c r="D613" s="78">
        <f>Pressure!I613</f>
        <v>8.1256230789298584E-5</v>
      </c>
      <c r="E613" s="40">
        <f>Pressure!H613</f>
        <v>81.256230789298584</v>
      </c>
      <c r="F613" s="10">
        <f t="shared" si="78"/>
        <v>4.5</v>
      </c>
      <c r="G613" s="4">
        <f t="shared" si="77"/>
        <v>214732.06138176977</v>
      </c>
      <c r="H613" s="42">
        <f t="shared" si="79"/>
        <v>8.0319351985963401</v>
      </c>
      <c r="I613" s="10">
        <f t="shared" si="80"/>
        <v>1.1958550618592247</v>
      </c>
      <c r="J613" s="4">
        <f t="shared" si="81"/>
        <v>492.37126297463124</v>
      </c>
      <c r="K613" s="4">
        <f t="shared" si="75"/>
        <v>110.69000111834703</v>
      </c>
      <c r="L613" s="42">
        <f>Pressure!Q613</f>
        <v>0.28349178349808263</v>
      </c>
      <c r="M613" s="10">
        <f t="shared" si="76"/>
        <v>0.23596419480766403</v>
      </c>
      <c r="N613" s="10">
        <f t="shared" si="82"/>
        <v>2.5992897854448858</v>
      </c>
    </row>
    <row r="614" spans="3:14">
      <c r="C614" s="4">
        <f>Pressure!AB614*1000000</f>
        <v>5066680.1395694166</v>
      </c>
      <c r="D614" s="78">
        <f>Pressure!I614</f>
        <v>8.1256230789298584E-5</v>
      </c>
      <c r="E614" s="40">
        <f>Pressure!H614</f>
        <v>81.256230789298584</v>
      </c>
      <c r="F614" s="10">
        <f t="shared" si="78"/>
        <v>4.5</v>
      </c>
      <c r="G614" s="4">
        <f t="shared" si="77"/>
        <v>214715.25586167499</v>
      </c>
      <c r="H614" s="42">
        <f t="shared" si="79"/>
        <v>8.0314436174868646</v>
      </c>
      <c r="I614" s="10">
        <f t="shared" si="80"/>
        <v>1.1958480414009303</v>
      </c>
      <c r="J614" s="4">
        <f t="shared" si="81"/>
        <v>492.32983833112439</v>
      </c>
      <c r="K614" s="4">
        <f t="shared" si="75"/>
        <v>110.68068844276885</v>
      </c>
      <c r="L614" s="42">
        <f>Pressure!Q614</f>
        <v>0.28397101574241634</v>
      </c>
      <c r="M614" s="10">
        <f t="shared" si="76"/>
        <v>0.23595025938831957</v>
      </c>
      <c r="N614" s="10">
        <f t="shared" si="82"/>
        <v>2.5992897854448858</v>
      </c>
    </row>
    <row r="615" spans="3:14">
      <c r="C615" s="4">
        <f>Pressure!AB615*1000000</f>
        <v>5066281.0483933184</v>
      </c>
      <c r="D615" s="78">
        <f>Pressure!I615</f>
        <v>8.1256230789298584E-5</v>
      </c>
      <c r="E615" s="40">
        <f>Pressure!H615</f>
        <v>81.256230789298584</v>
      </c>
      <c r="F615" s="10">
        <f t="shared" si="78"/>
        <v>4.5</v>
      </c>
      <c r="G615" s="4">
        <f t="shared" si="77"/>
        <v>214698.34321638703</v>
      </c>
      <c r="H615" s="42">
        <f t="shared" si="79"/>
        <v>8.0309488959646806</v>
      </c>
      <c r="I615" s="10">
        <f t="shared" si="80"/>
        <v>1.1958409750818064</v>
      </c>
      <c r="J615" s="4">
        <f t="shared" si="81"/>
        <v>492.28814963015839</v>
      </c>
      <c r="K615" s="4">
        <f t="shared" si="75"/>
        <v>110.67131640442391</v>
      </c>
      <c r="L615" s="42">
        <f>Pressure!Q615</f>
        <v>0.28445025995179118</v>
      </c>
      <c r="M615" s="10">
        <f t="shared" si="76"/>
        <v>0.23593623458837562</v>
      </c>
      <c r="N615" s="10">
        <f t="shared" si="82"/>
        <v>2.5992897854448858</v>
      </c>
    </row>
    <row r="616" spans="3:14">
      <c r="C616" s="4">
        <f>Pressure!AB616*1000000</f>
        <v>5065879.4295154279</v>
      </c>
      <c r="D616" s="78">
        <f>Pressure!I616</f>
        <v>8.1256230789298584E-5</v>
      </c>
      <c r="E616" s="40">
        <f>Pressure!H616</f>
        <v>81.256230789298584</v>
      </c>
      <c r="F616" s="10">
        <f t="shared" si="78"/>
        <v>4.5</v>
      </c>
      <c r="G616" s="4">
        <f t="shared" si="77"/>
        <v>214681.32345240947</v>
      </c>
      <c r="H616" s="42">
        <f t="shared" si="79"/>
        <v>8.0304510340882924</v>
      </c>
      <c r="I616" s="10">
        <f t="shared" si="80"/>
        <v>1.195833862883154</v>
      </c>
      <c r="J616" s="4">
        <f t="shared" si="81"/>
        <v>492.24619688776403</v>
      </c>
      <c r="K616" s="4">
        <f t="shared" si="75"/>
        <v>110.66188500691607</v>
      </c>
      <c r="L616" s="42">
        <f>Pressure!Q616</f>
        <v>0.28492951620372425</v>
      </c>
      <c r="M616" s="10">
        <f t="shared" si="76"/>
        <v>0.23592212040577643</v>
      </c>
      <c r="N616" s="10">
        <f t="shared" si="82"/>
        <v>2.5992897854448858</v>
      </c>
    </row>
    <row r="617" spans="3:14">
      <c r="C617" s="4">
        <f>Pressure!AB617*1000000</f>
        <v>5065475.2830902757</v>
      </c>
      <c r="D617" s="78">
        <f>Pressure!I617</f>
        <v>8.1256230789298584E-5</v>
      </c>
      <c r="E617" s="40">
        <f>Pressure!H617</f>
        <v>81.256230789298584</v>
      </c>
      <c r="F617" s="10">
        <f t="shared" si="78"/>
        <v>4.5</v>
      </c>
      <c r="G617" s="4">
        <f t="shared" si="77"/>
        <v>214664.19657629105</v>
      </c>
      <c r="H617" s="42">
        <f t="shared" si="79"/>
        <v>8.0299500319166892</v>
      </c>
      <c r="I617" s="10">
        <f t="shared" si="80"/>
        <v>1.1958267047861504</v>
      </c>
      <c r="J617" s="4">
        <f t="shared" si="81"/>
        <v>492.2039801200836</v>
      </c>
      <c r="K617" s="4">
        <f t="shared" si="75"/>
        <v>110.65239425387429</v>
      </c>
      <c r="L617" s="42">
        <f>Pressure!Q617</f>
        <v>0.28540878457575214</v>
      </c>
      <c r="M617" s="10">
        <f t="shared" si="76"/>
        <v>0.2359079168385575</v>
      </c>
      <c r="N617" s="10">
        <f t="shared" si="82"/>
        <v>2.5992897854448858</v>
      </c>
    </row>
    <row r="618" spans="3:14">
      <c r="C618" s="4">
        <f>Pressure!AB618*1000000</f>
        <v>5065068.6092735566</v>
      </c>
      <c r="D618" s="78">
        <f>Pressure!I618</f>
        <v>8.1256230789298584E-5</v>
      </c>
      <c r="E618" s="40">
        <f>Pressure!H618</f>
        <v>81.256230789298584</v>
      </c>
      <c r="F618" s="10">
        <f t="shared" si="78"/>
        <v>4.5</v>
      </c>
      <c r="G618" s="4">
        <f t="shared" si="77"/>
        <v>214646.96259462973</v>
      </c>
      <c r="H618" s="42">
        <f t="shared" si="79"/>
        <v>8.0294458895094376</v>
      </c>
      <c r="I618" s="10">
        <f t="shared" si="80"/>
        <v>1.1958195007718508</v>
      </c>
      <c r="J618" s="4">
        <f t="shared" si="81"/>
        <v>492.16149934338074</v>
      </c>
      <c r="K618" s="4">
        <f t="shared" si="75"/>
        <v>110.64284414895481</v>
      </c>
      <c r="L618" s="42">
        <f>Pressure!Q618</f>
        <v>0.2858880651454308</v>
      </c>
      <c r="M618" s="10">
        <f t="shared" si="76"/>
        <v>0.23589362388463017</v>
      </c>
      <c r="N618" s="10">
        <f t="shared" si="82"/>
        <v>2.5992897854448858</v>
      </c>
    </row>
    <row r="619" spans="3:14">
      <c r="C619" s="4">
        <f>Pressure!AB619*1000000</f>
        <v>5064659.408222137</v>
      </c>
      <c r="D619" s="78">
        <f>Pressure!I619</f>
        <v>8.1256230789298584E-5</v>
      </c>
      <c r="E619" s="40">
        <f>Pressure!H619</f>
        <v>81.256230789298584</v>
      </c>
      <c r="F619" s="10">
        <f t="shared" si="78"/>
        <v>4.5</v>
      </c>
      <c r="G619" s="4">
        <f t="shared" si="77"/>
        <v>214629.62151407319</v>
      </c>
      <c r="H619" s="42">
        <f t="shared" si="79"/>
        <v>8.0289386069267241</v>
      </c>
      <c r="I619" s="10">
        <f t="shared" si="80"/>
        <v>1.1958122508211895</v>
      </c>
      <c r="J619" s="4">
        <f t="shared" si="81"/>
        <v>492.11875457404165</v>
      </c>
      <c r="K619" s="4">
        <f t="shared" si="75"/>
        <v>110.63323469584138</v>
      </c>
      <c r="L619" s="42">
        <f>Pressure!Q619</f>
        <v>0.28636735799033591</v>
      </c>
      <c r="M619" s="10">
        <f t="shared" si="76"/>
        <v>0.2358792415420029</v>
      </c>
      <c r="N619" s="10">
        <f t="shared" si="82"/>
        <v>2.5992897854448858</v>
      </c>
    </row>
    <row r="620" spans="3:14">
      <c r="C620" s="4">
        <f>Pressure!AB620*1000000</f>
        <v>5064247.680093687</v>
      </c>
      <c r="D620" s="78">
        <f>Pressure!I620</f>
        <v>8.1256230789298584E-5</v>
      </c>
      <c r="E620" s="40">
        <f>Pressure!H620</f>
        <v>81.256230789298584</v>
      </c>
      <c r="F620" s="10">
        <f t="shared" si="78"/>
        <v>4.5</v>
      </c>
      <c r="G620" s="4">
        <f t="shared" si="77"/>
        <v>214612.17334130319</v>
      </c>
      <c r="H620" s="42">
        <f t="shared" si="79"/>
        <v>8.0284281842288809</v>
      </c>
      <c r="I620" s="10">
        <f t="shared" si="80"/>
        <v>1.1958049549149707</v>
      </c>
      <c r="J620" s="4">
        <f t="shared" si="81"/>
        <v>492.07574582853618</v>
      </c>
      <c r="K620" s="4">
        <f t="shared" si="75"/>
        <v>110.62356589823663</v>
      </c>
      <c r="L620" s="42">
        <f>Pressure!Q620</f>
        <v>0.28684666318806284</v>
      </c>
      <c r="M620" s="10">
        <f t="shared" si="76"/>
        <v>0.23586476980860802</v>
      </c>
      <c r="N620" s="10">
        <f t="shared" si="82"/>
        <v>2.5992897854448858</v>
      </c>
    </row>
    <row r="621" spans="3:14">
      <c r="C621" s="4">
        <f>Pressure!AB621*1000000</f>
        <v>5063833.4250471639</v>
      </c>
      <c r="D621" s="78">
        <f>Pressure!I621</f>
        <v>8.1256230789298584E-5</v>
      </c>
      <c r="E621" s="40">
        <f>Pressure!H621</f>
        <v>81.256230789298584</v>
      </c>
      <c r="F621" s="10">
        <f t="shared" si="78"/>
        <v>4.5</v>
      </c>
      <c r="G621" s="4">
        <f t="shared" si="77"/>
        <v>214594.61808305598</v>
      </c>
      <c r="H621" s="42">
        <f t="shared" si="79"/>
        <v>8.0279146214770005</v>
      </c>
      <c r="I621" s="10">
        <f t="shared" si="80"/>
        <v>1.1957976130338799</v>
      </c>
      <c r="J621" s="4">
        <f t="shared" si="81"/>
        <v>492.03247312346917</v>
      </c>
      <c r="K621" s="4">
        <f t="shared" si="75"/>
        <v>110.61383775987348</v>
      </c>
      <c r="L621" s="42">
        <f>Pressure!Q621</f>
        <v>0.2873259808162269</v>
      </c>
      <c r="M621" s="10">
        <f t="shared" si="76"/>
        <v>0.23585020868241408</v>
      </c>
      <c r="N621" s="10">
        <f t="shared" si="82"/>
        <v>2.5992897854448858</v>
      </c>
    </row>
    <row r="622" spans="3:14">
      <c r="C622" s="4">
        <f>Pressure!AB622*1000000</f>
        <v>5063416.6432425361</v>
      </c>
      <c r="D622" s="78">
        <f>Pressure!I622</f>
        <v>8.1256230789298584E-5</v>
      </c>
      <c r="E622" s="40">
        <f>Pressure!H622</f>
        <v>81.256230789298584</v>
      </c>
      <c r="F622" s="10">
        <f t="shared" si="78"/>
        <v>4.5</v>
      </c>
      <c r="G622" s="4">
        <f t="shared" si="77"/>
        <v>214576.95574611067</v>
      </c>
      <c r="H622" s="42">
        <f t="shared" si="79"/>
        <v>8.027397918732575</v>
      </c>
      <c r="I622" s="10">
        <f t="shared" si="80"/>
        <v>1.1957902251584764</v>
      </c>
      <c r="J622" s="4">
        <f t="shared" si="81"/>
        <v>491.98893647555059</v>
      </c>
      <c r="K622" s="4">
        <f t="shared" si="75"/>
        <v>110.60405028450847</v>
      </c>
      <c r="L622" s="42">
        <f>Pressure!Q622</f>
        <v>0.28780531095246326</v>
      </c>
      <c r="M622" s="10">
        <f t="shared" si="76"/>
        <v>0.2358355581612944</v>
      </c>
      <c r="N622" s="10">
        <f t="shared" si="82"/>
        <v>2.5992897854448858</v>
      </c>
    </row>
    <row r="623" spans="3:14">
      <c r="C623" s="4">
        <f>Pressure!AB623*1000000</f>
        <v>5062997.3348409291</v>
      </c>
      <c r="D623" s="78">
        <f>Pressure!I623</f>
        <v>8.1256230789298584E-5</v>
      </c>
      <c r="E623" s="40">
        <f>Pressure!H623</f>
        <v>81.256230789298584</v>
      </c>
      <c r="F623" s="10">
        <f t="shared" si="78"/>
        <v>4.5</v>
      </c>
      <c r="G623" s="4">
        <f t="shared" si="77"/>
        <v>214559.18633729545</v>
      </c>
      <c r="H623" s="42">
        <f t="shared" si="79"/>
        <v>8.0268780760576721</v>
      </c>
      <c r="I623" s="10">
        <f t="shared" si="80"/>
        <v>1.1957827912691976</v>
      </c>
      <c r="J623" s="4">
        <f t="shared" si="81"/>
        <v>491.94513590161142</v>
      </c>
      <c r="K623" s="4">
        <f t="shared" si="75"/>
        <v>110.59420347592541</v>
      </c>
      <c r="L623" s="42">
        <f>Pressure!Q623</f>
        <v>0.28828465367442735</v>
      </c>
      <c r="M623" s="10">
        <f t="shared" si="76"/>
        <v>0.23582081824324203</v>
      </c>
      <c r="N623" s="10">
        <f t="shared" si="82"/>
        <v>2.5992897854448858</v>
      </c>
    </row>
    <row r="624" spans="3:14">
      <c r="C624" s="4">
        <f>Pressure!AB624*1000000</f>
        <v>5062575.5000045216</v>
      </c>
      <c r="D624" s="78">
        <f>Pressure!I624</f>
        <v>8.1256230789298584E-5</v>
      </c>
      <c r="E624" s="40">
        <f>Pressure!H624</f>
        <v>81.256230789298584</v>
      </c>
      <c r="F624" s="10">
        <f t="shared" si="78"/>
        <v>4.5</v>
      </c>
      <c r="G624" s="4">
        <f t="shared" si="77"/>
        <v>214541.3098634831</v>
      </c>
      <c r="H624" s="42">
        <f t="shared" si="79"/>
        <v>8.0263550935148462</v>
      </c>
      <c r="I624" s="10">
        <f t="shared" si="80"/>
        <v>1.1957753113463561</v>
      </c>
      <c r="J624" s="4">
        <f t="shared" si="81"/>
        <v>491.90107141859295</v>
      </c>
      <c r="K624" s="4">
        <f t="shared" si="75"/>
        <v>110.58429733793287</v>
      </c>
      <c r="L624" s="42">
        <f>Pressure!Q624</f>
        <v>0.28876400905979477</v>
      </c>
      <c r="M624" s="10">
        <f t="shared" si="76"/>
        <v>0.23580598892612523</v>
      </c>
      <c r="N624" s="10">
        <f t="shared" si="82"/>
        <v>2.5992897854448858</v>
      </c>
    </row>
    <row r="625" spans="3:14">
      <c r="C625" s="4">
        <f>Pressure!AB625*1000000</f>
        <v>5062151.1388965501</v>
      </c>
      <c r="D625" s="78">
        <f>Pressure!I625</f>
        <v>8.1256230789298584E-5</v>
      </c>
      <c r="E625" s="40">
        <f>Pressure!H625</f>
        <v>81.256230789298584</v>
      </c>
      <c r="F625" s="10">
        <f t="shared" si="78"/>
        <v>4.5</v>
      </c>
      <c r="G625" s="4">
        <f t="shared" si="77"/>
        <v>214523.32633159123</v>
      </c>
      <c r="H625" s="42">
        <f t="shared" si="79"/>
        <v>8.0258289711670923</v>
      </c>
      <c r="I625" s="10">
        <f t="shared" si="80"/>
        <v>1.1957677853701392</v>
      </c>
      <c r="J625" s="4">
        <f t="shared" si="81"/>
        <v>491.85674304354632</v>
      </c>
      <c r="K625" s="4">
        <f t="shared" si="75"/>
        <v>110.57433187436409</v>
      </c>
      <c r="L625" s="42">
        <f>Pressure!Q625</f>
        <v>0.28924337718626153</v>
      </c>
      <c r="M625" s="10">
        <f t="shared" si="76"/>
        <v>0.23579107020787585</v>
      </c>
      <c r="N625" s="10">
        <f t="shared" si="82"/>
        <v>2.5992897854448858</v>
      </c>
    </row>
    <row r="626" spans="3:14">
      <c r="C626" s="4">
        <f>Pressure!AB626*1000000</f>
        <v>5061724.2516812338</v>
      </c>
      <c r="D626" s="78">
        <f>Pressure!I626</f>
        <v>8.1256230789298584E-5</v>
      </c>
      <c r="E626" s="40">
        <f>Pressure!H626</f>
        <v>81.256230789298584</v>
      </c>
      <c r="F626" s="10">
        <f t="shared" si="78"/>
        <v>4.5</v>
      </c>
      <c r="G626" s="4">
        <f t="shared" si="77"/>
        <v>214505.23574857911</v>
      </c>
      <c r="H626" s="42">
        <f t="shared" si="79"/>
        <v>8.0252997090777978</v>
      </c>
      <c r="I626" s="10">
        <f t="shared" si="80"/>
        <v>1.1957602133206091</v>
      </c>
      <c r="J626" s="4">
        <f t="shared" si="81"/>
        <v>491.81215079362613</v>
      </c>
      <c r="K626" s="4">
        <f t="shared" si="75"/>
        <v>110.56430708907561</v>
      </c>
      <c r="L626" s="42">
        <f>Pressure!Q626</f>
        <v>0.28972275813154413</v>
      </c>
      <c r="M626" s="10">
        <f t="shared" si="76"/>
        <v>0.23577606208637841</v>
      </c>
      <c r="N626" s="10">
        <f t="shared" si="82"/>
        <v>2.5992897854448858</v>
      </c>
    </row>
    <row r="627" spans="3:14">
      <c r="C627" s="4">
        <f>Pressure!AB627*1000000</f>
        <v>5061294.838524105</v>
      </c>
      <c r="D627" s="78">
        <f>Pressure!I627</f>
        <v>8.1256230789298584E-5</v>
      </c>
      <c r="E627" s="40">
        <f>Pressure!H627</f>
        <v>81.256230789298584</v>
      </c>
      <c r="F627" s="10">
        <f t="shared" si="78"/>
        <v>4.5</v>
      </c>
      <c r="G627" s="4">
        <f t="shared" si="77"/>
        <v>214487.03812146166</v>
      </c>
      <c r="H627" s="42">
        <f t="shared" si="79"/>
        <v>8.0247673073111105</v>
      </c>
      <c r="I627" s="10">
        <f t="shared" si="80"/>
        <v>1.1957525951777068</v>
      </c>
      <c r="J627" s="4">
        <f t="shared" si="81"/>
        <v>491.76729468612353</v>
      </c>
      <c r="K627" s="4">
        <f t="shared" si="75"/>
        <v>110.55422298595467</v>
      </c>
      <c r="L627" s="42">
        <f>Pressure!Q627</f>
        <v>0.29020215197337967</v>
      </c>
      <c r="M627" s="10">
        <f t="shared" si="76"/>
        <v>0.23576096455950379</v>
      </c>
      <c r="N627" s="10">
        <f t="shared" si="82"/>
        <v>2.5992897854448858</v>
      </c>
    </row>
    <row r="628" spans="3:14">
      <c r="C628" s="4">
        <f>Pressure!AB628*1000000</f>
        <v>5060862.8995916629</v>
      </c>
      <c r="D628" s="78">
        <f>Pressure!I628</f>
        <v>8.1256230789298584E-5</v>
      </c>
      <c r="E628" s="40">
        <f>Pressure!H628</f>
        <v>81.256230789298584</v>
      </c>
      <c r="F628" s="10">
        <f t="shared" si="78"/>
        <v>4.5</v>
      </c>
      <c r="G628" s="4">
        <f t="shared" si="77"/>
        <v>214468.73345729476</v>
      </c>
      <c r="H628" s="42">
        <f t="shared" si="79"/>
        <v>8.0242317659315479</v>
      </c>
      <c r="I628" s="10">
        <f t="shared" si="80"/>
        <v>1.1957449309212471</v>
      </c>
      <c r="J628" s="4">
        <f t="shared" si="81"/>
        <v>491.72217473843085</v>
      </c>
      <c r="K628" s="4">
        <f t="shared" si="75"/>
        <v>110.54407956891122</v>
      </c>
      <c r="L628" s="42">
        <f>Pressure!Q628</f>
        <v>0.29068155878952606</v>
      </c>
      <c r="M628" s="10">
        <f t="shared" si="76"/>
        <v>0.23574577762516313</v>
      </c>
      <c r="N628" s="10">
        <f t="shared" si="82"/>
        <v>2.5992897854448858</v>
      </c>
    </row>
    <row r="629" spans="3:14">
      <c r="C629" s="4">
        <f>Pressure!AB629*1000000</f>
        <v>5060428.4350514216</v>
      </c>
      <c r="D629" s="78">
        <f>Pressure!I629</f>
        <v>8.1256230789298584E-5</v>
      </c>
      <c r="E629" s="40">
        <f>Pressure!H629</f>
        <v>81.256230789298584</v>
      </c>
      <c r="F629" s="10">
        <f t="shared" si="78"/>
        <v>4.5</v>
      </c>
      <c r="G629" s="4">
        <f t="shared" si="77"/>
        <v>214450.32176317732</v>
      </c>
      <c r="H629" s="42">
        <f t="shared" si="79"/>
        <v>8.0236930850040231</v>
      </c>
      <c r="I629" s="10">
        <f t="shared" si="80"/>
        <v>1.1957372205309185</v>
      </c>
      <c r="J629" s="4">
        <f t="shared" si="81"/>
        <v>491.67679096804648</v>
      </c>
      <c r="K629" s="4">
        <f t="shared" si="75"/>
        <v>110.53387684187908</v>
      </c>
      <c r="L629" s="42">
        <f>Pressure!Q629</f>
        <v>0.29116097865776197</v>
      </c>
      <c r="M629" s="10">
        <f t="shared" si="76"/>
        <v>0.23573050128116407</v>
      </c>
      <c r="N629" s="10">
        <f t="shared" si="82"/>
        <v>2.5992897854448858</v>
      </c>
    </row>
    <row r="630" spans="3:14">
      <c r="C630" s="4">
        <f>Pressure!AB630*1000000</f>
        <v>5059991.4450720381</v>
      </c>
      <c r="D630" s="78">
        <f>Pressure!I630</f>
        <v>8.1256230789298584E-5</v>
      </c>
      <c r="E630" s="40">
        <f>Pressure!H630</f>
        <v>81.256230789298584</v>
      </c>
      <c r="F630" s="10">
        <f t="shared" si="78"/>
        <v>4.5</v>
      </c>
      <c r="G630" s="4">
        <f t="shared" si="77"/>
        <v>214431.80304625662</v>
      </c>
      <c r="H630" s="42">
        <f t="shared" si="79"/>
        <v>8.0231512645940306</v>
      </c>
      <c r="I630" s="10">
        <f t="shared" si="80"/>
        <v>1.1957294639862859</v>
      </c>
      <c r="J630" s="4">
        <f t="shared" si="81"/>
        <v>491.63114339258823</v>
      </c>
      <c r="K630" s="4">
        <f t="shared" si="75"/>
        <v>110.52361480881891</v>
      </c>
      <c r="L630" s="42">
        <f>Pressure!Q630</f>
        <v>0.29164041165588722</v>
      </c>
      <c r="M630" s="10">
        <f t="shared" si="76"/>
        <v>0.2357151355254333</v>
      </c>
      <c r="N630" s="10">
        <f t="shared" si="82"/>
        <v>2.5992897854448858</v>
      </c>
    </row>
    <row r="631" spans="3:14">
      <c r="C631" s="4">
        <f>Pressure!AB631*1000000</f>
        <v>5059551.9298234237</v>
      </c>
      <c r="D631" s="78">
        <f>Pressure!I631</f>
        <v>8.1256230789298584E-5</v>
      </c>
      <c r="E631" s="40">
        <f>Pressure!H631</f>
        <v>81.256230789298584</v>
      </c>
      <c r="F631" s="10">
        <f t="shared" si="78"/>
        <v>4.5</v>
      </c>
      <c r="G631" s="4">
        <f t="shared" si="77"/>
        <v>214413.17731373321</v>
      </c>
      <c r="H631" s="42">
        <f t="shared" si="79"/>
        <v>8.0226063047677698</v>
      </c>
      <c r="I631" s="10">
        <f t="shared" si="80"/>
        <v>1.1957216612667922</v>
      </c>
      <c r="J631" s="4">
        <f t="shared" si="81"/>
        <v>491.58523202980484</v>
      </c>
      <c r="K631" s="4">
        <f t="shared" si="75"/>
        <v>110.51329347372079</v>
      </c>
      <c r="L631" s="42">
        <f>Pressure!Q631</f>
        <v>0.29211985786172262</v>
      </c>
      <c r="M631" s="10">
        <f t="shared" si="76"/>
        <v>0.23569968035574967</v>
      </c>
      <c r="N631" s="10">
        <f t="shared" si="82"/>
        <v>2.5992897854448858</v>
      </c>
    </row>
    <row r="632" spans="3:14">
      <c r="C632" s="4">
        <f>Pressure!AB632*1000000</f>
        <v>5059109.8894762555</v>
      </c>
      <c r="D632" s="78">
        <f>Pressure!I632</f>
        <v>8.1256230789298584E-5</v>
      </c>
      <c r="E632" s="40">
        <f>Pressure!H632</f>
        <v>81.256230789298584</v>
      </c>
      <c r="F632" s="10">
        <f t="shared" si="78"/>
        <v>4.5</v>
      </c>
      <c r="G632" s="4">
        <f t="shared" si="77"/>
        <v>214394.44457283997</v>
      </c>
      <c r="H632" s="42">
        <f t="shared" si="79"/>
        <v>8.0220582055915397</v>
      </c>
      <c r="I632" s="10">
        <f t="shared" si="80"/>
        <v>1.1957138123517497</v>
      </c>
      <c r="J632" s="4">
        <f t="shared" si="81"/>
        <v>491.5390568975252</v>
      </c>
      <c r="K632" s="4">
        <f t="shared" si="75"/>
        <v>110.50291284059287</v>
      </c>
      <c r="L632" s="42">
        <f>Pressure!Q632</f>
        <v>0.29259931735311034</v>
      </c>
      <c r="M632" s="10">
        <f t="shared" si="76"/>
        <v>0.2356841357700076</v>
      </c>
      <c r="N632" s="10">
        <f t="shared" si="82"/>
        <v>2.5992897854448858</v>
      </c>
    </row>
    <row r="633" spans="3:14">
      <c r="C633" s="4">
        <f>Pressure!AB633*1000000</f>
        <v>5058665.3242025413</v>
      </c>
      <c r="D633" s="78">
        <f>Pressure!I633</f>
        <v>8.1256230789298584E-5</v>
      </c>
      <c r="E633" s="40">
        <f>Pressure!H633</f>
        <v>81.256230789298584</v>
      </c>
      <c r="F633" s="10">
        <f t="shared" si="78"/>
        <v>4.5</v>
      </c>
      <c r="G633" s="4">
        <f t="shared" si="77"/>
        <v>214375.60483086627</v>
      </c>
      <c r="H633" s="42">
        <f t="shared" si="79"/>
        <v>8.0215069671324457</v>
      </c>
      <c r="I633" s="10">
        <f t="shared" si="80"/>
        <v>1.1957059172203492</v>
      </c>
      <c r="J633" s="4">
        <f t="shared" si="81"/>
        <v>491.49261801371682</v>
      </c>
      <c r="K633" s="4">
        <f t="shared" si="75"/>
        <v>110.4924729134744</v>
      </c>
      <c r="L633" s="42">
        <f>Pressure!Q633</f>
        <v>0.29307879020791383</v>
      </c>
      <c r="M633" s="10">
        <f t="shared" si="76"/>
        <v>0.23566850176597307</v>
      </c>
      <c r="N633" s="10">
        <f t="shared" si="82"/>
        <v>2.5992897854448858</v>
      </c>
    </row>
    <row r="634" spans="3:14">
      <c r="C634" s="4">
        <f>Pressure!AB634*1000000</f>
        <v>5058218.2341752723</v>
      </c>
      <c r="D634" s="78">
        <f>Pressure!I634</f>
        <v>8.1256230789298584E-5</v>
      </c>
      <c r="E634" s="40">
        <f>Pressure!H634</f>
        <v>81.256230789298584</v>
      </c>
      <c r="F634" s="10">
        <f t="shared" si="78"/>
        <v>4.5</v>
      </c>
      <c r="G634" s="4">
        <f t="shared" si="77"/>
        <v>214356.6580951431</v>
      </c>
      <c r="H634" s="42">
        <f t="shared" si="79"/>
        <v>8.0209525894579574</v>
      </c>
      <c r="I634" s="10">
        <f t="shared" si="80"/>
        <v>1.195697975851655</v>
      </c>
      <c r="J634" s="4">
        <f t="shared" si="81"/>
        <v>491.44591539645046</v>
      </c>
      <c r="K634" s="4">
        <f t="shared" si="75"/>
        <v>110.48197369642787</v>
      </c>
      <c r="L634" s="42">
        <f>Pressure!Q634</f>
        <v>0.29355827650401811</v>
      </c>
      <c r="M634" s="10">
        <f t="shared" si="76"/>
        <v>0.23565277834150769</v>
      </c>
      <c r="N634" s="10">
        <f t="shared" si="82"/>
        <v>2.5992897854448858</v>
      </c>
    </row>
    <row r="635" spans="3:14">
      <c r="C635" s="4">
        <f>Pressure!AB635*1000000</f>
        <v>5057768.6195685547</v>
      </c>
      <c r="D635" s="78">
        <f>Pressure!I635</f>
        <v>8.1256230789298584E-5</v>
      </c>
      <c r="E635" s="40">
        <f>Pressure!H635</f>
        <v>81.256230789298584</v>
      </c>
      <c r="F635" s="10">
        <f t="shared" si="78"/>
        <v>4.5</v>
      </c>
      <c r="G635" s="4">
        <f t="shared" si="77"/>
        <v>214337.6043730487</v>
      </c>
      <c r="H635" s="42">
        <f t="shared" si="79"/>
        <v>8.0203950726360844</v>
      </c>
      <c r="I635" s="10">
        <f t="shared" si="80"/>
        <v>1.1956899882246064</v>
      </c>
      <c r="J635" s="4">
        <f t="shared" si="81"/>
        <v>491.39894906391299</v>
      </c>
      <c r="K635" s="4">
        <f t="shared" si="75"/>
        <v>110.47141519354189</v>
      </c>
      <c r="L635" s="42">
        <f>Pressure!Q635</f>
        <v>0.29403777631932987</v>
      </c>
      <c r="M635" s="10">
        <f t="shared" si="76"/>
        <v>0.2356369654944265</v>
      </c>
      <c r="N635" s="10">
        <f t="shared" si="82"/>
        <v>2.5992897854448858</v>
      </c>
    </row>
    <row r="636" spans="3:14">
      <c r="C636" s="4">
        <f>Pressure!AB636*1000000</f>
        <v>5057316.4805575525</v>
      </c>
      <c r="D636" s="78">
        <f>Pressure!I636</f>
        <v>8.1256230789298584E-5</v>
      </c>
      <c r="E636" s="40">
        <f>Pressure!H636</f>
        <v>81.256230789298584</v>
      </c>
      <c r="F636" s="10">
        <f t="shared" si="78"/>
        <v>4.5</v>
      </c>
      <c r="G636" s="4">
        <f t="shared" si="77"/>
        <v>214318.44367200619</v>
      </c>
      <c r="H636" s="42">
        <f t="shared" si="79"/>
        <v>8.0198344167353</v>
      </c>
      <c r="I636" s="10">
        <f t="shared" si="80"/>
        <v>1.1956819543180159</v>
      </c>
      <c r="J636" s="4">
        <f t="shared" si="81"/>
        <v>491.35171903440187</v>
      </c>
      <c r="K636" s="4">
        <f t="shared" si="75"/>
        <v>110.46079740892988</v>
      </c>
      <c r="L636" s="42">
        <f>Pressure!Q636</f>
        <v>0.29451728973177743</v>
      </c>
      <c r="M636" s="10">
        <f t="shared" si="76"/>
        <v>0.23562106322247273</v>
      </c>
      <c r="N636" s="10">
        <f t="shared" si="82"/>
        <v>2.5992897854448858</v>
      </c>
    </row>
    <row r="637" spans="3:14">
      <c r="C637" s="4">
        <f>Pressure!AB637*1000000</f>
        <v>5056861.8173186313</v>
      </c>
      <c r="D637" s="78">
        <f>Pressure!I637</f>
        <v>8.1256230789298584E-5</v>
      </c>
      <c r="E637" s="40">
        <f>Pressure!H637</f>
        <v>81.256230789298584</v>
      </c>
      <c r="F637" s="10">
        <f t="shared" si="78"/>
        <v>4.5</v>
      </c>
      <c r="G637" s="4">
        <f t="shared" si="77"/>
        <v>214299.17599948953</v>
      </c>
      <c r="H637" s="42">
        <f t="shared" si="79"/>
        <v>8.0192706218247132</v>
      </c>
      <c r="I637" s="10">
        <f t="shared" si="80"/>
        <v>1.1956738741105732</v>
      </c>
      <c r="J637" s="4">
        <f t="shared" si="81"/>
        <v>491.30422532634009</v>
      </c>
      <c r="K637" s="4">
        <f t="shared" si="75"/>
        <v>110.45012034673353</v>
      </c>
      <c r="L637" s="42">
        <f>Pressure!Q637</f>
        <v>0.29499681681931111</v>
      </c>
      <c r="M637" s="10">
        <f t="shared" si="76"/>
        <v>0.23560507152348328</v>
      </c>
      <c r="N637" s="10">
        <f t="shared" si="82"/>
        <v>2.5992897854448858</v>
      </c>
    </row>
    <row r="638" spans="3:14">
      <c r="C638" s="4">
        <f>Pressure!AB638*1000000</f>
        <v>5056404.6300290618</v>
      </c>
      <c r="D638" s="78">
        <f>Pressure!I638</f>
        <v>8.1256230789298584E-5</v>
      </c>
      <c r="E638" s="40">
        <f>Pressure!H638</f>
        <v>81.256230789298584</v>
      </c>
      <c r="F638" s="10">
        <f t="shared" si="78"/>
        <v>4.5</v>
      </c>
      <c r="G638" s="4">
        <f t="shared" si="77"/>
        <v>214279.80136301109</v>
      </c>
      <c r="H638" s="42">
        <f t="shared" si="79"/>
        <v>8.0187036879737086</v>
      </c>
      <c r="I638" s="10">
        <f t="shared" si="80"/>
        <v>1.1956657475808381</v>
      </c>
      <c r="J638" s="4">
        <f t="shared" si="81"/>
        <v>491.2564679582452</v>
      </c>
      <c r="K638" s="4">
        <f t="shared" si="75"/>
        <v>110.43938401111578</v>
      </c>
      <c r="L638" s="42">
        <f>Pressure!Q638</f>
        <v>0.29547635765990321</v>
      </c>
      <c r="M638" s="10">
        <f t="shared" si="76"/>
        <v>0.23558899039522155</v>
      </c>
      <c r="N638" s="10">
        <f t="shared" si="82"/>
        <v>2.5992897854448858</v>
      </c>
    </row>
    <row r="639" spans="3:14">
      <c r="C639" s="4">
        <f>Pressure!AB639*1000000</f>
        <v>5055944.9188673422</v>
      </c>
      <c r="D639" s="78">
        <f>Pressure!I639</f>
        <v>8.1256230789298584E-5</v>
      </c>
      <c r="E639" s="40">
        <f>Pressure!H639</f>
        <v>81.256230789298584</v>
      </c>
      <c r="F639" s="10">
        <f t="shared" si="78"/>
        <v>4.5</v>
      </c>
      <c r="G639" s="4">
        <f t="shared" si="77"/>
        <v>214260.31977013528</v>
      </c>
      <c r="H639" s="42">
        <f t="shared" si="79"/>
        <v>8.0181336152523528</v>
      </c>
      <c r="I639" s="10">
        <f t="shared" si="80"/>
        <v>1.1956575747072475</v>
      </c>
      <c r="J639" s="4">
        <f t="shared" si="81"/>
        <v>491.20844694876303</v>
      </c>
      <c r="K639" s="4">
        <f t="shared" si="75"/>
        <v>110.42858840626839</v>
      </c>
      <c r="L639" s="42">
        <f>Pressure!Q639</f>
        <v>0.29595591233154817</v>
      </c>
      <c r="M639" s="10">
        <f t="shared" si="76"/>
        <v>0.23557281983545952</v>
      </c>
      <c r="N639" s="10">
        <f t="shared" si="82"/>
        <v>2.5992897854448858</v>
      </c>
    </row>
    <row r="640" spans="3:14">
      <c r="C640" s="4">
        <f>Pressure!AB640*1000000</f>
        <v>5055482.6840129038</v>
      </c>
      <c r="D640" s="78">
        <f>Pressure!I640</f>
        <v>8.1256230789298584E-5</v>
      </c>
      <c r="E640" s="40">
        <f>Pressure!H640</f>
        <v>81.256230789298584</v>
      </c>
      <c r="F640" s="10">
        <f t="shared" si="78"/>
        <v>4.5</v>
      </c>
      <c r="G640" s="4">
        <f t="shared" si="77"/>
        <v>214240.731228466</v>
      </c>
      <c r="H640" s="42">
        <f t="shared" si="79"/>
        <v>8.0175604037310091</v>
      </c>
      <c r="I640" s="10">
        <f t="shared" si="80"/>
        <v>1.1956493554681091</v>
      </c>
      <c r="J640" s="4">
        <f t="shared" si="81"/>
        <v>491.16016231663679</v>
      </c>
      <c r="K640" s="4">
        <f t="shared" si="75"/>
        <v>110.41773353640501</v>
      </c>
      <c r="L640" s="42">
        <f>Pressure!Q640</f>
        <v>0.29643548091226268</v>
      </c>
      <c r="M640" s="10">
        <f t="shared" si="76"/>
        <v>0.23555655984195123</v>
      </c>
      <c r="N640" s="10">
        <f t="shared" si="82"/>
        <v>2.5992897854448858</v>
      </c>
    </row>
    <row r="641" spans="3:14">
      <c r="C641" s="4">
        <f>Pressure!AB641*1000000</f>
        <v>5055017.9256465128</v>
      </c>
      <c r="D641" s="78">
        <f>Pressure!I641</f>
        <v>8.1256230789298584E-5</v>
      </c>
      <c r="E641" s="40">
        <f>Pressure!H641</f>
        <v>81.256230789298584</v>
      </c>
      <c r="F641" s="10">
        <f t="shared" si="78"/>
        <v>4.5</v>
      </c>
      <c r="G641" s="4">
        <f t="shared" si="77"/>
        <v>214221.03574566371</v>
      </c>
      <c r="H641" s="42">
        <f t="shared" si="79"/>
        <v>8.0169840534808472</v>
      </c>
      <c r="I641" s="10">
        <f t="shared" si="80"/>
        <v>1.1956410898416086</v>
      </c>
      <c r="J641" s="4">
        <f t="shared" si="81"/>
        <v>491.11161408074901</v>
      </c>
      <c r="K641" s="4">
        <f t="shared" si="75"/>
        <v>110.40681940577065</v>
      </c>
      <c r="L641" s="42">
        <f>Pressure!Q641</f>
        <v>0.29691506348008584</v>
      </c>
      <c r="M641" s="10">
        <f t="shared" si="76"/>
        <v>0.2355402104124355</v>
      </c>
      <c r="N641" s="10">
        <f t="shared" si="82"/>
        <v>2.5992897854448858</v>
      </c>
    </row>
    <row r="642" spans="3:14">
      <c r="C642" s="4">
        <f>Pressure!AB642*1000000</f>
        <v>5054550.6439498151</v>
      </c>
      <c r="D642" s="78">
        <f>Pressure!I642</f>
        <v>8.1256230789298584E-5</v>
      </c>
      <c r="E642" s="40">
        <f>Pressure!H642</f>
        <v>81.256230789298584</v>
      </c>
      <c r="F642" s="10">
        <f t="shared" si="78"/>
        <v>4.5</v>
      </c>
      <c r="G642" s="4">
        <f t="shared" si="77"/>
        <v>214201.23332942624</v>
      </c>
      <c r="H642" s="42">
        <f t="shared" si="79"/>
        <v>8.0164045645732855</v>
      </c>
      <c r="I642" s="10">
        <f t="shared" si="80"/>
        <v>1.1956327778058018</v>
      </c>
      <c r="J642" s="4">
        <f t="shared" si="81"/>
        <v>491.06280226007448</v>
      </c>
      <c r="K642" s="4">
        <f t="shared" si="75"/>
        <v>110.39584601863102</v>
      </c>
      <c r="L642" s="42">
        <f>Pressure!Q642</f>
        <v>0.29739466011307919</v>
      </c>
      <c r="M642" s="10">
        <f t="shared" si="76"/>
        <v>0.2355237715446343</v>
      </c>
      <c r="N642" s="10">
        <f t="shared" si="82"/>
        <v>2.5992897854448858</v>
      </c>
    </row>
    <row r="643" spans="3:14">
      <c r="C643" s="4">
        <f>Pressure!AB643*1000000</f>
        <v>5054080.8391057197</v>
      </c>
      <c r="D643" s="78">
        <f>Pressure!I643</f>
        <v>8.1256230789298584E-5</v>
      </c>
      <c r="E643" s="40">
        <f>Pressure!H643</f>
        <v>81.256230789298584</v>
      </c>
      <c r="F643" s="10">
        <f t="shared" si="78"/>
        <v>4.5</v>
      </c>
      <c r="G643" s="4">
        <f t="shared" si="77"/>
        <v>214181.32398750485</v>
      </c>
      <c r="H643" s="42">
        <f t="shared" si="79"/>
        <v>8.0158219370804549</v>
      </c>
      <c r="I643" s="10">
        <f t="shared" si="80"/>
        <v>1.1956244193386207</v>
      </c>
      <c r="J643" s="4">
        <f t="shared" si="81"/>
        <v>491.01372687371946</v>
      </c>
      <c r="K643" s="4">
        <f t="shared" si="75"/>
        <v>110.38481337928138</v>
      </c>
      <c r="L643" s="42">
        <f>Pressure!Q643</f>
        <v>0.29787427088932705</v>
      </c>
      <c r="M643" s="10">
        <f t="shared" si="76"/>
        <v>0.23550724323633296</v>
      </c>
      <c r="N643" s="10">
        <f t="shared" si="82"/>
        <v>2.5992897854448858</v>
      </c>
    </row>
    <row r="644" spans="3:14">
      <c r="C644" s="4">
        <f>Pressure!AB644*1000000</f>
        <v>5053608.5112980455</v>
      </c>
      <c r="D644" s="78">
        <f>Pressure!I644</f>
        <v>8.1256230789298584E-5</v>
      </c>
      <c r="E644" s="40">
        <f>Pressure!H644</f>
        <v>81.256230789298584</v>
      </c>
      <c r="F644" s="10">
        <f t="shared" si="78"/>
        <v>4.5</v>
      </c>
      <c r="G644" s="4">
        <f t="shared" si="77"/>
        <v>214161.30772768942</v>
      </c>
      <c r="H644" s="42">
        <f t="shared" si="79"/>
        <v>8.0152361710747648</v>
      </c>
      <c r="I644" s="10">
        <f t="shared" si="80"/>
        <v>1.195616014417868</v>
      </c>
      <c r="J644" s="4">
        <f t="shared" si="81"/>
        <v>490.96438794088573</v>
      </c>
      <c r="K644" s="4">
        <f t="shared" si="75"/>
        <v>110.37372149203851</v>
      </c>
      <c r="L644" s="42">
        <f>Pressure!Q644</f>
        <v>0.29835389588693639</v>
      </c>
      <c r="M644" s="10">
        <f t="shared" si="76"/>
        <v>0.23549062548518976</v>
      </c>
      <c r="N644" s="10">
        <f t="shared" si="82"/>
        <v>2.5992897854448858</v>
      </c>
    </row>
    <row r="645" spans="3:14">
      <c r="C645" s="4">
        <f>Pressure!AB645*1000000</f>
        <v>5053133.6607117793</v>
      </c>
      <c r="D645" s="78">
        <f>Pressure!I645</f>
        <v>8.1256230789298584E-5</v>
      </c>
      <c r="E645" s="40">
        <f>Pressure!H645</f>
        <v>81.256230789298584</v>
      </c>
      <c r="F645" s="10">
        <f t="shared" si="78"/>
        <v>4.5</v>
      </c>
      <c r="G645" s="4">
        <f t="shared" si="77"/>
        <v>214141.18455781927</v>
      </c>
      <c r="H645" s="42">
        <f t="shared" si="79"/>
        <v>8.0146472666292272</v>
      </c>
      <c r="I645" s="10">
        <f t="shared" si="80"/>
        <v>1.1956075630212204</v>
      </c>
      <c r="J645" s="4">
        <f t="shared" si="81"/>
        <v>490.91478548089663</v>
      </c>
      <c r="K645" s="4">
        <f t="shared" si="75"/>
        <v>110.36257036124648</v>
      </c>
      <c r="L645" s="42">
        <f>Pressure!Q645</f>
        <v>0.29883353518403721</v>
      </c>
      <c r="M645" s="10">
        <f t="shared" si="76"/>
        <v>0.23547391828897896</v>
      </c>
      <c r="N645" s="10">
        <f t="shared" si="82"/>
        <v>2.5992897854448858</v>
      </c>
    </row>
    <row r="646" spans="3:14">
      <c r="C646" s="4">
        <f>Pressure!AB646*1000000</f>
        <v>5052656.2875329601</v>
      </c>
      <c r="D646" s="78">
        <f>Pressure!I646</f>
        <v>8.1256230789298584E-5</v>
      </c>
      <c r="E646" s="40">
        <f>Pressure!H646</f>
        <v>81.256230789298584</v>
      </c>
      <c r="F646" s="10">
        <f t="shared" si="78"/>
        <v>4.5</v>
      </c>
      <c r="G646" s="4">
        <f t="shared" si="77"/>
        <v>214120.95448577838</v>
      </c>
      <c r="H646" s="42">
        <f t="shared" si="79"/>
        <v>8.0140552238173033</v>
      </c>
      <c r="I646" s="10">
        <f t="shared" si="80"/>
        <v>1.1955990651262276</v>
      </c>
      <c r="J646" s="4">
        <f t="shared" si="81"/>
        <v>490.86491951318584</v>
      </c>
      <c r="K646" s="4">
        <f t="shared" si="75"/>
        <v>110.35135999127419</v>
      </c>
      <c r="L646" s="42">
        <f>Pressure!Q646</f>
        <v>0.29931318885878239</v>
      </c>
      <c r="M646" s="10">
        <f t="shared" si="76"/>
        <v>0.23545712164532176</v>
      </c>
      <c r="N646" s="10">
        <f t="shared" si="82"/>
        <v>2.5992897854448858</v>
      </c>
    </row>
    <row r="647" spans="3:14">
      <c r="C647" s="4">
        <f>Pressure!AB647*1000000</f>
        <v>5052176.3919488182</v>
      </c>
      <c r="D647" s="78">
        <f>Pressure!I647</f>
        <v>8.1256230789298584E-5</v>
      </c>
      <c r="E647" s="40">
        <f>Pressure!H647</f>
        <v>81.256230789298584</v>
      </c>
      <c r="F647" s="10">
        <f t="shared" si="78"/>
        <v>4.5</v>
      </c>
      <c r="G647" s="4">
        <f t="shared" si="77"/>
        <v>214100.61751950116</v>
      </c>
      <c r="H647" s="42">
        <f t="shared" si="79"/>
        <v>8.013460042713076</v>
      </c>
      <c r="I647" s="10">
        <f t="shared" si="80"/>
        <v>1.195590520710313</v>
      </c>
      <c r="J647" s="4">
        <f t="shared" si="81"/>
        <v>490.81479005731109</v>
      </c>
      <c r="K647" s="4">
        <f t="shared" si="75"/>
        <v>110.34009038651838</v>
      </c>
      <c r="L647" s="42">
        <f>Pressure!Q647</f>
        <v>0.2997928569893481</v>
      </c>
      <c r="M647" s="10">
        <f t="shared" si="76"/>
        <v>0.23544023555198645</v>
      </c>
      <c r="N647" s="10">
        <f t="shared" si="82"/>
        <v>2.5992897854448858</v>
      </c>
    </row>
    <row r="648" spans="3:14">
      <c r="C648" s="4">
        <f>Pressure!AB648*1000000</f>
        <v>5051693.9741476206</v>
      </c>
      <c r="D648" s="78">
        <f>Pressure!I648</f>
        <v>8.1256230789298584E-5</v>
      </c>
      <c r="E648" s="40">
        <f>Pressure!H648</f>
        <v>81.256230789298584</v>
      </c>
      <c r="F648" s="10">
        <f t="shared" si="78"/>
        <v>4.5</v>
      </c>
      <c r="G648" s="4">
        <f t="shared" si="77"/>
        <v>214080.17366696597</v>
      </c>
      <c r="H648" s="42">
        <f t="shared" si="79"/>
        <v>8.012861723391083</v>
      </c>
      <c r="I648" s="10">
        <f t="shared" si="80"/>
        <v>1.195581929750773</v>
      </c>
      <c r="J648" s="4">
        <f t="shared" si="81"/>
        <v>490.76439713293871</v>
      </c>
      <c r="K648" s="4">
        <f t="shared" si="75"/>
        <v>110.32876155140028</v>
      </c>
      <c r="L648" s="42">
        <f>Pressure!Q648</f>
        <v>0.30027253965393369</v>
      </c>
      <c r="M648" s="10">
        <f t="shared" si="76"/>
        <v>0.23542326000658834</v>
      </c>
      <c r="N648" s="10">
        <f t="shared" si="82"/>
        <v>2.5992897854448858</v>
      </c>
    </row>
    <row r="649" spans="3:14">
      <c r="C649" s="4">
        <f>Pressure!AB649*1000000</f>
        <v>5051209.0343187023</v>
      </c>
      <c r="D649" s="78">
        <f>Pressure!I649</f>
        <v>8.1256230789298584E-5</v>
      </c>
      <c r="E649" s="40">
        <f>Pressure!H649</f>
        <v>81.256230789298584</v>
      </c>
      <c r="F649" s="10">
        <f t="shared" si="78"/>
        <v>4.5</v>
      </c>
      <c r="G649" s="4">
        <f t="shared" si="77"/>
        <v>214059.62293619642</v>
      </c>
      <c r="H649" s="42">
        <f t="shared" si="79"/>
        <v>8.0122602659263116</v>
      </c>
      <c r="I649" s="10">
        <f t="shared" si="80"/>
        <v>1.1955732922247753</v>
      </c>
      <c r="J649" s="4">
        <f t="shared" si="81"/>
        <v>490.71374075984636</v>
      </c>
      <c r="K649" s="4">
        <f t="shared" si="75"/>
        <v>110.31737349036608</v>
      </c>
      <c r="L649" s="42">
        <f>Pressure!Q649</f>
        <v>0.30075223693076197</v>
      </c>
      <c r="M649" s="10">
        <f t="shared" si="76"/>
        <v>0.23540619500683185</v>
      </c>
      <c r="N649" s="10">
        <f t="shared" si="82"/>
        <v>2.5992897854448858</v>
      </c>
    </row>
    <row r="650" spans="3:14">
      <c r="C650" s="4">
        <f>Pressure!AB650*1000000</f>
        <v>5050721.5726524806</v>
      </c>
      <c r="D650" s="78">
        <f>Pressure!I650</f>
        <v>8.1256230789298584E-5</v>
      </c>
      <c r="E650" s="40">
        <f>Pressure!H650</f>
        <v>81.256230789298584</v>
      </c>
      <c r="F650" s="10">
        <f t="shared" si="78"/>
        <v>4.5</v>
      </c>
      <c r="G650" s="4">
        <f t="shared" si="77"/>
        <v>214038.96533526201</v>
      </c>
      <c r="H650" s="42">
        <f t="shared" si="79"/>
        <v>8.0116556703942567</v>
      </c>
      <c r="I650" s="10">
        <f t="shared" si="80"/>
        <v>1.1955646081093603</v>
      </c>
      <c r="J650" s="4">
        <f t="shared" si="81"/>
        <v>490.66282095792491</v>
      </c>
      <c r="K650" s="4">
        <f t="shared" si="75"/>
        <v>110.30592620788744</v>
      </c>
      <c r="L650" s="42">
        <f>Pressure!Q650</f>
        <v>0.3012319488980793</v>
      </c>
      <c r="M650" s="10">
        <f t="shared" si="76"/>
        <v>0.23538904055037513</v>
      </c>
      <c r="N650" s="10">
        <f t="shared" si="82"/>
        <v>2.5992897854448858</v>
      </c>
    </row>
    <row r="651" spans="3:14">
      <c r="C651" s="4">
        <f>Pressure!AB651*1000000</f>
        <v>5050231.589340548</v>
      </c>
      <c r="D651" s="78">
        <f>Pressure!I651</f>
        <v>8.1256230789298584E-5</v>
      </c>
      <c r="E651" s="40">
        <f>Pressure!H651</f>
        <v>81.256230789298584</v>
      </c>
      <c r="F651" s="10">
        <f t="shared" si="78"/>
        <v>4.5</v>
      </c>
      <c r="G651" s="4">
        <f t="shared" si="77"/>
        <v>214018.200872282</v>
      </c>
      <c r="H651" s="42">
        <f t="shared" si="79"/>
        <v>8.0110479368710141</v>
      </c>
      <c r="I651" s="10">
        <f t="shared" si="80"/>
        <v>1.1955558773814421</v>
      </c>
      <c r="J651" s="4">
        <f t="shared" si="81"/>
        <v>490.61163774718801</v>
      </c>
      <c r="K651" s="4">
        <f t="shared" si="75"/>
        <v>110.29441970846365</v>
      </c>
      <c r="L651" s="42">
        <f>Pressure!Q651</f>
        <v>0.30171167563415563</v>
      </c>
      <c r="M651" s="10">
        <f t="shared" si="76"/>
        <v>0.23537179663483301</v>
      </c>
      <c r="N651" s="10">
        <f t="shared" si="82"/>
        <v>2.5992897854448858</v>
      </c>
    </row>
    <row r="652" spans="3:14">
      <c r="C652" s="4">
        <f>Pressure!AB652*1000000</f>
        <v>5049739.0845755069</v>
      </c>
      <c r="D652" s="78">
        <f>Pressure!I652</f>
        <v>8.1256230789298584E-5</v>
      </c>
      <c r="E652" s="40">
        <f>Pressure!H652</f>
        <v>81.256230789298584</v>
      </c>
      <c r="F652" s="10">
        <f t="shared" si="78"/>
        <v>4.5</v>
      </c>
      <c r="G652" s="4">
        <f t="shared" si="77"/>
        <v>213997.32955541852</v>
      </c>
      <c r="H652" s="42">
        <f t="shared" si="79"/>
        <v>8.0104370654330808</v>
      </c>
      <c r="I652" s="10">
        <f t="shared" si="80"/>
        <v>1.1955471000178055</v>
      </c>
      <c r="J652" s="4">
        <f t="shared" si="81"/>
        <v>490.56019114775455</v>
      </c>
      <c r="K652" s="4">
        <f t="shared" si="75"/>
        <v>110.28285399661763</v>
      </c>
      <c r="L652" s="42">
        <f>Pressure!Q652</f>
        <v>0.30219141721728482</v>
      </c>
      <c r="M652" s="10">
        <f t="shared" si="76"/>
        <v>0.23535446325791104</v>
      </c>
      <c r="N652" s="10">
        <f t="shared" si="82"/>
        <v>2.5992897854448858</v>
      </c>
    </row>
    <row r="653" spans="3:14">
      <c r="C653" s="4">
        <f>Pressure!AB653*1000000</f>
        <v>5049244.0585510246</v>
      </c>
      <c r="D653" s="78">
        <f>Pressure!I653</f>
        <v>8.1256230789298584E-5</v>
      </c>
      <c r="E653" s="40">
        <f>Pressure!H653</f>
        <v>81.256230789298584</v>
      </c>
      <c r="F653" s="10">
        <f t="shared" si="78"/>
        <v>4.5</v>
      </c>
      <c r="G653" s="4">
        <f t="shared" si="77"/>
        <v>213976.35139287874</v>
      </c>
      <c r="H653" s="42">
        <f t="shared" si="79"/>
        <v>8.0098230561574262</v>
      </c>
      <c r="I653" s="10">
        <f t="shared" si="80"/>
        <v>1.1955382759951072</v>
      </c>
      <c r="J653" s="4">
        <f t="shared" si="81"/>
        <v>490.50848117985504</v>
      </c>
      <c r="K653" s="4">
        <f t="shared" si="75"/>
        <v>110.27122907689741</v>
      </c>
      <c r="L653" s="42">
        <f>Pressure!Q653</f>
        <v>0.30267117372578456</v>
      </c>
      <c r="M653" s="10">
        <f t="shared" si="76"/>
        <v>0.23533704041718484</v>
      </c>
      <c r="N653" s="10">
        <f t="shared" si="82"/>
        <v>2.5992897854448858</v>
      </c>
    </row>
    <row r="654" spans="3:14">
      <c r="C654" s="4">
        <f>Pressure!AB654*1000000</f>
        <v>5048746.511461921</v>
      </c>
      <c r="D654" s="78">
        <f>Pressure!I654</f>
        <v>8.1256230789298584E-5</v>
      </c>
      <c r="E654" s="40">
        <f>Pressure!H654</f>
        <v>81.256230789298584</v>
      </c>
      <c r="F654" s="10">
        <f t="shared" si="78"/>
        <v>4.5</v>
      </c>
      <c r="G654" s="4">
        <f t="shared" si="77"/>
        <v>213955.26639291877</v>
      </c>
      <c r="H654" s="42">
        <f t="shared" si="79"/>
        <v>8.0092059091215884</v>
      </c>
      <c r="I654" s="10">
        <f t="shared" si="80"/>
        <v>1.1955294052898762</v>
      </c>
      <c r="J654" s="4">
        <f t="shared" si="81"/>
        <v>490.45650786383999</v>
      </c>
      <c r="K654" s="4">
        <f t="shared" si="75"/>
        <v>110.25954495387798</v>
      </c>
      <c r="L654" s="42">
        <f>Pressure!Q654</f>
        <v>0.30315094523799668</v>
      </c>
      <c r="M654" s="10">
        <f t="shared" si="76"/>
        <v>0.2353195281103215</v>
      </c>
      <c r="N654" s="10">
        <f t="shared" si="82"/>
        <v>2.5992897854448858</v>
      </c>
    </row>
    <row r="655" spans="3:14">
      <c r="C655" s="4">
        <f>Pressure!AB655*1000000</f>
        <v>5048246.4435042124</v>
      </c>
      <c r="D655" s="78">
        <f>Pressure!I655</f>
        <v>8.1256230789298584E-5</v>
      </c>
      <c r="E655" s="40">
        <f>Pressure!H655</f>
        <v>81.256230789298584</v>
      </c>
      <c r="F655" s="10">
        <f t="shared" si="78"/>
        <v>4.5</v>
      </c>
      <c r="G655" s="4">
        <f t="shared" si="77"/>
        <v>213934.07456384529</v>
      </c>
      <c r="H655" s="42">
        <f t="shared" si="79"/>
        <v>8.0085856244037483</v>
      </c>
      <c r="I655" s="10">
        <f t="shared" si="80"/>
        <v>1.1955204878785159</v>
      </c>
      <c r="J655" s="4">
        <f t="shared" si="81"/>
        <v>490.40427122018531</v>
      </c>
      <c r="K655" s="4">
        <f t="shared" ref="K655:K718" si="83">J655/4.4482</f>
        <v>110.24780163216252</v>
      </c>
      <c r="L655" s="42">
        <f>Pressure!Q655</f>
        <v>0.30363073183228706</v>
      </c>
      <c r="M655" s="10">
        <f t="shared" ref="M655:M718" si="84">(J655+J654)/2*(L655-L654)</f>
        <v>0.23530192633486505</v>
      </c>
      <c r="N655" s="10">
        <f t="shared" si="82"/>
        <v>2.5992897854448858</v>
      </c>
    </row>
    <row r="656" spans="3:14">
      <c r="C656" s="4">
        <f>Pressure!AB656*1000000</f>
        <v>5047743.8548747934</v>
      </c>
      <c r="D656" s="78">
        <f>Pressure!I656</f>
        <v>8.1256230789298584E-5</v>
      </c>
      <c r="E656" s="40">
        <f>Pressure!H656</f>
        <v>81.256230789298584</v>
      </c>
      <c r="F656" s="10">
        <f t="shared" si="78"/>
        <v>4.5</v>
      </c>
      <c r="G656" s="4">
        <f t="shared" si="77"/>
        <v>213912.77591400236</v>
      </c>
      <c r="H656" s="42">
        <f t="shared" si="79"/>
        <v>8.0079622020823216</v>
      </c>
      <c r="I656" s="10">
        <f t="shared" si="80"/>
        <v>1.1955115237372966</v>
      </c>
      <c r="J656" s="4">
        <f t="shared" si="81"/>
        <v>490.35177126945814</v>
      </c>
      <c r="K656" s="4">
        <f t="shared" si="83"/>
        <v>110.23599911637474</v>
      </c>
      <c r="L656" s="42">
        <f>Pressure!Q656</f>
        <v>0.30411053358704604</v>
      </c>
      <c r="M656" s="10">
        <f t="shared" si="84"/>
        <v>0.23528423508850158</v>
      </c>
      <c r="N656" s="10">
        <f t="shared" si="82"/>
        <v>2.5992897854448858</v>
      </c>
    </row>
    <row r="657" spans="3:14">
      <c r="C657" s="4">
        <f>Pressure!AB657*1000000</f>
        <v>5047238.745771735</v>
      </c>
      <c r="D657" s="78">
        <f>Pressure!I657</f>
        <v>8.1256230789298584E-5</v>
      </c>
      <c r="E657" s="40">
        <f>Pressure!H657</f>
        <v>81.256230789298584</v>
      </c>
      <c r="F657" s="10">
        <f t="shared" si="78"/>
        <v>4.5</v>
      </c>
      <c r="G657" s="4">
        <f t="shared" si="77"/>
        <v>213891.37045178376</v>
      </c>
      <c r="H657" s="42">
        <f t="shared" si="79"/>
        <v>8.0073356422363204</v>
      </c>
      <c r="I657" s="10">
        <f t="shared" si="80"/>
        <v>1.1955025128423626</v>
      </c>
      <c r="J657" s="4">
        <f t="shared" si="81"/>
        <v>490.29900803234909</v>
      </c>
      <c r="K657" s="4">
        <f t="shared" si="83"/>
        <v>110.22413741116611</v>
      </c>
      <c r="L657" s="42">
        <f>Pressure!Q657</f>
        <v>0.30459035058068828</v>
      </c>
      <c r="M657" s="10">
        <f t="shared" si="84"/>
        <v>0.23526645436875934</v>
      </c>
      <c r="N657" s="10">
        <f t="shared" si="82"/>
        <v>2.5992897854448858</v>
      </c>
    </row>
    <row r="658" spans="3:14">
      <c r="C658" s="4">
        <f>Pressure!AB658*1000000</f>
        <v>5046731.1163942665</v>
      </c>
      <c r="D658" s="78">
        <f>Pressure!I658</f>
        <v>8.1256230789298584E-5</v>
      </c>
      <c r="E658" s="40">
        <f>Pressure!H658</f>
        <v>81.256230789298584</v>
      </c>
      <c r="F658" s="10">
        <f t="shared" si="78"/>
        <v>4.5</v>
      </c>
      <c r="G658" s="4">
        <f t="shared" si="77"/>
        <v>213869.85818563245</v>
      </c>
      <c r="H658" s="42">
        <f t="shared" si="79"/>
        <v>8.0067059449453577</v>
      </c>
      <c r="I658" s="10">
        <f t="shared" si="80"/>
        <v>1.1954934551697294</v>
      </c>
      <c r="J658" s="4">
        <f t="shared" si="81"/>
        <v>490.24598152966922</v>
      </c>
      <c r="K658" s="4">
        <f t="shared" si="83"/>
        <v>110.21221652121515</v>
      </c>
      <c r="L658" s="42">
        <f>Pressure!Q658</f>
        <v>0.30507018289165305</v>
      </c>
      <c r="M658" s="10">
        <f t="shared" si="84"/>
        <v>0.23524858417323347</v>
      </c>
      <c r="N658" s="10">
        <f t="shared" si="82"/>
        <v>2.5992897854448858</v>
      </c>
    </row>
    <row r="659" spans="3:14">
      <c r="C659" s="4">
        <f>Pressure!AB659*1000000</f>
        <v>5046220.9669427257</v>
      </c>
      <c r="D659" s="78">
        <f>Pressure!I659</f>
        <v>8.1256230789298584E-5</v>
      </c>
      <c r="E659" s="40">
        <f>Pressure!H659</f>
        <v>81.256230789298584</v>
      </c>
      <c r="F659" s="10">
        <f t="shared" si="78"/>
        <v>4.5</v>
      </c>
      <c r="G659" s="4">
        <f t="shared" si="77"/>
        <v>213848.23912403829</v>
      </c>
      <c r="H659" s="42">
        <f t="shared" si="79"/>
        <v>8.0060731102895524</v>
      </c>
      <c r="I659" s="10">
        <f t="shared" si="80"/>
        <v>1.195484350695285</v>
      </c>
      <c r="J659" s="4">
        <f t="shared" si="81"/>
        <v>490.19269178234595</v>
      </c>
      <c r="K659" s="4">
        <f t="shared" si="83"/>
        <v>110.20023645122656</v>
      </c>
      <c r="L659" s="42">
        <f>Pressure!Q659</f>
        <v>0.3055500305984043</v>
      </c>
      <c r="M659" s="10">
        <f t="shared" si="84"/>
        <v>0.23523062449950244</v>
      </c>
      <c r="N659" s="10">
        <f t="shared" si="82"/>
        <v>2.5992897854448858</v>
      </c>
    </row>
    <row r="660" spans="3:14">
      <c r="C660" s="4">
        <f>Pressure!AB660*1000000</f>
        <v>5045708.2976183752</v>
      </c>
      <c r="D660" s="78">
        <f>Pressure!I660</f>
        <v>8.1256230789298584E-5</v>
      </c>
      <c r="E660" s="40">
        <f>Pressure!H660</f>
        <v>81.256230789298584</v>
      </c>
      <c r="F660" s="10">
        <f t="shared" si="78"/>
        <v>4.5</v>
      </c>
      <c r="G660" s="4">
        <f t="shared" si="77"/>
        <v>213826.51327553036</v>
      </c>
      <c r="H660" s="42">
        <f t="shared" si="79"/>
        <v>8.0054371383493326</v>
      </c>
      <c r="I660" s="10">
        <f t="shared" si="80"/>
        <v>1.1954751993947847</v>
      </c>
      <c r="J660" s="4">
        <f t="shared" si="81"/>
        <v>490.13913881140274</v>
      </c>
      <c r="K660" s="4">
        <f t="shared" si="83"/>
        <v>110.18819720592661</v>
      </c>
      <c r="L660" s="42">
        <f>Pressure!Q660</f>
        <v>0.30602989377943079</v>
      </c>
      <c r="M660" s="10">
        <f t="shared" si="84"/>
        <v>0.2352125753451223</v>
      </c>
      <c r="N660" s="10">
        <f t="shared" si="82"/>
        <v>2.5992897854448858</v>
      </c>
    </row>
    <row r="661" spans="3:14">
      <c r="C661" s="4">
        <f>Pressure!AB661*1000000</f>
        <v>5045193.1086237617</v>
      </c>
      <c r="D661" s="78">
        <f>Pressure!I661</f>
        <v>8.1256230789298584E-5</v>
      </c>
      <c r="E661" s="40">
        <f>Pressure!H661</f>
        <v>81.256230789298584</v>
      </c>
      <c r="F661" s="10">
        <f t="shared" si="78"/>
        <v>4.5</v>
      </c>
      <c r="G661" s="4">
        <f t="shared" si="77"/>
        <v>213804.68064869219</v>
      </c>
      <c r="H661" s="42">
        <f t="shared" si="79"/>
        <v>8.0047980292058583</v>
      </c>
      <c r="I661" s="10">
        <f t="shared" si="80"/>
        <v>1.1954660012438583</v>
      </c>
      <c r="J661" s="4">
        <f t="shared" si="81"/>
        <v>490.08532263799742</v>
      </c>
      <c r="K661" s="4">
        <f t="shared" si="83"/>
        <v>110.1760987900718</v>
      </c>
      <c r="L661" s="42">
        <f>Pressure!Q661</f>
        <v>0.30650977251324629</v>
      </c>
      <c r="M661" s="10">
        <f t="shared" si="84"/>
        <v>0.23519443670765805</v>
      </c>
      <c r="N661" s="10">
        <f t="shared" si="82"/>
        <v>2.5992897854448858</v>
      </c>
    </row>
    <row r="662" spans="3:14">
      <c r="C662" s="4">
        <f>Pressure!AB662*1000000</f>
        <v>5044675.4001624892</v>
      </c>
      <c r="D662" s="78">
        <f>Pressure!I662</f>
        <v>8.1256230789298584E-5</v>
      </c>
      <c r="E662" s="40">
        <f>Pressure!H662</f>
        <v>81.256230789298584</v>
      </c>
      <c r="F662" s="10">
        <f t="shared" si="78"/>
        <v>4.5</v>
      </c>
      <c r="G662" s="4">
        <f t="shared" si="77"/>
        <v>213782.7412521521</v>
      </c>
      <c r="H662" s="42">
        <f t="shared" si="79"/>
        <v>8.0041557829407388</v>
      </c>
      <c r="I662" s="10">
        <f t="shared" si="80"/>
        <v>1.1954567562180054</v>
      </c>
      <c r="J662" s="4">
        <f t="shared" si="81"/>
        <v>490.03124328339834</v>
      </c>
      <c r="K662" s="4">
        <f t="shared" si="83"/>
        <v>110.16394120844349</v>
      </c>
      <c r="L662" s="42">
        <f>Pressure!Q662</f>
        <v>0.30698966687838958</v>
      </c>
      <c r="M662" s="10">
        <f t="shared" si="84"/>
        <v>0.23517620858463251</v>
      </c>
      <c r="N662" s="10">
        <f t="shared" si="82"/>
        <v>2.5992897854448858</v>
      </c>
    </row>
    <row r="663" spans="3:14">
      <c r="C663" s="4">
        <f>Pressure!AB663*1000000</f>
        <v>5044155.1724391514</v>
      </c>
      <c r="D663" s="78">
        <f>Pressure!I663</f>
        <v>8.1256230789298584E-5</v>
      </c>
      <c r="E663" s="40">
        <f>Pressure!H663</f>
        <v>81.256230789298584</v>
      </c>
      <c r="F663" s="10">
        <f t="shared" si="78"/>
        <v>4.5</v>
      </c>
      <c r="G663" s="4">
        <f t="shared" si="77"/>
        <v>213760.6950945803</v>
      </c>
      <c r="H663" s="42">
        <f t="shared" si="79"/>
        <v>8.0035103996359727</v>
      </c>
      <c r="I663" s="10">
        <f t="shared" si="80"/>
        <v>1.1954474642925947</v>
      </c>
      <c r="J663" s="4">
        <f t="shared" si="81"/>
        <v>489.9769007689772</v>
      </c>
      <c r="K663" s="4">
        <f t="shared" si="83"/>
        <v>110.15172446584623</v>
      </c>
      <c r="L663" s="42">
        <f>Pressure!Q663</f>
        <v>0.30746957695342469</v>
      </c>
      <c r="M663" s="10">
        <f t="shared" si="84"/>
        <v>0.23515789097360068</v>
      </c>
      <c r="N663" s="10">
        <f t="shared" si="82"/>
        <v>2.5992897854448858</v>
      </c>
    </row>
    <row r="664" spans="3:14">
      <c r="C664" s="4">
        <f>Pressure!AB664*1000000</f>
        <v>5043632.4256594982</v>
      </c>
      <c r="D664" s="78">
        <f>Pressure!I664</f>
        <v>8.1256230789298584E-5</v>
      </c>
      <c r="E664" s="40">
        <f>Pressure!H664</f>
        <v>81.256230789298584</v>
      </c>
      <c r="F664" s="10">
        <f t="shared" si="78"/>
        <v>4.5</v>
      </c>
      <c r="G664" s="4">
        <f t="shared" si="77"/>
        <v>213738.54218469607</v>
      </c>
      <c r="H664" s="42">
        <f t="shared" si="79"/>
        <v>8.0028618793741337</v>
      </c>
      <c r="I664" s="10">
        <f t="shared" si="80"/>
        <v>1.1954381254428661</v>
      </c>
      <c r="J664" s="4">
        <f t="shared" si="81"/>
        <v>489.92229511622639</v>
      </c>
      <c r="K664" s="4">
        <f t="shared" si="83"/>
        <v>110.13944856711173</v>
      </c>
      <c r="L664" s="42">
        <f>Pressure!Q664</f>
        <v>0.307949502816941</v>
      </c>
      <c r="M664" s="10">
        <f t="shared" si="84"/>
        <v>0.2351394838720702</v>
      </c>
      <c r="N664" s="10">
        <f t="shared" si="82"/>
        <v>2.5992897854448858</v>
      </c>
    </row>
    <row r="665" spans="3:14">
      <c r="C665" s="4">
        <f>Pressure!AB665*1000000</f>
        <v>5043107.1600303985</v>
      </c>
      <c r="D665" s="78">
        <f>Pressure!I665</f>
        <v>8.1256230789298584E-5</v>
      </c>
      <c r="E665" s="40">
        <f>Pressure!H665</f>
        <v>81.256230789298584</v>
      </c>
      <c r="F665" s="10">
        <f t="shared" si="78"/>
        <v>4.5</v>
      </c>
      <c r="G665" s="4">
        <f t="shared" si="77"/>
        <v>213716.28253126607</v>
      </c>
      <c r="H665" s="42">
        <f t="shared" si="79"/>
        <v>8.0022102222383307</v>
      </c>
      <c r="I665" s="10">
        <f t="shared" si="80"/>
        <v>1.19542873964393</v>
      </c>
      <c r="J665" s="4">
        <f t="shared" si="81"/>
        <v>489.86742634675539</v>
      </c>
      <c r="K665" s="4">
        <f t="shared" si="83"/>
        <v>110.12711351709802</v>
      </c>
      <c r="L665" s="42">
        <f>Pressure!Q665</f>
        <v>0.30842944454755333</v>
      </c>
      <c r="M665" s="10">
        <f t="shared" si="84"/>
        <v>0.23512098727755917</v>
      </c>
      <c r="N665" s="10">
        <f t="shared" si="82"/>
        <v>2.5992897854448858</v>
      </c>
    </row>
    <row r="666" spans="3:14">
      <c r="C666" s="4">
        <f>Pressure!AB666*1000000</f>
        <v>5042579.3757598279</v>
      </c>
      <c r="D666" s="78">
        <f>Pressure!I666</f>
        <v>8.1256230789298584E-5</v>
      </c>
      <c r="E666" s="40">
        <f>Pressure!H666</f>
        <v>81.256230789298584</v>
      </c>
      <c r="F666" s="10">
        <f t="shared" si="78"/>
        <v>4.5</v>
      </c>
      <c r="G666" s="4">
        <f t="shared" si="77"/>
        <v>213693.91614310388</v>
      </c>
      <c r="H666" s="42">
        <f t="shared" si="79"/>
        <v>8.0015554283121872</v>
      </c>
      <c r="I666" s="10">
        <f t="shared" si="80"/>
        <v>1.1954193068707673</v>
      </c>
      <c r="J666" s="4">
        <f t="shared" si="81"/>
        <v>489.81229448228896</v>
      </c>
      <c r="K666" s="4">
        <f t="shared" si="83"/>
        <v>110.11471932068903</v>
      </c>
      <c r="L666" s="42">
        <f>Pressure!Q666</f>
        <v>0.30890940222390206</v>
      </c>
      <c r="M666" s="10">
        <f t="shared" si="84"/>
        <v>0.23510240118754036</v>
      </c>
      <c r="N666" s="10">
        <f t="shared" si="82"/>
        <v>2.5992897854448858</v>
      </c>
    </row>
    <row r="667" spans="3:14">
      <c r="C667" s="4">
        <f>Pressure!AB667*1000000</f>
        <v>5042049.0730568999</v>
      </c>
      <c r="D667" s="78">
        <f>Pressure!I667</f>
        <v>8.1256230789298584E-5</v>
      </c>
      <c r="E667" s="40">
        <f>Pressure!H667</f>
        <v>81.256230789298584</v>
      </c>
      <c r="F667" s="10">
        <f t="shared" si="78"/>
        <v>4.5</v>
      </c>
      <c r="G667" s="4">
        <f t="shared" si="77"/>
        <v>213671.44302907126</v>
      </c>
      <c r="H667" s="42">
        <f t="shared" si="79"/>
        <v>8.000897497679885</v>
      </c>
      <c r="I667" s="10">
        <f t="shared" si="80"/>
        <v>1.1954098270982292</v>
      </c>
      <c r="J667" s="4">
        <f t="shared" si="81"/>
        <v>489.756899544671</v>
      </c>
      <c r="K667" s="4">
        <f t="shared" si="83"/>
        <v>110.10226598279552</v>
      </c>
      <c r="L667" s="42">
        <f>Pressure!Q667</f>
        <v>0.30938937592465343</v>
      </c>
      <c r="M667" s="10">
        <f t="shared" si="84"/>
        <v>0.23508372559957752</v>
      </c>
      <c r="N667" s="10">
        <f t="shared" si="82"/>
        <v>2.5992897854448858</v>
      </c>
    </row>
    <row r="668" spans="3:14">
      <c r="C668" s="4">
        <f>Pressure!AB668*1000000</f>
        <v>5041516.2521316512</v>
      </c>
      <c r="D668" s="78">
        <f>Pressure!I668</f>
        <v>8.1256230789298584E-5</v>
      </c>
      <c r="E668" s="40">
        <f>Pressure!H668</f>
        <v>81.256230789298584</v>
      </c>
      <c r="F668" s="10">
        <f t="shared" si="78"/>
        <v>4.5</v>
      </c>
      <c r="G668" s="4">
        <f t="shared" ref="G668:G731" si="85">IF(C668/(1+(k-1)/2*N668^2)^(k/(k-1))&lt;patm*1000000,patm*1000000,C668/(1+(k-1)/2*N668^2)^(k/(k-1)))</f>
        <v>213648.86319806913</v>
      </c>
      <c r="H668" s="42">
        <f t="shared" si="79"/>
        <v>8.0002364304259004</v>
      </c>
      <c r="I668" s="10">
        <f t="shared" si="80"/>
        <v>1.1954003003010341</v>
      </c>
      <c r="J668" s="4">
        <f t="shared" si="81"/>
        <v>489.70124155584176</v>
      </c>
      <c r="K668" s="4">
        <f t="shared" si="83"/>
        <v>110.08975350834984</v>
      </c>
      <c r="L668" s="42">
        <f>Pressure!Q668</f>
        <v>0.30986936572849938</v>
      </c>
      <c r="M668" s="10">
        <f t="shared" si="84"/>
        <v>0.23506496051107612</v>
      </c>
      <c r="N668" s="10">
        <f t="shared" si="82"/>
        <v>2.5992897854448858</v>
      </c>
    </row>
    <row r="669" spans="3:14">
      <c r="C669" s="4">
        <f>Pressure!AB669*1000000</f>
        <v>5040980.9131953232</v>
      </c>
      <c r="D669" s="78">
        <f>Pressure!I669</f>
        <v>8.1256230789298584E-5</v>
      </c>
      <c r="E669" s="40">
        <f>Pressure!H669</f>
        <v>81.256230789298584</v>
      </c>
      <c r="F669" s="10">
        <f t="shared" ref="F669:F732" si="86">aexit/E669</f>
        <v>4.5</v>
      </c>
      <c r="G669" s="4">
        <f t="shared" si="85"/>
        <v>213626.1766590495</v>
      </c>
      <c r="H669" s="42">
        <f t="shared" ref="H669:H732" si="87">1/(((k+1)/2)^(1/(k-1))*(patm*1000000/C669)^(1/k)*SQRT((k+1)/(k-1)*(1-(patm*1000000/C669)^((k-1)/k))))</f>
        <v>7.999572226635336</v>
      </c>
      <c r="I669" s="10">
        <f t="shared" ref="I669:I732" si="88">etanoz*SQRT(2*k^2/(k-1)*(2/(k+1))^((k+1)/(k-1))*(1-(G669/C669)^((k-1)/k)))+(G669-patm*1000000)/C669*(aexit/E669)</f>
        <v>1.1953907264537715</v>
      </c>
      <c r="J669" s="4">
        <f t="shared" ref="J669:J732" si="89">I669*D669*C669</f>
        <v>489.64532053786729</v>
      </c>
      <c r="K669" s="4">
        <f t="shared" si="83"/>
        <v>110.07718190231269</v>
      </c>
      <c r="L669" s="42">
        <f>Pressure!Q669</f>
        <v>0.310349371714158</v>
      </c>
      <c r="M669" s="10">
        <f t="shared" si="84"/>
        <v>0.23504610591958383</v>
      </c>
      <c r="N669" s="10">
        <f t="shared" si="82"/>
        <v>2.5992897854448858</v>
      </c>
    </row>
    <row r="670" spans="3:14">
      <c r="C670" s="4">
        <f>Pressure!AB670*1000000</f>
        <v>5040443.0564602856</v>
      </c>
      <c r="D670" s="78">
        <f>Pressure!I670</f>
        <v>8.1256230789298584E-5</v>
      </c>
      <c r="E670" s="40">
        <f>Pressure!H670</f>
        <v>81.256230789298584</v>
      </c>
      <c r="F670" s="10">
        <f t="shared" si="86"/>
        <v>4.5</v>
      </c>
      <c r="G670" s="4">
        <f t="shared" si="85"/>
        <v>213603.38342101211</v>
      </c>
      <c r="H670" s="42">
        <f t="shared" si="87"/>
        <v>7.9989048863938645</v>
      </c>
      <c r="I670" s="10">
        <f t="shared" si="88"/>
        <v>1.1953811055309012</v>
      </c>
      <c r="J670" s="4">
        <f t="shared" si="89"/>
        <v>489.58913651293159</v>
      </c>
      <c r="K670" s="4">
        <f t="shared" si="83"/>
        <v>110.06455116967123</v>
      </c>
      <c r="L670" s="42">
        <f>Pressure!Q670</f>
        <v>0.31082939396037335</v>
      </c>
      <c r="M670" s="10">
        <f t="shared" si="84"/>
        <v>0.23502716182249672</v>
      </c>
      <c r="N670" s="10">
        <f t="shared" ref="N670:N733" si="90">N669-1/834*(me-mef)</f>
        <v>2.5992897854448858</v>
      </c>
    </row>
    <row r="671" spans="3:14">
      <c r="C671" s="4">
        <f>Pressure!AB671*1000000</f>
        <v>5039902.6821399825</v>
      </c>
      <c r="D671" s="78">
        <f>Pressure!I671</f>
        <v>8.1256230789298584E-5</v>
      </c>
      <c r="E671" s="40">
        <f>Pressure!H671</f>
        <v>81.256230789298584</v>
      </c>
      <c r="F671" s="10">
        <f t="shared" si="86"/>
        <v>4.5</v>
      </c>
      <c r="G671" s="4">
        <f t="shared" si="85"/>
        <v>213580.48349300228</v>
      </c>
      <c r="H671" s="42">
        <f t="shared" si="87"/>
        <v>7.9982344097876164</v>
      </c>
      <c r="I671" s="10">
        <f t="shared" si="88"/>
        <v>1.1953714375067512</v>
      </c>
      <c r="J671" s="4">
        <f t="shared" si="89"/>
        <v>489.53268950333074</v>
      </c>
      <c r="K671" s="4">
        <f t="shared" si="83"/>
        <v>110.05186131543788</v>
      </c>
      <c r="L671" s="42">
        <f>Pressure!Q671</f>
        <v>0.31130943254591581</v>
      </c>
      <c r="M671" s="10">
        <f t="shared" si="84"/>
        <v>0.23500812821730044</v>
      </c>
      <c r="N671" s="10">
        <f t="shared" si="90"/>
        <v>2.5992897854448858</v>
      </c>
    </row>
    <row r="672" spans="3:14">
      <c r="C672" s="4">
        <f>Pressure!AB672*1000000</f>
        <v>5039359.7904490642</v>
      </c>
      <c r="D672" s="78">
        <f>Pressure!I672</f>
        <v>8.1256230789298584E-5</v>
      </c>
      <c r="E672" s="40">
        <f>Pressure!H672</f>
        <v>81.256230789298584</v>
      </c>
      <c r="F672" s="10">
        <f t="shared" si="86"/>
        <v>4.5</v>
      </c>
      <c r="G672" s="4">
        <f t="shared" si="85"/>
        <v>213557.47688411645</v>
      </c>
      <c r="H672" s="42">
        <f t="shared" si="87"/>
        <v>7.9975607969033655</v>
      </c>
      <c r="I672" s="10">
        <f t="shared" si="88"/>
        <v>1.1953617223555215</v>
      </c>
      <c r="J672" s="4">
        <f t="shared" si="89"/>
        <v>489.47597953148693</v>
      </c>
      <c r="K672" s="4">
        <f t="shared" si="83"/>
        <v>110.03911234465333</v>
      </c>
      <c r="L672" s="42">
        <f>Pressure!Q672</f>
        <v>0.31178948754958208</v>
      </c>
      <c r="M672" s="10">
        <f t="shared" si="84"/>
        <v>0.23498900510140913</v>
      </c>
      <c r="N672" s="10">
        <f t="shared" si="90"/>
        <v>2.5992897854448858</v>
      </c>
    </row>
    <row r="673" spans="3:14">
      <c r="C673" s="4">
        <f>Pressure!AB673*1000000</f>
        <v>5038814.3816030454</v>
      </c>
      <c r="D673" s="78">
        <f>Pressure!I673</f>
        <v>8.1256230789298584E-5</v>
      </c>
      <c r="E673" s="40">
        <f>Pressure!H673</f>
        <v>81.256230789298584</v>
      </c>
      <c r="F673" s="10">
        <f t="shared" si="86"/>
        <v>4.5</v>
      </c>
      <c r="G673" s="4">
        <f t="shared" si="85"/>
        <v>213534.36360348767</v>
      </c>
      <c r="H673" s="42">
        <f t="shared" si="87"/>
        <v>7.9968840478281118</v>
      </c>
      <c r="I673" s="10">
        <f t="shared" si="88"/>
        <v>1.1953519600512763</v>
      </c>
      <c r="J673" s="4">
        <f t="shared" si="89"/>
        <v>489.41900661991269</v>
      </c>
      <c r="K673" s="4">
        <f t="shared" si="83"/>
        <v>110.02630426237864</v>
      </c>
      <c r="L673" s="42">
        <f>Pressure!Q673</f>
        <v>0.31226955905019549</v>
      </c>
      <c r="M673" s="10">
        <f t="shared" si="84"/>
        <v>0.23496979247232302</v>
      </c>
      <c r="N673" s="10">
        <f t="shared" si="90"/>
        <v>2.5992897854448858</v>
      </c>
    </row>
    <row r="674" spans="3:14">
      <c r="C674" s="4">
        <f>Pressure!AB674*1000000</f>
        <v>5038266.4558186168</v>
      </c>
      <c r="D674" s="78">
        <f>Pressure!I674</f>
        <v>8.1256230789298584E-5</v>
      </c>
      <c r="E674" s="40">
        <f>Pressure!H674</f>
        <v>81.256230789298584</v>
      </c>
      <c r="F674" s="10">
        <f t="shared" si="86"/>
        <v>4.5</v>
      </c>
      <c r="G674" s="4">
        <f t="shared" si="85"/>
        <v>213511.14366029884</v>
      </c>
      <c r="H674" s="42">
        <f t="shared" si="87"/>
        <v>7.9962041626494385</v>
      </c>
      <c r="I674" s="10">
        <f t="shared" si="88"/>
        <v>1.1953421505679498</v>
      </c>
      <c r="J674" s="4">
        <f t="shared" si="89"/>
        <v>489.36177079124326</v>
      </c>
      <c r="K674" s="4">
        <f t="shared" si="83"/>
        <v>110.01343707370246</v>
      </c>
      <c r="L674" s="42">
        <f>Pressure!Q674</f>
        <v>0.31274964712660591</v>
      </c>
      <c r="M674" s="10">
        <f t="shared" si="84"/>
        <v>0.23495049032741019</v>
      </c>
      <c r="N674" s="10">
        <f t="shared" si="90"/>
        <v>2.5992897854448858</v>
      </c>
    </row>
    <row r="675" spans="3:14">
      <c r="C675" s="4">
        <f>Pressure!AB675*1000000</f>
        <v>5037716.0133137591</v>
      </c>
      <c r="D675" s="78">
        <f>Pressure!I675</f>
        <v>8.1256230789298584E-5</v>
      </c>
      <c r="E675" s="40">
        <f>Pressure!H675</f>
        <v>81.256230789298584</v>
      </c>
      <c r="F675" s="10">
        <f t="shared" si="86"/>
        <v>4.5</v>
      </c>
      <c r="G675" s="4">
        <f t="shared" si="85"/>
        <v>213487.81706378752</v>
      </c>
      <c r="H675" s="42">
        <f t="shared" si="87"/>
        <v>7.9955211414556988</v>
      </c>
      <c r="I675" s="10">
        <f t="shared" si="88"/>
        <v>1.1953322938793489</v>
      </c>
      <c r="J675" s="4">
        <f t="shared" si="89"/>
        <v>489.30427206824885</v>
      </c>
      <c r="K675" s="4">
        <f t="shared" si="83"/>
        <v>110.00051078374374</v>
      </c>
      <c r="L675" s="42">
        <f>Pressure!Q675</f>
        <v>0.31322975185768998</v>
      </c>
      <c r="M675" s="10">
        <f t="shared" si="84"/>
        <v>0.23493109866408046</v>
      </c>
      <c r="N675" s="10">
        <f t="shared" si="90"/>
        <v>2.5992897854448858</v>
      </c>
    </row>
    <row r="676" spans="3:14">
      <c r="C676" s="4">
        <f>Pressure!AB676*1000000</f>
        <v>5037163.0543073257</v>
      </c>
      <c r="D676" s="78">
        <f>Pressure!I676</f>
        <v>8.1256230789298584E-5</v>
      </c>
      <c r="E676" s="40">
        <f>Pressure!H676</f>
        <v>81.256230789298584</v>
      </c>
      <c r="F676" s="10">
        <f t="shared" si="86"/>
        <v>4.5</v>
      </c>
      <c r="G676" s="4">
        <f t="shared" si="85"/>
        <v>213464.38382322824</v>
      </c>
      <c r="H676" s="42">
        <f t="shared" si="87"/>
        <v>7.9948349843354531</v>
      </c>
      <c r="I676" s="10">
        <f t="shared" si="88"/>
        <v>1.1953223899591441</v>
      </c>
      <c r="J676" s="4">
        <f t="shared" si="89"/>
        <v>489.24651047379052</v>
      </c>
      <c r="K676" s="4">
        <f t="shared" si="83"/>
        <v>109.98752539764186</v>
      </c>
      <c r="L676" s="42">
        <f>Pressure!Q676</f>
        <v>0.31370987332235128</v>
      </c>
      <c r="M676" s="10">
        <f t="shared" si="84"/>
        <v>0.23491161747977721</v>
      </c>
      <c r="N676" s="10">
        <f t="shared" si="90"/>
        <v>2.5992897854448858</v>
      </c>
    </row>
    <row r="677" spans="3:14">
      <c r="C677" s="4">
        <f>Pressure!AB677*1000000</f>
        <v>5036607.5790193547</v>
      </c>
      <c r="D677" s="78">
        <f>Pressure!I677</f>
        <v>8.1256230789298584E-5</v>
      </c>
      <c r="E677" s="40">
        <f>Pressure!H677</f>
        <v>81.256230789298584</v>
      </c>
      <c r="F677" s="10">
        <f t="shared" si="86"/>
        <v>4.5</v>
      </c>
      <c r="G677" s="4">
        <f t="shared" si="85"/>
        <v>213440.8439479458</v>
      </c>
      <c r="H677" s="42">
        <f t="shared" si="87"/>
        <v>7.9941456913778888</v>
      </c>
      <c r="I677" s="10">
        <f t="shared" si="88"/>
        <v>1.1953124387808765</v>
      </c>
      <c r="J677" s="4">
        <f t="shared" si="89"/>
        <v>489.18848603085343</v>
      </c>
      <c r="K677" s="4">
        <f t="shared" si="83"/>
        <v>109.97448092056415</v>
      </c>
      <c r="L677" s="42">
        <f>Pressure!Q677</f>
        <v>0.31419001159952042</v>
      </c>
      <c r="M677" s="10">
        <f t="shared" si="84"/>
        <v>0.23489204677186656</v>
      </c>
      <c r="N677" s="10">
        <f t="shared" si="90"/>
        <v>2.5992897854448858</v>
      </c>
    </row>
    <row r="678" spans="3:14">
      <c r="C678" s="4">
        <f>Pressure!AB678*1000000</f>
        <v>5036049.587671062</v>
      </c>
      <c r="D678" s="78">
        <f>Pressure!I678</f>
        <v>8.1256230789298584E-5</v>
      </c>
      <c r="E678" s="40">
        <f>Pressure!H678</f>
        <v>81.256230789298584</v>
      </c>
      <c r="F678" s="10">
        <f t="shared" si="86"/>
        <v>4.5</v>
      </c>
      <c r="G678" s="4">
        <f t="shared" si="85"/>
        <v>213417.19744731483</v>
      </c>
      <c r="H678" s="42">
        <f t="shared" si="87"/>
        <v>7.993453262672781</v>
      </c>
      <c r="I678" s="10">
        <f t="shared" si="88"/>
        <v>1.195302440317956</v>
      </c>
      <c r="J678" s="4">
        <f t="shared" si="89"/>
        <v>489.13019876254538</v>
      </c>
      <c r="K678" s="4">
        <f t="shared" si="83"/>
        <v>109.96137735770544</v>
      </c>
      <c r="L678" s="42">
        <f>Pressure!Q678</f>
        <v>0.31467016676815512</v>
      </c>
      <c r="M678" s="10">
        <f t="shared" si="84"/>
        <v>0.23487238653772588</v>
      </c>
      <c r="N678" s="10">
        <f t="shared" si="90"/>
        <v>2.5992897854448858</v>
      </c>
    </row>
    <row r="679" spans="3:14">
      <c r="C679" s="4">
        <f>Pressure!AB679*1000000</f>
        <v>5035489.0804846138</v>
      </c>
      <c r="D679" s="78">
        <f>Pressure!I679</f>
        <v>8.1256230789298584E-5</v>
      </c>
      <c r="E679" s="40">
        <f>Pressure!H679</f>
        <v>81.256230789298584</v>
      </c>
      <c r="F679" s="10">
        <f t="shared" si="86"/>
        <v>4.5</v>
      </c>
      <c r="G679" s="4">
        <f t="shared" si="85"/>
        <v>213393.44433075027</v>
      </c>
      <c r="H679" s="42">
        <f t="shared" si="87"/>
        <v>7.992757698310248</v>
      </c>
      <c r="I679" s="10">
        <f t="shared" si="88"/>
        <v>1.1952923945436584</v>
      </c>
      <c r="J679" s="4">
        <f t="shared" si="89"/>
        <v>489.07164869207384</v>
      </c>
      <c r="K679" s="4">
        <f t="shared" si="83"/>
        <v>109.94821471428304</v>
      </c>
      <c r="L679" s="42">
        <f>Pressure!Q679</f>
        <v>0.31515033890724048</v>
      </c>
      <c r="M679" s="10">
        <f t="shared" si="84"/>
        <v>0.23485263677476545</v>
      </c>
      <c r="N679" s="10">
        <f t="shared" si="90"/>
        <v>2.5992897854448858</v>
      </c>
    </row>
    <row r="680" spans="3:14">
      <c r="C680" s="4">
        <f>Pressure!AB680*1000000</f>
        <v>5034926.0576834157</v>
      </c>
      <c r="D680" s="78">
        <f>Pressure!I680</f>
        <v>8.1256230789298584E-5</v>
      </c>
      <c r="E680" s="40">
        <f>Pressure!H680</f>
        <v>81.256230789298584</v>
      </c>
      <c r="F680" s="10">
        <f t="shared" si="86"/>
        <v>4.5</v>
      </c>
      <c r="G680" s="4">
        <f t="shared" si="85"/>
        <v>213369.58460771959</v>
      </c>
      <c r="H680" s="42">
        <f t="shared" si="87"/>
        <v>7.9920589983810677</v>
      </c>
      <c r="I680" s="10">
        <f t="shared" si="88"/>
        <v>1.1952823014311291</v>
      </c>
      <c r="J680" s="4">
        <f t="shared" si="89"/>
        <v>489.0128358427753</v>
      </c>
      <c r="K680" s="4">
        <f t="shared" si="83"/>
        <v>109.93499299554321</v>
      </c>
      <c r="L680" s="42">
        <f>Pressure!Q680</f>
        <v>0.31563052809578895</v>
      </c>
      <c r="M680" s="10">
        <f t="shared" si="84"/>
        <v>0.23483279748032101</v>
      </c>
      <c r="N680" s="10">
        <f t="shared" si="90"/>
        <v>2.5992897854448858</v>
      </c>
    </row>
    <row r="681" spans="3:14">
      <c r="C681" s="4">
        <f>Pressure!AB681*1000000</f>
        <v>5034360.5194918578</v>
      </c>
      <c r="D681" s="78">
        <f>Pressure!I681</f>
        <v>8.1256230789298584E-5</v>
      </c>
      <c r="E681" s="40">
        <f>Pressure!H681</f>
        <v>81.256230789298584</v>
      </c>
      <c r="F681" s="10">
        <f t="shared" si="86"/>
        <v>4.5</v>
      </c>
      <c r="G681" s="4">
        <f t="shared" si="85"/>
        <v>213345.61828773195</v>
      </c>
      <c r="H681" s="42">
        <f t="shared" si="87"/>
        <v>7.9913571629763984</v>
      </c>
      <c r="I681" s="10">
        <f t="shared" si="88"/>
        <v>1.1952721609533798</v>
      </c>
      <c r="J681" s="4">
        <f t="shared" si="89"/>
        <v>488.95376023808967</v>
      </c>
      <c r="K681" s="4">
        <f t="shared" si="83"/>
        <v>109.92171220675547</v>
      </c>
      <c r="L681" s="42">
        <f>Pressure!Q681</f>
        <v>0.31611073441284054</v>
      </c>
      <c r="M681" s="10">
        <f t="shared" si="84"/>
        <v>0.23481286865173617</v>
      </c>
      <c r="N681" s="10">
        <f t="shared" si="90"/>
        <v>2.5992897854448858</v>
      </c>
    </row>
    <row r="682" spans="3:14">
      <c r="C682" s="4">
        <f>Pressure!AB682*1000000</f>
        <v>5033792.4661355196</v>
      </c>
      <c r="D682" s="78">
        <f>Pressure!I682</f>
        <v>8.1256230789298584E-5</v>
      </c>
      <c r="E682" s="40">
        <f>Pressure!H682</f>
        <v>81.256230789298584</v>
      </c>
      <c r="F682" s="10">
        <f t="shared" si="86"/>
        <v>4.5</v>
      </c>
      <c r="G682" s="4">
        <f t="shared" si="85"/>
        <v>213321.54538034694</v>
      </c>
      <c r="H682" s="42">
        <f t="shared" si="87"/>
        <v>7.9906521921880058</v>
      </c>
      <c r="I682" s="10">
        <f t="shared" si="88"/>
        <v>1.1952619730832907</v>
      </c>
      <c r="J682" s="4">
        <f t="shared" si="89"/>
        <v>488.89442190158064</v>
      </c>
      <c r="K682" s="4">
        <f t="shared" si="83"/>
        <v>109.90837235321717</v>
      </c>
      <c r="L682" s="42">
        <f>Pressure!Q682</f>
        <v>0.316590957937463</v>
      </c>
      <c r="M682" s="10">
        <f t="shared" si="84"/>
        <v>0.23479285028638811</v>
      </c>
      <c r="N682" s="10">
        <f t="shared" si="90"/>
        <v>2.5992897854448858</v>
      </c>
    </row>
    <row r="683" spans="3:14">
      <c r="C683" s="4">
        <f>Pressure!AB683*1000000</f>
        <v>5033221.897841109</v>
      </c>
      <c r="D683" s="78">
        <f>Pressure!I683</f>
        <v>8.1256230789298584E-5</v>
      </c>
      <c r="E683" s="40">
        <f>Pressure!H683</f>
        <v>81.256230789298584</v>
      </c>
      <c r="F683" s="10">
        <f t="shared" si="86"/>
        <v>4.5</v>
      </c>
      <c r="G683" s="4">
        <f t="shared" si="85"/>
        <v>213297.365895172</v>
      </c>
      <c r="H683" s="42">
        <f t="shared" si="87"/>
        <v>7.9899440861082081</v>
      </c>
      <c r="I683" s="10">
        <f t="shared" si="88"/>
        <v>1.1952517377936098</v>
      </c>
      <c r="J683" s="4">
        <f t="shared" si="89"/>
        <v>488.83482085692981</v>
      </c>
      <c r="K683" s="4">
        <f t="shared" si="83"/>
        <v>109.8949734402522</v>
      </c>
      <c r="L683" s="42">
        <f>Pressure!Q683</f>
        <v>0.31707119874875184</v>
      </c>
      <c r="M683" s="10">
        <f t="shared" si="84"/>
        <v>0.23477274238158247</v>
      </c>
      <c r="N683" s="10">
        <f t="shared" si="90"/>
        <v>2.5992897854448858</v>
      </c>
    </row>
    <row r="684" spans="3:14">
      <c r="C684" s="4">
        <f>Pressure!AB684*1000000</f>
        <v>5032648.8148362981</v>
      </c>
      <c r="D684" s="78">
        <f>Pressure!I684</f>
        <v>8.1256230789298584E-5</v>
      </c>
      <c r="E684" s="40">
        <f>Pressure!H684</f>
        <v>81.256230789298584</v>
      </c>
      <c r="F684" s="10">
        <f t="shared" si="86"/>
        <v>4.5</v>
      </c>
      <c r="G684" s="4">
        <f t="shared" si="85"/>
        <v>213273.07984185536</v>
      </c>
      <c r="H684" s="42">
        <f t="shared" si="87"/>
        <v>7.9892328448296537</v>
      </c>
      <c r="I684" s="10">
        <f t="shared" si="88"/>
        <v>1.1952414550569499</v>
      </c>
      <c r="J684" s="4">
        <f t="shared" si="89"/>
        <v>488.77495712791966</v>
      </c>
      <c r="K684" s="4">
        <f t="shared" si="83"/>
        <v>109.88151547320706</v>
      </c>
      <c r="L684" s="42">
        <f>Pressure!Q684</f>
        <v>0.31755145692583053</v>
      </c>
      <c r="M684" s="10">
        <f t="shared" si="84"/>
        <v>0.23475254493465636</v>
      </c>
      <c r="N684" s="10">
        <f t="shared" si="90"/>
        <v>2.5992897854448858</v>
      </c>
    </row>
    <row r="685" spans="3:14">
      <c r="C685" s="4">
        <f>Pressure!AB685*1000000</f>
        <v>5032073.2173499521</v>
      </c>
      <c r="D685" s="78">
        <f>Pressure!I685</f>
        <v>8.1256230789298584E-5</v>
      </c>
      <c r="E685" s="40">
        <f>Pressure!H685</f>
        <v>81.256230789298584</v>
      </c>
      <c r="F685" s="10">
        <f t="shared" si="86"/>
        <v>4.5</v>
      </c>
      <c r="G685" s="4">
        <f t="shared" si="85"/>
        <v>213248.68723009585</v>
      </c>
      <c r="H685" s="42">
        <f t="shared" si="87"/>
        <v>7.988518468445613</v>
      </c>
      <c r="I685" s="10">
        <f t="shared" si="88"/>
        <v>1.1952311248457921</v>
      </c>
      <c r="J685" s="4">
        <f t="shared" si="89"/>
        <v>488.71483073845729</v>
      </c>
      <c r="K685" s="4">
        <f t="shared" si="83"/>
        <v>109.86799845745634</v>
      </c>
      <c r="L685" s="42">
        <f>Pressure!Q685</f>
        <v>0.31803173254785072</v>
      </c>
      <c r="M685" s="10">
        <f t="shared" si="84"/>
        <v>0.23473225794295269</v>
      </c>
      <c r="N685" s="10">
        <f t="shared" si="90"/>
        <v>2.5992897854448858</v>
      </c>
    </row>
    <row r="686" spans="3:14">
      <c r="C686" s="4">
        <f>Pressure!AB686*1000000</f>
        <v>5031495.1056121131</v>
      </c>
      <c r="D686" s="78">
        <f>Pressure!I686</f>
        <v>8.1256230789298584E-5</v>
      </c>
      <c r="E686" s="40">
        <f>Pressure!H686</f>
        <v>81.256230789298584</v>
      </c>
      <c r="F686" s="10">
        <f t="shared" si="86"/>
        <v>4.5</v>
      </c>
      <c r="G686" s="4">
        <f t="shared" si="85"/>
        <v>213224.1880696422</v>
      </c>
      <c r="H686" s="42">
        <f t="shared" si="87"/>
        <v>7.9878009570499584</v>
      </c>
      <c r="I686" s="10">
        <f t="shared" si="88"/>
        <v>1.195220747132486</v>
      </c>
      <c r="J686" s="4">
        <f t="shared" si="89"/>
        <v>488.65444171257275</v>
      </c>
      <c r="K686" s="4">
        <f t="shared" si="83"/>
        <v>109.85442239840222</v>
      </c>
      <c r="L686" s="42">
        <f>Pressure!Q686</f>
        <v>0.31851202569399212</v>
      </c>
      <c r="M686" s="10">
        <f t="shared" si="84"/>
        <v>0.23471188140371685</v>
      </c>
      <c r="N686" s="10">
        <f t="shared" si="90"/>
        <v>2.5992897854448858</v>
      </c>
    </row>
    <row r="687" spans="3:14">
      <c r="C687" s="4">
        <f>Pressure!AB687*1000000</f>
        <v>5030914.479853753</v>
      </c>
      <c r="D687" s="78">
        <f>Pressure!I687</f>
        <v>8.1256230789298584E-5</v>
      </c>
      <c r="E687" s="40">
        <f>Pressure!H687</f>
        <v>81.256230789298584</v>
      </c>
      <c r="F687" s="10">
        <f t="shared" si="86"/>
        <v>4.5</v>
      </c>
      <c r="G687" s="4">
        <f t="shared" si="85"/>
        <v>213199.58237028244</v>
      </c>
      <c r="H687" s="42">
        <f t="shared" si="87"/>
        <v>7.9870803107368626</v>
      </c>
      <c r="I687" s="10">
        <f t="shared" si="88"/>
        <v>1.1952103218892445</v>
      </c>
      <c r="J687" s="4">
        <f t="shared" si="89"/>
        <v>488.59379007439298</v>
      </c>
      <c r="K687" s="4">
        <f t="shared" si="83"/>
        <v>109.84078730146868</v>
      </c>
      <c r="L687" s="42">
        <f>Pressure!Q687</f>
        <v>0.31899233644346286</v>
      </c>
      <c r="M687" s="10">
        <f t="shared" si="84"/>
        <v>0.23469141531427992</v>
      </c>
      <c r="N687" s="10">
        <f t="shared" si="90"/>
        <v>2.5992897854448858</v>
      </c>
    </row>
    <row r="688" spans="3:14">
      <c r="C688" s="4">
        <f>Pressure!AB688*1000000</f>
        <v>5030331.340307164</v>
      </c>
      <c r="D688" s="78">
        <f>Pressure!I688</f>
        <v>8.1256230789298584E-5</v>
      </c>
      <c r="E688" s="40">
        <f>Pressure!H688</f>
        <v>81.256230789298584</v>
      </c>
      <c r="F688" s="10">
        <f t="shared" si="86"/>
        <v>4.5</v>
      </c>
      <c r="G688" s="4">
        <f t="shared" si="85"/>
        <v>213174.87014186071</v>
      </c>
      <c r="H688" s="42">
        <f t="shared" si="87"/>
        <v>7.9863565296012817</v>
      </c>
      <c r="I688" s="10">
        <f t="shared" si="88"/>
        <v>1.1951998490881504</v>
      </c>
      <c r="J688" s="4">
        <f t="shared" si="89"/>
        <v>488.53287584818315</v>
      </c>
      <c r="K688" s="4">
        <f t="shared" si="83"/>
        <v>109.82709317211078</v>
      </c>
      <c r="L688" s="42">
        <f>Pressure!Q688</f>
        <v>0.31947266487549963</v>
      </c>
      <c r="M688" s="10">
        <f t="shared" si="84"/>
        <v>0.2346708596719537</v>
      </c>
      <c r="N688" s="10">
        <f t="shared" si="90"/>
        <v>2.5992897854448858</v>
      </c>
    </row>
    <row r="689" spans="3:14">
      <c r="C689" s="4">
        <f>Pressure!AB689*1000000</f>
        <v>5029745.687205445</v>
      </c>
      <c r="D689" s="78">
        <f>Pressure!I689</f>
        <v>8.1256230789298584E-5</v>
      </c>
      <c r="E689" s="40">
        <f>Pressure!H689</f>
        <v>81.256230789298584</v>
      </c>
      <c r="F689" s="10">
        <f t="shared" si="86"/>
        <v>4.5</v>
      </c>
      <c r="G689" s="4">
        <f t="shared" si="85"/>
        <v>213150.05139425522</v>
      </c>
      <c r="H689" s="42">
        <f t="shared" si="87"/>
        <v>7.9856296137382969</v>
      </c>
      <c r="I689" s="10">
        <f t="shared" si="88"/>
        <v>1.1951893287011479</v>
      </c>
      <c r="J689" s="4">
        <f t="shared" si="89"/>
        <v>488.47169905829242</v>
      </c>
      <c r="K689" s="4">
        <f t="shared" si="83"/>
        <v>109.81334001580244</v>
      </c>
      <c r="L689" s="42">
        <f>Pressure!Q689</f>
        <v>0.31995301106936758</v>
      </c>
      <c r="M689" s="10">
        <f t="shared" si="84"/>
        <v>0.23465021447394613</v>
      </c>
      <c r="N689" s="10">
        <f t="shared" si="90"/>
        <v>2.5992897854448858</v>
      </c>
    </row>
    <row r="690" spans="3:14">
      <c r="C690" s="4">
        <f>Pressure!AB690*1000000</f>
        <v>5029157.5207831832</v>
      </c>
      <c r="D690" s="78">
        <f>Pressure!I690</f>
        <v>8.1256230789298584E-5</v>
      </c>
      <c r="E690" s="40">
        <f>Pressure!H690</f>
        <v>81.256230789298584</v>
      </c>
      <c r="F690" s="10">
        <f t="shared" si="86"/>
        <v>4.5</v>
      </c>
      <c r="G690" s="4">
        <f t="shared" si="85"/>
        <v>213125.12613740726</v>
      </c>
      <c r="H690" s="42">
        <f t="shared" si="87"/>
        <v>7.9848995632439896</v>
      </c>
      <c r="I690" s="10">
        <f t="shared" si="88"/>
        <v>1.1951787607000539</v>
      </c>
      <c r="J690" s="4">
        <f t="shared" si="89"/>
        <v>488.41025972922569</v>
      </c>
      <c r="K690" s="4">
        <f t="shared" si="83"/>
        <v>109.79952783805263</v>
      </c>
      <c r="L690" s="42">
        <f>Pressure!Q690</f>
        <v>0.32043337510436071</v>
      </c>
      <c r="M690" s="10">
        <f t="shared" si="84"/>
        <v>0.23462947971758255</v>
      </c>
      <c r="N690" s="10">
        <f t="shared" si="90"/>
        <v>2.5992897854448858</v>
      </c>
    </row>
    <row r="691" spans="3:14">
      <c r="C691" s="4">
        <f>Pressure!AB691*1000000</f>
        <v>5028566.841275759</v>
      </c>
      <c r="D691" s="78">
        <f>Pressure!I691</f>
        <v>8.1256230789298584E-5</v>
      </c>
      <c r="E691" s="40">
        <f>Pressure!H691</f>
        <v>81.256230789298584</v>
      </c>
      <c r="F691" s="10">
        <f t="shared" si="86"/>
        <v>4.5</v>
      </c>
      <c r="G691" s="4">
        <f t="shared" si="85"/>
        <v>213100.0943812918</v>
      </c>
      <c r="H691" s="42">
        <f t="shared" si="87"/>
        <v>7.984166378214562</v>
      </c>
      <c r="I691" s="10">
        <f t="shared" si="88"/>
        <v>1.1951681450565459</v>
      </c>
      <c r="J691" s="4">
        <f t="shared" si="89"/>
        <v>488.34855788557059</v>
      </c>
      <c r="K691" s="4">
        <f t="shared" si="83"/>
        <v>109.78565664438888</v>
      </c>
      <c r="L691" s="42">
        <f>Pressure!Q691</f>
        <v>0.3209137570598018</v>
      </c>
      <c r="M691" s="10">
        <f t="shared" si="84"/>
        <v>0.23460865540006107</v>
      </c>
      <c r="N691" s="10">
        <f t="shared" si="90"/>
        <v>2.5992897854448858</v>
      </c>
    </row>
    <row r="692" spans="3:14">
      <c r="C692" s="4">
        <f>Pressure!AB692*1000000</f>
        <v>5027973.6489197975</v>
      </c>
      <c r="D692" s="78">
        <f>Pressure!I692</f>
        <v>8.1256230789298584E-5</v>
      </c>
      <c r="E692" s="40">
        <f>Pressure!H692</f>
        <v>81.256230789298584</v>
      </c>
      <c r="F692" s="10">
        <f t="shared" si="86"/>
        <v>4.5</v>
      </c>
      <c r="G692" s="4">
        <f t="shared" si="85"/>
        <v>213074.95613593646</v>
      </c>
      <c r="H692" s="42">
        <f t="shared" si="87"/>
        <v>7.983430058746908</v>
      </c>
      <c r="I692" s="10">
        <f t="shared" si="88"/>
        <v>1.1951574817421691</v>
      </c>
      <c r="J692" s="4">
        <f t="shared" si="89"/>
        <v>488.28659355204462</v>
      </c>
      <c r="K692" s="4">
        <f t="shared" si="83"/>
        <v>109.77172644036793</v>
      </c>
      <c r="L692" s="42">
        <f>Pressure!Q692</f>
        <v>0.32139415701504276</v>
      </c>
      <c r="M692" s="10">
        <f t="shared" si="84"/>
        <v>0.2345877415186903</v>
      </c>
      <c r="N692" s="10">
        <f t="shared" si="90"/>
        <v>2.5992897854448858</v>
      </c>
    </row>
    <row r="693" spans="3:14">
      <c r="C693" s="4">
        <f>Pressure!AB693*1000000</f>
        <v>5027377.9439530289</v>
      </c>
      <c r="D693" s="78">
        <f>Pressure!I693</f>
        <v>8.1256230789298584E-5</v>
      </c>
      <c r="E693" s="40">
        <f>Pressure!H693</f>
        <v>81.256230789298584</v>
      </c>
      <c r="F693" s="10">
        <f t="shared" si="86"/>
        <v>4.5</v>
      </c>
      <c r="G693" s="4">
        <f t="shared" si="85"/>
        <v>213049.71141141577</v>
      </c>
      <c r="H693" s="42">
        <f t="shared" si="87"/>
        <v>7.9826906049384165</v>
      </c>
      <c r="I693" s="10">
        <f t="shared" si="88"/>
        <v>1.1951467707283345</v>
      </c>
      <c r="J693" s="4">
        <f t="shared" si="89"/>
        <v>488.22436675348092</v>
      </c>
      <c r="K693" s="4">
        <f t="shared" si="83"/>
        <v>109.75773723157253</v>
      </c>
      <c r="L693" s="42">
        <f>Pressure!Q693</f>
        <v>0.32187457504946454</v>
      </c>
      <c r="M693" s="10">
        <f t="shared" si="84"/>
        <v>0.23456673807065329</v>
      </c>
      <c r="N693" s="10">
        <f t="shared" si="90"/>
        <v>2.5992897854448858</v>
      </c>
    </row>
    <row r="694" spans="3:14">
      <c r="C694" s="4">
        <f>Pressure!AB694*1000000</f>
        <v>5026779.7266142359</v>
      </c>
      <c r="D694" s="78">
        <f>Pressure!I694</f>
        <v>8.1256230789298584E-5</v>
      </c>
      <c r="E694" s="40">
        <f>Pressure!H694</f>
        <v>81.256230789298584</v>
      </c>
      <c r="F694" s="10">
        <f t="shared" si="86"/>
        <v>4.5</v>
      </c>
      <c r="G694" s="4">
        <f t="shared" si="85"/>
        <v>213024.36021784888</v>
      </c>
      <c r="H694" s="42">
        <f t="shared" si="87"/>
        <v>7.981948016886939</v>
      </c>
      <c r="I694" s="10">
        <f t="shared" si="88"/>
        <v>1.1951360119863177</v>
      </c>
      <c r="J694" s="4">
        <f t="shared" si="89"/>
        <v>488.16187751482266</v>
      </c>
      <c r="K694" s="4">
        <f t="shared" si="83"/>
        <v>109.74368902361014</v>
      </c>
      <c r="L694" s="42">
        <f>Pressure!Q694</f>
        <v>0.32235501124247745</v>
      </c>
      <c r="M694" s="10">
        <f t="shared" si="84"/>
        <v>0.23454564505321945</v>
      </c>
      <c r="N694" s="10">
        <f t="shared" si="90"/>
        <v>2.5992897854448858</v>
      </c>
    </row>
    <row r="695" spans="3:14">
      <c r="C695" s="4">
        <f>Pressure!AB695*1000000</f>
        <v>5026178.9971433161</v>
      </c>
      <c r="D695" s="78">
        <f>Pressure!I695</f>
        <v>8.1256230789298584E-5</v>
      </c>
      <c r="E695" s="40">
        <f>Pressure!H695</f>
        <v>81.256230789298584</v>
      </c>
      <c r="F695" s="10">
        <f t="shared" si="86"/>
        <v>4.5</v>
      </c>
      <c r="G695" s="4">
        <f t="shared" si="85"/>
        <v>212998.9025654021</v>
      </c>
      <c r="H695" s="42">
        <f t="shared" si="87"/>
        <v>7.9812022946908492</v>
      </c>
      <c r="I695" s="10">
        <f t="shared" si="88"/>
        <v>1.195125205487259</v>
      </c>
      <c r="J695" s="4">
        <f t="shared" si="89"/>
        <v>488.09912586112915</v>
      </c>
      <c r="K695" s="4">
        <f t="shared" si="83"/>
        <v>109.72958182211437</v>
      </c>
      <c r="L695" s="42">
        <f>Pressure!Q695</f>
        <v>0.32283546567352112</v>
      </c>
      <c r="M695" s="10">
        <f t="shared" si="84"/>
        <v>0.23452446246355485</v>
      </c>
      <c r="N695" s="10">
        <f t="shared" si="90"/>
        <v>2.5992897854448858</v>
      </c>
    </row>
    <row r="696" spans="3:14">
      <c r="C696" s="4">
        <f>Pressure!AB696*1000000</f>
        <v>5025575.7557813739</v>
      </c>
      <c r="D696" s="78">
        <f>Pressure!I696</f>
        <v>8.1256230789298584E-5</v>
      </c>
      <c r="E696" s="40">
        <f>Pressure!H696</f>
        <v>81.256230789298584</v>
      </c>
      <c r="F696" s="10">
        <f t="shared" si="86"/>
        <v>4.5</v>
      </c>
      <c r="G696" s="4">
        <f t="shared" si="85"/>
        <v>212973.33846429293</v>
      </c>
      <c r="H696" s="42">
        <f t="shared" si="87"/>
        <v>7.9804534384491435</v>
      </c>
      <c r="I696" s="10">
        <f t="shared" si="88"/>
        <v>1.195114351202166</v>
      </c>
      <c r="J696" s="4">
        <f t="shared" si="89"/>
        <v>488.03611181758612</v>
      </c>
      <c r="K696" s="4">
        <f t="shared" si="83"/>
        <v>109.71541563274721</v>
      </c>
      <c r="L696" s="42">
        <f>Pressure!Q696</f>
        <v>0.32331593842206474</v>
      </c>
      <c r="M696" s="10">
        <f t="shared" si="84"/>
        <v>0.23450319029888875</v>
      </c>
      <c r="N696" s="10">
        <f t="shared" si="90"/>
        <v>2.5992897854448858</v>
      </c>
    </row>
    <row r="697" spans="3:14">
      <c r="C697" s="4">
        <f>Pressure!AB697*1000000</f>
        <v>5024970.0027704043</v>
      </c>
      <c r="D697" s="78">
        <f>Pressure!I697</f>
        <v>8.1256230789298584E-5</v>
      </c>
      <c r="E697" s="40">
        <f>Pressure!H697</f>
        <v>81.256230789298584</v>
      </c>
      <c r="F697" s="10">
        <f t="shared" si="86"/>
        <v>4.5</v>
      </c>
      <c r="G697" s="4">
        <f t="shared" si="85"/>
        <v>212947.66792477662</v>
      </c>
      <c r="H697" s="42">
        <f t="shared" si="87"/>
        <v>7.9797014482610713</v>
      </c>
      <c r="I697" s="10">
        <f t="shared" si="88"/>
        <v>1.1951034491019068</v>
      </c>
      <c r="J697" s="4">
        <f t="shared" si="89"/>
        <v>487.97283540947177</v>
      </c>
      <c r="K697" s="4">
        <f t="shared" si="83"/>
        <v>109.70119046119144</v>
      </c>
      <c r="L697" s="42">
        <f>Pressure!Q697</f>
        <v>0.32379642956760729</v>
      </c>
      <c r="M697" s="10">
        <f t="shared" si="84"/>
        <v>0.23448182855645353</v>
      </c>
      <c r="N697" s="10">
        <f t="shared" si="90"/>
        <v>2.5992897854448858</v>
      </c>
    </row>
    <row r="698" spans="3:14">
      <c r="C698" s="4">
        <f>Pressure!AB698*1000000</f>
        <v>5024361.7383538559</v>
      </c>
      <c r="D698" s="78">
        <f>Pressure!I698</f>
        <v>8.1256230789298584E-5</v>
      </c>
      <c r="E698" s="40">
        <f>Pressure!H698</f>
        <v>81.256230789298584</v>
      </c>
      <c r="F698" s="10">
        <f t="shared" si="86"/>
        <v>4.5</v>
      </c>
      <c r="G698" s="4">
        <f t="shared" si="85"/>
        <v>212921.89095716999</v>
      </c>
      <c r="H698" s="42">
        <f t="shared" si="87"/>
        <v>7.9789463242268219</v>
      </c>
      <c r="I698" s="10">
        <f t="shared" si="88"/>
        <v>1.1950924991572209</v>
      </c>
      <c r="J698" s="4">
        <f t="shared" si="89"/>
        <v>487.90929666221695</v>
      </c>
      <c r="K698" s="4">
        <f t="shared" si="83"/>
        <v>109.68690631316419</v>
      </c>
      <c r="L698" s="42">
        <f>Pressure!Q698</f>
        <v>0.32427693918967737</v>
      </c>
      <c r="M698" s="10">
        <f t="shared" si="84"/>
        <v>0.2344603772333555</v>
      </c>
      <c r="N698" s="10">
        <f t="shared" si="90"/>
        <v>2.5992897854448858</v>
      </c>
    </row>
    <row r="699" spans="3:14">
      <c r="C699" s="4">
        <f>Pressure!AB699*1000000</f>
        <v>5023750.9627759242</v>
      </c>
      <c r="D699" s="78">
        <f>Pressure!I699</f>
        <v>8.1256230789298584E-5</v>
      </c>
      <c r="E699" s="40">
        <f>Pressure!H699</f>
        <v>81.256230789298584</v>
      </c>
      <c r="F699" s="10">
        <f t="shared" si="86"/>
        <v>4.5</v>
      </c>
      <c r="G699" s="4">
        <f t="shared" si="85"/>
        <v>212896.0075718216</v>
      </c>
      <c r="H699" s="42">
        <f t="shared" si="87"/>
        <v>7.9781880664466636</v>
      </c>
      <c r="I699" s="10">
        <f t="shared" si="88"/>
        <v>1.1950815013387053</v>
      </c>
      <c r="J699" s="4">
        <f t="shared" si="89"/>
        <v>487.8454956013299</v>
      </c>
      <c r="K699" s="4">
        <f t="shared" si="83"/>
        <v>109.67256319439996</v>
      </c>
      <c r="L699" s="42">
        <f>Pressure!Q699</f>
        <v>0.32475746736783367</v>
      </c>
      <c r="M699" s="10">
        <f t="shared" si="84"/>
        <v>0.23443883632684209</v>
      </c>
      <c r="N699" s="10">
        <f t="shared" si="90"/>
        <v>2.5992897854448858</v>
      </c>
    </row>
    <row r="700" spans="3:14">
      <c r="C700" s="4">
        <f>Pressure!AB700*1000000</f>
        <v>5023137.6762820911</v>
      </c>
      <c r="D700" s="78">
        <f>Pressure!I700</f>
        <v>8.1256230789298584E-5</v>
      </c>
      <c r="E700" s="40">
        <f>Pressure!H700</f>
        <v>81.256230789298584</v>
      </c>
      <c r="F700" s="10">
        <f t="shared" si="86"/>
        <v>4.5</v>
      </c>
      <c r="G700" s="4">
        <f t="shared" si="85"/>
        <v>212870.01777913436</v>
      </c>
      <c r="H700" s="42">
        <f t="shared" si="87"/>
        <v>7.9774266750215821</v>
      </c>
      <c r="I700" s="10">
        <f t="shared" si="88"/>
        <v>1.1950704556168241</v>
      </c>
      <c r="J700" s="4">
        <f t="shared" si="89"/>
        <v>487.78143225245333</v>
      </c>
      <c r="K700" s="4">
        <f t="shared" si="83"/>
        <v>109.65816111066349</v>
      </c>
      <c r="L700" s="42">
        <f>Pressure!Q700</f>
        <v>0.32523801418166487</v>
      </c>
      <c r="M700" s="10">
        <f t="shared" si="84"/>
        <v>0.23441720583402645</v>
      </c>
      <c r="N700" s="10">
        <f t="shared" si="90"/>
        <v>2.5992897854448858</v>
      </c>
    </row>
    <row r="701" spans="3:14">
      <c r="C701" s="4">
        <f>Pressure!AB701*1000000</f>
        <v>5022521.8791190479</v>
      </c>
      <c r="D701" s="78">
        <f>Pressure!I701</f>
        <v>8.1256230789298584E-5</v>
      </c>
      <c r="E701" s="40">
        <f>Pressure!H701</f>
        <v>81.256230789298584</v>
      </c>
      <c r="F701" s="10">
        <f t="shared" si="86"/>
        <v>4.5</v>
      </c>
      <c r="G701" s="4">
        <f t="shared" si="85"/>
        <v>212843.92158956258</v>
      </c>
      <c r="H701" s="42">
        <f t="shared" si="87"/>
        <v>7.9766621500532064</v>
      </c>
      <c r="I701" s="10">
        <f t="shared" si="88"/>
        <v>1.1950593619619081</v>
      </c>
      <c r="J701" s="4">
        <f t="shared" si="89"/>
        <v>487.71710664135662</v>
      </c>
      <c r="K701" s="4">
        <f t="shared" si="83"/>
        <v>109.643700067748</v>
      </c>
      <c r="L701" s="42">
        <f>Pressure!Q701</f>
        <v>0.32571857971078993</v>
      </c>
      <c r="M701" s="10">
        <f t="shared" si="84"/>
        <v>0.234395485752116</v>
      </c>
      <c r="N701" s="10">
        <f t="shared" si="90"/>
        <v>2.5992897854448858</v>
      </c>
    </row>
    <row r="702" spans="3:14">
      <c r="C702" s="4">
        <f>Pressure!AB702*1000000</f>
        <v>5021903.5715343412</v>
      </c>
      <c r="D702" s="78">
        <f>Pressure!I702</f>
        <v>8.1256230789298584E-5</v>
      </c>
      <c r="E702" s="40">
        <f>Pressure!H702</f>
        <v>81.256230789298584</v>
      </c>
      <c r="F702" s="10">
        <f t="shared" si="86"/>
        <v>4.5</v>
      </c>
      <c r="G702" s="4">
        <f t="shared" si="85"/>
        <v>212817.7190135968</v>
      </c>
      <c r="H702" s="42">
        <f t="shared" si="87"/>
        <v>7.9758944916433716</v>
      </c>
      <c r="I702" s="10">
        <f t="shared" si="88"/>
        <v>1.1950482203441468</v>
      </c>
      <c r="J702" s="4">
        <f t="shared" si="89"/>
        <v>487.65251879389814</v>
      </c>
      <c r="K702" s="4">
        <f t="shared" si="83"/>
        <v>109.62918007146669</v>
      </c>
      <c r="L702" s="42">
        <f>Pressure!Q702</f>
        <v>0.3261991640348581</v>
      </c>
      <c r="M702" s="10">
        <f t="shared" si="84"/>
        <v>0.23437367607821172</v>
      </c>
      <c r="N702" s="10">
        <f t="shared" si="90"/>
        <v>2.5992897854448858</v>
      </c>
    </row>
    <row r="703" spans="3:14">
      <c r="C703" s="4">
        <f>Pressure!AB703*1000000</f>
        <v>5021282.7537768325</v>
      </c>
      <c r="D703" s="78">
        <f>Pressure!I703</f>
        <v>8.1256230789298584E-5</v>
      </c>
      <c r="E703" s="40">
        <f>Pressure!H703</f>
        <v>81.256230789298584</v>
      </c>
      <c r="F703" s="10">
        <f t="shared" si="86"/>
        <v>4.5</v>
      </c>
      <c r="G703" s="4">
        <f t="shared" si="85"/>
        <v>212791.41006178316</v>
      </c>
      <c r="H703" s="42">
        <f t="shared" si="87"/>
        <v>7.9751236998946782</v>
      </c>
      <c r="I703" s="10">
        <f t="shared" si="88"/>
        <v>1.1950370307335973</v>
      </c>
      <c r="J703" s="4">
        <f t="shared" si="89"/>
        <v>487.58766873607379</v>
      </c>
      <c r="K703" s="4">
        <f t="shared" si="83"/>
        <v>109.61460112766373</v>
      </c>
      <c r="L703" s="42">
        <f>Pressure!Q703</f>
        <v>0.32667976723354913</v>
      </c>
      <c r="M703" s="10">
        <f t="shared" si="84"/>
        <v>0.23435177680947319</v>
      </c>
      <c r="N703" s="10">
        <f t="shared" si="90"/>
        <v>2.5992897854448858</v>
      </c>
    </row>
    <row r="704" spans="3:14">
      <c r="C704" s="4">
        <f>Pressure!AB704*1000000</f>
        <v>5020659.4260964142</v>
      </c>
      <c r="D704" s="78">
        <f>Pressure!I704</f>
        <v>8.1256230789298584E-5</v>
      </c>
      <c r="E704" s="40">
        <f>Pressure!H704</f>
        <v>81.256230789298584</v>
      </c>
      <c r="F704" s="10">
        <f t="shared" si="86"/>
        <v>4.5</v>
      </c>
      <c r="G704" s="4">
        <f t="shared" si="85"/>
        <v>212764.99474471164</v>
      </c>
      <c r="H704" s="42">
        <f t="shared" si="87"/>
        <v>7.9743497749101406</v>
      </c>
      <c r="I704" s="10">
        <f t="shared" si="88"/>
        <v>1.1950257931001786</v>
      </c>
      <c r="J704" s="4">
        <f t="shared" si="89"/>
        <v>487.52255649398705</v>
      </c>
      <c r="K704" s="4">
        <f t="shared" si="83"/>
        <v>109.59996324220742</v>
      </c>
      <c r="L704" s="42">
        <f>Pressure!Q704</f>
        <v>0.32716038938657332</v>
      </c>
      <c r="M704" s="10">
        <f t="shared" si="84"/>
        <v>0.23432978794298762</v>
      </c>
      <c r="N704" s="10">
        <f t="shared" si="90"/>
        <v>2.5992897854448858</v>
      </c>
    </row>
    <row r="705" spans="3:14">
      <c r="C705" s="4">
        <f>Pressure!AB705*1000000</f>
        <v>5020033.5887441663</v>
      </c>
      <c r="D705" s="78">
        <f>Pressure!I705</f>
        <v>8.1256230789298584E-5</v>
      </c>
      <c r="E705" s="40">
        <f>Pressure!H705</f>
        <v>81.256230789298584</v>
      </c>
      <c r="F705" s="10">
        <f t="shared" si="86"/>
        <v>4.5</v>
      </c>
      <c r="G705" s="4">
        <f t="shared" si="85"/>
        <v>212738.47307302247</v>
      </c>
      <c r="H705" s="42">
        <f t="shared" si="87"/>
        <v>7.9735727167933845</v>
      </c>
      <c r="I705" s="10">
        <f t="shared" si="88"/>
        <v>1.1950145074136742</v>
      </c>
      <c r="J705" s="4">
        <f t="shared" si="89"/>
        <v>487.45718209386547</v>
      </c>
      <c r="K705" s="4">
        <f t="shared" si="83"/>
        <v>109.58526642099399</v>
      </c>
      <c r="L705" s="42">
        <f>Pressure!Q705</f>
        <v>0.32764103057367183</v>
      </c>
      <c r="M705" s="10">
        <f t="shared" si="84"/>
        <v>0.23430770947592885</v>
      </c>
      <c r="N705" s="10">
        <f t="shared" si="90"/>
        <v>2.5992897854448858</v>
      </c>
    </row>
    <row r="706" spans="3:14">
      <c r="C706" s="4">
        <f>Pressure!AB706*1000000</f>
        <v>5019405.2419720627</v>
      </c>
      <c r="D706" s="78">
        <f>Pressure!I706</f>
        <v>8.1256230789298584E-5</v>
      </c>
      <c r="E706" s="40">
        <f>Pressure!H706</f>
        <v>81.256230789298584</v>
      </c>
      <c r="F706" s="10">
        <f t="shared" si="86"/>
        <v>4.5</v>
      </c>
      <c r="G706" s="4">
        <f t="shared" si="85"/>
        <v>212711.84505739377</v>
      </c>
      <c r="H706" s="42">
        <f t="shared" si="87"/>
        <v>7.9727925256482886</v>
      </c>
      <c r="I706" s="10">
        <f t="shared" si="88"/>
        <v>1.1950031736437274</v>
      </c>
      <c r="J706" s="4">
        <f t="shared" si="89"/>
        <v>487.3915455620301</v>
      </c>
      <c r="K706" s="4">
        <f t="shared" si="83"/>
        <v>109.57051066994067</v>
      </c>
      <c r="L706" s="42">
        <f>Pressure!Q706</f>
        <v>0.32812169087461662</v>
      </c>
      <c r="M706" s="10">
        <f t="shared" si="84"/>
        <v>0.23428554140536456</v>
      </c>
      <c r="N706" s="10">
        <f t="shared" si="90"/>
        <v>2.5992897854448858</v>
      </c>
    </row>
    <row r="707" spans="3:14">
      <c r="C707" s="4">
        <f>Pressure!AB707*1000000</f>
        <v>5018774.3860335341</v>
      </c>
      <c r="D707" s="78">
        <f>Pressure!I707</f>
        <v>8.1256230789298584E-5</v>
      </c>
      <c r="E707" s="40">
        <f>Pressure!H707</f>
        <v>81.256230789298584</v>
      </c>
      <c r="F707" s="10">
        <f t="shared" si="86"/>
        <v>4.5</v>
      </c>
      <c r="G707" s="4">
        <f t="shared" si="85"/>
        <v>212685.11070856539</v>
      </c>
      <c r="H707" s="42">
        <f t="shared" si="87"/>
        <v>7.9720092015796666</v>
      </c>
      <c r="I707" s="10">
        <f t="shared" si="88"/>
        <v>1.19499179175985</v>
      </c>
      <c r="J707" s="4">
        <f t="shared" si="89"/>
        <v>487.32564692495396</v>
      </c>
      <c r="K707" s="4">
        <f t="shared" si="83"/>
        <v>109.55569599499887</v>
      </c>
      <c r="L707" s="42">
        <f>Pressure!Q707</f>
        <v>0.32860237036921069</v>
      </c>
      <c r="M707" s="10">
        <f t="shared" si="84"/>
        <v>0.23426328372839803</v>
      </c>
      <c r="N707" s="10">
        <f t="shared" si="90"/>
        <v>2.5992897854448858</v>
      </c>
    </row>
    <row r="708" spans="3:14">
      <c r="C708" s="4">
        <f>Pressure!AB708*1000000</f>
        <v>5018141.0211828817</v>
      </c>
      <c r="D708" s="78">
        <f>Pressure!I708</f>
        <v>8.1256230789298584E-5</v>
      </c>
      <c r="E708" s="40">
        <f>Pressure!H708</f>
        <v>81.256230789298584</v>
      </c>
      <c r="F708" s="10">
        <f t="shared" si="86"/>
        <v>4.5</v>
      </c>
      <c r="G708" s="4">
        <f t="shared" si="85"/>
        <v>212658.27003731413</v>
      </c>
      <c r="H708" s="42">
        <f t="shared" si="87"/>
        <v>7.9712227446925699</v>
      </c>
      <c r="I708" s="10">
        <f t="shared" si="88"/>
        <v>1.1949803617314125</v>
      </c>
      <c r="J708" s="4">
        <f t="shared" si="89"/>
        <v>487.25948620920133</v>
      </c>
      <c r="K708" s="4">
        <f t="shared" si="83"/>
        <v>109.54082240214049</v>
      </c>
      <c r="L708" s="42">
        <f>Pressure!Q708</f>
        <v>0.32908306913728819</v>
      </c>
      <c r="M708" s="10">
        <f t="shared" si="84"/>
        <v>0.23424093644211355</v>
      </c>
      <c r="N708" s="10">
        <f t="shared" si="90"/>
        <v>2.5992897854448858</v>
      </c>
    </row>
    <row r="709" spans="3:14">
      <c r="C709" s="4">
        <f>Pressure!AB709*1000000</f>
        <v>5017505.1476755291</v>
      </c>
      <c r="D709" s="78">
        <f>Pressure!I709</f>
        <v>8.1256230789298584E-5</v>
      </c>
      <c r="E709" s="40">
        <f>Pressure!H709</f>
        <v>81.256230789298584</v>
      </c>
      <c r="F709" s="10">
        <f t="shared" si="86"/>
        <v>4.5</v>
      </c>
      <c r="G709" s="4">
        <f t="shared" si="85"/>
        <v>212631.32305446421</v>
      </c>
      <c r="H709" s="42">
        <f t="shared" si="87"/>
        <v>7.9704331550925431</v>
      </c>
      <c r="I709" s="10">
        <f t="shared" si="88"/>
        <v>1.1949688835276482</v>
      </c>
      <c r="J709" s="4">
        <f t="shared" si="89"/>
        <v>487.19306344145343</v>
      </c>
      <c r="K709" s="4">
        <f t="shared" si="83"/>
        <v>109.52588989736375</v>
      </c>
      <c r="L709" s="42">
        <f>Pressure!Q709</f>
        <v>0.32956378725871449</v>
      </c>
      <c r="M709" s="10">
        <f t="shared" si="84"/>
        <v>0.23421849954356774</v>
      </c>
      <c r="N709" s="10">
        <f t="shared" si="90"/>
        <v>2.5992897854448858</v>
      </c>
    </row>
    <row r="710" spans="3:14">
      <c r="C710" s="4">
        <f>Pressure!AB710*1000000</f>
        <v>5016866.7657680269</v>
      </c>
      <c r="D710" s="78">
        <f>Pressure!I710</f>
        <v>8.1256230789298584E-5</v>
      </c>
      <c r="E710" s="40">
        <f>Pressure!H710</f>
        <v>81.256230789298584</v>
      </c>
      <c r="F710" s="10">
        <f t="shared" si="86"/>
        <v>4.5</v>
      </c>
      <c r="G710" s="4">
        <f t="shared" si="85"/>
        <v>212604.2697708878</v>
      </c>
      <c r="H710" s="42">
        <f t="shared" si="87"/>
        <v>7.9696404328857007</v>
      </c>
      <c r="I710" s="10">
        <f t="shared" si="88"/>
        <v>1.1949573571176524</v>
      </c>
      <c r="J710" s="4">
        <f t="shared" si="89"/>
        <v>487.12637864850916</v>
      </c>
      <c r="K710" s="4">
        <f t="shared" si="83"/>
        <v>109.51089848669331</v>
      </c>
      <c r="L710" s="42">
        <f>Pressure!Q710</f>
        <v>0.33004452481338653</v>
      </c>
      <c r="M710" s="10">
        <f t="shared" si="84"/>
        <v>0.23419597302987716</v>
      </c>
      <c r="N710" s="10">
        <f t="shared" si="90"/>
        <v>2.5992897854448858</v>
      </c>
    </row>
    <row r="711" spans="3:14">
      <c r="C711" s="4">
        <f>Pressure!AB711*1000000</f>
        <v>5016225.8757182462</v>
      </c>
      <c r="D711" s="78">
        <f>Pressure!I711</f>
        <v>8.1256230789298584E-5</v>
      </c>
      <c r="E711" s="40">
        <f>Pressure!H711</f>
        <v>81.256230789298584</v>
      </c>
      <c r="F711" s="10">
        <f t="shared" si="86"/>
        <v>4.5</v>
      </c>
      <c r="G711" s="4">
        <f t="shared" si="85"/>
        <v>212577.1101975129</v>
      </c>
      <c r="H711" s="42">
        <f t="shared" si="87"/>
        <v>7.9688445781789108</v>
      </c>
      <c r="I711" s="10">
        <f t="shared" si="88"/>
        <v>1.1949457824703869</v>
      </c>
      <c r="J711" s="4">
        <f t="shared" si="89"/>
        <v>487.05943185730564</v>
      </c>
      <c r="K711" s="4">
        <f t="shared" si="83"/>
        <v>109.49584817618489</v>
      </c>
      <c r="L711" s="42">
        <f>Pressure!Q711</f>
        <v>0.33052528188123265</v>
      </c>
      <c r="M711" s="10">
        <f t="shared" si="84"/>
        <v>0.2341733568980337</v>
      </c>
      <c r="N711" s="10">
        <f t="shared" si="90"/>
        <v>2.5992897854448858</v>
      </c>
    </row>
    <row r="712" spans="3:14">
      <c r="C712" s="4">
        <f>Pressure!AB712*1000000</f>
        <v>5015582.4777848115</v>
      </c>
      <c r="D712" s="78">
        <f>Pressure!I712</f>
        <v>8.1256230789298584E-5</v>
      </c>
      <c r="E712" s="40">
        <f>Pressure!H712</f>
        <v>81.256230789298584</v>
      </c>
      <c r="F712" s="10">
        <f t="shared" si="86"/>
        <v>4.5</v>
      </c>
      <c r="G712" s="4">
        <f t="shared" si="85"/>
        <v>212549.84434529944</v>
      </c>
      <c r="H712" s="42">
        <f t="shared" si="87"/>
        <v>7.9680455910791235</v>
      </c>
      <c r="I712" s="10">
        <f t="shared" si="88"/>
        <v>1.1949341595546688</v>
      </c>
      <c r="J712" s="4">
        <f t="shared" si="89"/>
        <v>486.99222309485862</v>
      </c>
      <c r="K712" s="4">
        <f t="shared" si="83"/>
        <v>109.48073897191192</v>
      </c>
      <c r="L712" s="42">
        <f>Pressure!Q712</f>
        <v>0.33100605854221299</v>
      </c>
      <c r="M712" s="10">
        <f t="shared" si="84"/>
        <v>0.23415065114513892</v>
      </c>
      <c r="N712" s="10">
        <f t="shared" si="90"/>
        <v>2.5992897854448858</v>
      </c>
    </row>
    <row r="713" spans="3:14">
      <c r="C713" s="4">
        <f>Pressure!AB713*1000000</f>
        <v>5014936.5722277602</v>
      </c>
      <c r="D713" s="78">
        <f>Pressure!I713</f>
        <v>8.1256230789298584E-5</v>
      </c>
      <c r="E713" s="40">
        <f>Pressure!H713</f>
        <v>81.256230789298584</v>
      </c>
      <c r="F713" s="10">
        <f t="shared" si="86"/>
        <v>4.5</v>
      </c>
      <c r="G713" s="4">
        <f t="shared" si="85"/>
        <v>212522.47222526729</v>
      </c>
      <c r="H713" s="42">
        <f t="shared" si="87"/>
        <v>7.9672434716941734</v>
      </c>
      <c r="I713" s="10">
        <f t="shared" si="88"/>
        <v>1.1949224883391818</v>
      </c>
      <c r="J713" s="4">
        <f t="shared" si="89"/>
        <v>486.92475238833117</v>
      </c>
      <c r="K713" s="4">
        <f t="shared" si="83"/>
        <v>109.46557087998093</v>
      </c>
      <c r="L713" s="42">
        <f>Pressure!Q713</f>
        <v>0.33148685487631946</v>
      </c>
      <c r="M713" s="10">
        <f t="shared" si="84"/>
        <v>0.23412785576818937</v>
      </c>
      <c r="N713" s="10">
        <f t="shared" si="90"/>
        <v>2.5992897854448858</v>
      </c>
    </row>
    <row r="714" spans="3:14">
      <c r="C714" s="4">
        <f>Pressure!AB714*1000000</f>
        <v>5014288.1593080964</v>
      </c>
      <c r="D714" s="78">
        <f>Pressure!I714</f>
        <v>8.1256230789298584E-5</v>
      </c>
      <c r="E714" s="40">
        <f>Pressure!H714</f>
        <v>81.256230789298584</v>
      </c>
      <c r="F714" s="10">
        <f t="shared" si="86"/>
        <v>4.5</v>
      </c>
      <c r="G714" s="4">
        <f t="shared" si="85"/>
        <v>212494.99384847729</v>
      </c>
      <c r="H714" s="42">
        <f t="shared" si="87"/>
        <v>7.9664382201322255</v>
      </c>
      <c r="I714" s="10">
        <f t="shared" si="88"/>
        <v>1.1949107687924692</v>
      </c>
      <c r="J714" s="4">
        <f t="shared" si="89"/>
        <v>486.85701976498768</v>
      </c>
      <c r="K714" s="4">
        <f t="shared" si="83"/>
        <v>109.45034390652123</v>
      </c>
      <c r="L714" s="42">
        <f>Pressure!Q714</f>
        <v>0.33196767096357599</v>
      </c>
      <c r="M714" s="10">
        <f t="shared" si="84"/>
        <v>0.23410497076424444</v>
      </c>
      <c r="N714" s="10">
        <f t="shared" si="90"/>
        <v>2.5992897854448858</v>
      </c>
    </row>
    <row r="715" spans="3:14">
      <c r="C715" s="4">
        <f>Pressure!AB715*1000000</f>
        <v>5013637.2392879697</v>
      </c>
      <c r="D715" s="78">
        <f>Pressure!I715</f>
        <v>8.1256230789298584E-5</v>
      </c>
      <c r="E715" s="40">
        <f>Pressure!H715</f>
        <v>81.256230789298584</v>
      </c>
      <c r="F715" s="10">
        <f t="shared" si="86"/>
        <v>4.5</v>
      </c>
      <c r="G715" s="4">
        <f t="shared" si="85"/>
        <v>212467.4092260387</v>
      </c>
      <c r="H715" s="42">
        <f t="shared" si="87"/>
        <v>7.965629836502008</v>
      </c>
      <c r="I715" s="10">
        <f t="shared" si="88"/>
        <v>1.1948990008829357</v>
      </c>
      <c r="J715" s="4">
        <f t="shared" si="89"/>
        <v>486.78902525221201</v>
      </c>
      <c r="K715" s="4">
        <f t="shared" si="83"/>
        <v>109.43505805768896</v>
      </c>
      <c r="L715" s="42">
        <f>Pressure!Q715</f>
        <v>0.33244850688403849</v>
      </c>
      <c r="M715" s="10">
        <f t="shared" si="84"/>
        <v>0.23408199613025737</v>
      </c>
      <c r="N715" s="10">
        <f t="shared" si="90"/>
        <v>2.5992897854448858</v>
      </c>
    </row>
    <row r="716" spans="3:14">
      <c r="C716" s="4">
        <f>Pressure!AB716*1000000</f>
        <v>5012983.8124306872</v>
      </c>
      <c r="D716" s="78">
        <f>Pressure!I716</f>
        <v>8.1256230789298584E-5</v>
      </c>
      <c r="E716" s="40">
        <f>Pressure!H716</f>
        <v>81.256230789298584</v>
      </c>
      <c r="F716" s="10">
        <f t="shared" si="86"/>
        <v>4.5</v>
      </c>
      <c r="G716" s="4">
        <f t="shared" si="85"/>
        <v>212439.71836911002</v>
      </c>
      <c r="H716" s="42">
        <f t="shared" si="87"/>
        <v>7.9648183209128183</v>
      </c>
      <c r="I716" s="10">
        <f t="shared" si="88"/>
        <v>1.1948871845788482</v>
      </c>
      <c r="J716" s="4">
        <f t="shared" si="89"/>
        <v>486.7207688775091</v>
      </c>
      <c r="K716" s="4">
        <f t="shared" si="83"/>
        <v>109.41971333966752</v>
      </c>
      <c r="L716" s="42">
        <f>Pressure!Q716</f>
        <v>0.33292936271779522</v>
      </c>
      <c r="M716" s="10">
        <f t="shared" si="84"/>
        <v>0.23405893186329604</v>
      </c>
      <c r="N716" s="10">
        <f t="shared" si="90"/>
        <v>2.5992897854448858</v>
      </c>
    </row>
    <row r="717" spans="3:14">
      <c r="C717" s="4">
        <f>Pressure!AB717*1000000</f>
        <v>5012327.8790006721</v>
      </c>
      <c r="D717" s="78">
        <f>Pressure!I717</f>
        <v>8.1256230789298584E-5</v>
      </c>
      <c r="E717" s="40">
        <f>Pressure!H717</f>
        <v>81.256230789298584</v>
      </c>
      <c r="F717" s="10">
        <f t="shared" si="86"/>
        <v>4.5</v>
      </c>
      <c r="G717" s="4">
        <f t="shared" si="85"/>
        <v>212411.92128889688</v>
      </c>
      <c r="H717" s="42">
        <f t="shared" si="87"/>
        <v>7.9640036734744717</v>
      </c>
      <c r="I717" s="10">
        <f t="shared" si="88"/>
        <v>1.1948753198483342</v>
      </c>
      <c r="J717" s="4">
        <f t="shared" si="89"/>
        <v>486.65225066850013</v>
      </c>
      <c r="K717" s="4">
        <f t="shared" si="83"/>
        <v>109.40430975866646</v>
      </c>
      <c r="L717" s="42">
        <f>Pressure!Q717</f>
        <v>0.33341023854496676</v>
      </c>
      <c r="M717" s="10">
        <f t="shared" si="84"/>
        <v>0.2340357779603259</v>
      </c>
      <c r="N717" s="10">
        <f t="shared" si="90"/>
        <v>2.5992897854448858</v>
      </c>
    </row>
    <row r="718" spans="3:14">
      <c r="C718" s="4">
        <f>Pressure!AB718*1000000</f>
        <v>5011669.4392633587</v>
      </c>
      <c r="D718" s="78">
        <f>Pressure!I718</f>
        <v>8.1256230789298584E-5</v>
      </c>
      <c r="E718" s="40">
        <f>Pressure!H718</f>
        <v>81.256230789298584</v>
      </c>
      <c r="F718" s="10">
        <f t="shared" si="86"/>
        <v>4.5</v>
      </c>
      <c r="G718" s="4">
        <f t="shared" si="85"/>
        <v>212384.01799664786</v>
      </c>
      <c r="H718" s="42">
        <f t="shared" si="87"/>
        <v>7.9631858942971796</v>
      </c>
      <c r="I718" s="10">
        <f t="shared" si="88"/>
        <v>1.1948634066593802</v>
      </c>
      <c r="J718" s="4">
        <f t="shared" si="89"/>
        <v>486.5834706529123</v>
      </c>
      <c r="K718" s="4">
        <f t="shared" si="83"/>
        <v>109.3888473209191</v>
      </c>
      <c r="L718" s="42">
        <f>Pressure!Q718</f>
        <v>0.33389113444570623</v>
      </c>
      <c r="M718" s="10">
        <f t="shared" si="84"/>
        <v>0.23401253441834141</v>
      </c>
      <c r="N718" s="10">
        <f t="shared" si="90"/>
        <v>2.5992897854448858</v>
      </c>
    </row>
    <row r="719" spans="3:14">
      <c r="C719" s="4">
        <f>Pressure!AB719*1000000</f>
        <v>5011008.4934854172</v>
      </c>
      <c r="D719" s="78">
        <f>Pressure!I719</f>
        <v>8.1256230789298584E-5</v>
      </c>
      <c r="E719" s="40">
        <f>Pressure!H719</f>
        <v>81.256230789298584</v>
      </c>
      <c r="F719" s="10">
        <f t="shared" si="86"/>
        <v>4.5</v>
      </c>
      <c r="G719" s="4">
        <f t="shared" si="85"/>
        <v>212356.00850366385</v>
      </c>
      <c r="H719" s="42">
        <f t="shared" si="87"/>
        <v>7.962364983491816</v>
      </c>
      <c r="I719" s="10">
        <f t="shared" si="88"/>
        <v>1.1948514449798353</v>
      </c>
      <c r="J719" s="4">
        <f t="shared" si="89"/>
        <v>486.51442885860172</v>
      </c>
      <c r="K719" s="4">
        <f t="shared" ref="K719:K782" si="91">J719/4.4482</f>
        <v>109.37332603268777</v>
      </c>
      <c r="L719" s="42">
        <f>Pressure!Q719</f>
        <v>0.33437205050019936</v>
      </c>
      <c r="M719" s="10">
        <f t="shared" ref="M719:M782" si="92">(J719+J718)/2*(L719-L718)</f>
        <v>0.23398920123431488</v>
      </c>
      <c r="N719" s="10">
        <f t="shared" si="90"/>
        <v>2.5992897854448858</v>
      </c>
    </row>
    <row r="720" spans="3:14">
      <c r="C720" s="4">
        <f>Pressure!AB720*1000000</f>
        <v>5010345.0419346187</v>
      </c>
      <c r="D720" s="78">
        <f>Pressure!I720</f>
        <v>8.1256230789298584E-5</v>
      </c>
      <c r="E720" s="40">
        <f>Pressure!H720</f>
        <v>81.256230789298584</v>
      </c>
      <c r="F720" s="10">
        <f t="shared" si="86"/>
        <v>4.5</v>
      </c>
      <c r="G720" s="4">
        <f t="shared" si="85"/>
        <v>212327.89282129248</v>
      </c>
      <c r="H720" s="42">
        <f t="shared" si="87"/>
        <v>7.9615409411697469</v>
      </c>
      <c r="I720" s="10">
        <f t="shared" si="88"/>
        <v>1.1948394347774089</v>
      </c>
      <c r="J720" s="4">
        <f t="shared" si="89"/>
        <v>486.44512531353945</v>
      </c>
      <c r="K720" s="4">
        <f t="shared" si="91"/>
        <v>109.35774590026065</v>
      </c>
      <c r="L720" s="42">
        <f>Pressure!Q720</f>
        <v>0.33485298678866465</v>
      </c>
      <c r="M720" s="10">
        <f t="shared" si="92"/>
        <v>0.23396577840519867</v>
      </c>
      <c r="N720" s="10">
        <f t="shared" si="90"/>
        <v>2.5992897854448858</v>
      </c>
    </row>
    <row r="721" spans="3:14">
      <c r="C721" s="4">
        <f>Pressure!AB721*1000000</f>
        <v>5009679.0848798128</v>
      </c>
      <c r="D721" s="78">
        <f>Pressure!I721</f>
        <v>8.1256230789298584E-5</v>
      </c>
      <c r="E721" s="40">
        <f>Pressure!H721</f>
        <v>81.256230789298584</v>
      </c>
      <c r="F721" s="10">
        <f t="shared" si="86"/>
        <v>4.5</v>
      </c>
      <c r="G721" s="4">
        <f t="shared" si="85"/>
        <v>212299.67096092697</v>
      </c>
      <c r="H721" s="42">
        <f t="shared" si="87"/>
        <v>7.9607137674428223</v>
      </c>
      <c r="I721" s="10">
        <f t="shared" si="88"/>
        <v>1.1948273760196693</v>
      </c>
      <c r="J721" s="4">
        <f t="shared" si="89"/>
        <v>486.37556004580921</v>
      </c>
      <c r="K721" s="4">
        <f t="shared" si="91"/>
        <v>109.34210692995127</v>
      </c>
      <c r="L721" s="42">
        <f>Pressure!Q721</f>
        <v>0.33533394339135358</v>
      </c>
      <c r="M721" s="10">
        <f t="shared" si="92"/>
        <v>0.23394226592797498</v>
      </c>
      <c r="N721" s="10">
        <f t="shared" si="90"/>
        <v>2.5992897854448858</v>
      </c>
    </row>
    <row r="722" spans="3:14">
      <c r="C722" s="4">
        <f>Pressure!AB722*1000000</f>
        <v>5009010.6225909414</v>
      </c>
      <c r="D722" s="78">
        <f>Pressure!I722</f>
        <v>8.1256230789298584E-5</v>
      </c>
      <c r="E722" s="40">
        <f>Pressure!H722</f>
        <v>81.256230789298584</v>
      </c>
      <c r="F722" s="10">
        <f t="shared" si="86"/>
        <v>4.5</v>
      </c>
      <c r="G722" s="4">
        <f t="shared" si="85"/>
        <v>212271.34293400694</v>
      </c>
      <c r="H722" s="42">
        <f t="shared" si="87"/>
        <v>7.959883462423381</v>
      </c>
      <c r="I722" s="10">
        <f t="shared" si="88"/>
        <v>1.1948152686740448</v>
      </c>
      <c r="J722" s="4">
        <f t="shared" si="89"/>
        <v>486.30573308360914</v>
      </c>
      <c r="K722" s="4">
        <f t="shared" si="91"/>
        <v>109.32640912809882</v>
      </c>
      <c r="L722" s="42">
        <f>Pressure!Q722</f>
        <v>0.3358149203885506</v>
      </c>
      <c r="M722" s="10">
        <f t="shared" si="92"/>
        <v>0.23391866379954784</v>
      </c>
      <c r="N722" s="10">
        <f t="shared" si="90"/>
        <v>2.5992897854448858</v>
      </c>
    </row>
    <row r="723" spans="3:14">
      <c r="C723" s="4">
        <f>Pressure!AB723*1000000</f>
        <v>5008339.6553391889</v>
      </c>
      <c r="D723" s="78">
        <f>Pressure!I723</f>
        <v>8.1256230789298584E-5</v>
      </c>
      <c r="E723" s="40">
        <f>Pressure!H723</f>
        <v>81.256230789298584</v>
      </c>
      <c r="F723" s="10">
        <f t="shared" si="86"/>
        <v>4.5</v>
      </c>
      <c r="G723" s="4">
        <f t="shared" si="85"/>
        <v>212242.90875202461</v>
      </c>
      <c r="H723" s="42">
        <f t="shared" si="87"/>
        <v>7.9590500262244266</v>
      </c>
      <c r="I723" s="10">
        <f t="shared" si="88"/>
        <v>1.1948031127078249</v>
      </c>
      <c r="J723" s="4">
        <f t="shared" si="89"/>
        <v>486.23564445526671</v>
      </c>
      <c r="K723" s="4">
        <f t="shared" si="91"/>
        <v>109.3106525010716</v>
      </c>
      <c r="L723" s="42">
        <f>Pressure!Q723</f>
        <v>0.33629591786057339</v>
      </c>
      <c r="M723" s="10">
        <f t="shared" si="92"/>
        <v>0.23389497201688189</v>
      </c>
      <c r="N723" s="10">
        <f t="shared" si="90"/>
        <v>2.5992897854448858</v>
      </c>
    </row>
    <row r="724" spans="3:14">
      <c r="C724" s="4">
        <f>Pressure!AB724*1000000</f>
        <v>5007666.1833967101</v>
      </c>
      <c r="D724" s="78">
        <f>Pressure!I724</f>
        <v>8.1256230789298584E-5</v>
      </c>
      <c r="E724" s="40">
        <f>Pressure!H724</f>
        <v>81.256230789298584</v>
      </c>
      <c r="F724" s="10">
        <f t="shared" si="86"/>
        <v>4.5</v>
      </c>
      <c r="G724" s="4">
        <f t="shared" si="85"/>
        <v>212214.36842651331</v>
      </c>
      <c r="H724" s="42">
        <f t="shared" si="87"/>
        <v>7.9582134589593103</v>
      </c>
      <c r="I724" s="10">
        <f t="shared" si="88"/>
        <v>1.1947909080881569</v>
      </c>
      <c r="J724" s="4">
        <f t="shared" si="89"/>
        <v>486.16529418921095</v>
      </c>
      <c r="K724" s="4">
        <f t="shared" si="91"/>
        <v>109.29483705526077</v>
      </c>
      <c r="L724" s="42">
        <f>Pressure!Q724</f>
        <v>0.33677693588777302</v>
      </c>
      <c r="M724" s="10">
        <f t="shared" si="92"/>
        <v>0.23387119057691813</v>
      </c>
      <c r="N724" s="10">
        <f t="shared" si="90"/>
        <v>2.5992897854448858</v>
      </c>
    </row>
    <row r="725" spans="3:14">
      <c r="C725" s="4">
        <f>Pressure!AB725*1000000</f>
        <v>5006990.2070368472</v>
      </c>
      <c r="D725" s="78">
        <f>Pressure!I725</f>
        <v>8.1256230789298584E-5</v>
      </c>
      <c r="E725" s="40">
        <f>Pressure!H725</f>
        <v>81.256230789298584</v>
      </c>
      <c r="F725" s="10">
        <f t="shared" si="86"/>
        <v>4.5</v>
      </c>
      <c r="G725" s="4">
        <f t="shared" si="85"/>
        <v>212185.7219690567</v>
      </c>
      <c r="H725" s="42">
        <f t="shared" si="87"/>
        <v>7.9573737607419863</v>
      </c>
      <c r="I725" s="10">
        <f t="shared" si="88"/>
        <v>1.1947786547820476</v>
      </c>
      <c r="J725" s="4">
        <f t="shared" si="89"/>
        <v>486.09468231399507</v>
      </c>
      <c r="K725" s="4">
        <f t="shared" si="91"/>
        <v>109.27896279708536</v>
      </c>
      <c r="L725" s="42">
        <f>Pressure!Q725</f>
        <v>0.33725797455053391</v>
      </c>
      <c r="M725" s="10">
        <f t="shared" si="92"/>
        <v>0.23384731947651871</v>
      </c>
      <c r="N725" s="10">
        <f t="shared" si="90"/>
        <v>2.5992897854448858</v>
      </c>
    </row>
    <row r="726" spans="3:14">
      <c r="C726" s="4">
        <f>Pressure!AB726*1000000</f>
        <v>5006311.7265341356</v>
      </c>
      <c r="D726" s="78">
        <f>Pressure!I726</f>
        <v>8.1256230789298584E-5</v>
      </c>
      <c r="E726" s="40">
        <f>Pressure!H726</f>
        <v>81.256230789298584</v>
      </c>
      <c r="F726" s="10">
        <f t="shared" si="86"/>
        <v>4.5</v>
      </c>
      <c r="G726" s="4">
        <f t="shared" si="85"/>
        <v>212156.96939128902</v>
      </c>
      <c r="H726" s="42">
        <f t="shared" si="87"/>
        <v>7.9565309316870199</v>
      </c>
      <c r="I726" s="10">
        <f t="shared" si="88"/>
        <v>1.1947663527563646</v>
      </c>
      <c r="J726" s="4">
        <f t="shared" si="89"/>
        <v>486.0238088582966</v>
      </c>
      <c r="K726" s="4">
        <f t="shared" si="91"/>
        <v>109.26302973299236</v>
      </c>
      <c r="L726" s="42">
        <f>Pressure!Q726</f>
        <v>0.33773903392927412</v>
      </c>
      <c r="M726" s="10">
        <f t="shared" si="92"/>
        <v>0.23382335871260734</v>
      </c>
      <c r="N726" s="10">
        <f t="shared" si="90"/>
        <v>2.5992897854448858</v>
      </c>
    </row>
    <row r="727" spans="3:14">
      <c r="C727" s="4">
        <f>Pressure!AB727*1000000</f>
        <v>5005630.7421641257</v>
      </c>
      <c r="D727" s="78">
        <f>Pressure!I727</f>
        <v>8.1256230789298584E-5</v>
      </c>
      <c r="E727" s="40">
        <f>Pressure!H727</f>
        <v>81.256230789298584</v>
      </c>
      <c r="F727" s="10">
        <f t="shared" si="86"/>
        <v>4.5</v>
      </c>
      <c r="G727" s="4">
        <f t="shared" si="85"/>
        <v>212128.11070488754</v>
      </c>
      <c r="H727" s="42">
        <f t="shared" si="87"/>
        <v>7.9556849719093696</v>
      </c>
      <c r="I727" s="10">
        <f t="shared" si="88"/>
        <v>1.1947540019778329</v>
      </c>
      <c r="J727" s="4">
        <f t="shared" si="89"/>
        <v>485.9526738508996</v>
      </c>
      <c r="K727" s="4">
        <f t="shared" si="91"/>
        <v>109.24703786945273</v>
      </c>
      <c r="L727" s="42">
        <f>Pressure!Q727</f>
        <v>0.33822011410444552</v>
      </c>
      <c r="M727" s="10">
        <f t="shared" si="92"/>
        <v>0.23379930828211068</v>
      </c>
      <c r="N727" s="10">
        <f t="shared" si="90"/>
        <v>2.5992897854448858</v>
      </c>
    </row>
    <row r="728" spans="3:14">
      <c r="C728" s="4">
        <f>Pressure!AB728*1000000</f>
        <v>5004947.2542035421</v>
      </c>
      <c r="D728" s="78">
        <f>Pressure!I728</f>
        <v>8.1256230789298584E-5</v>
      </c>
      <c r="E728" s="40">
        <f>Pressure!H728</f>
        <v>81.256230789298584</v>
      </c>
      <c r="F728" s="10">
        <f t="shared" si="86"/>
        <v>4.5</v>
      </c>
      <c r="G728" s="4">
        <f t="shared" si="85"/>
        <v>212099.14592157924</v>
      </c>
      <c r="H728" s="42">
        <f t="shared" si="87"/>
        <v>7.9548358815245841</v>
      </c>
      <c r="I728" s="10">
        <f t="shared" si="88"/>
        <v>1.1947416024130362</v>
      </c>
      <c r="J728" s="4">
        <f t="shared" si="89"/>
        <v>485.88127732071007</v>
      </c>
      <c r="K728" s="4">
        <f t="shared" si="91"/>
        <v>109.23098721296481</v>
      </c>
      <c r="L728" s="42">
        <f>Pressure!Q728</f>
        <v>0.33870121515653379</v>
      </c>
      <c r="M728" s="10">
        <f t="shared" si="92"/>
        <v>0.23377516818187699</v>
      </c>
      <c r="N728" s="10">
        <f t="shared" si="90"/>
        <v>2.5992897854448858</v>
      </c>
    </row>
    <row r="729" spans="3:14">
      <c r="C729" s="4">
        <f>Pressure!AB729*1000000</f>
        <v>5004261.2629301716</v>
      </c>
      <c r="D729" s="78">
        <f>Pressure!I729</f>
        <v>8.1256230789298584E-5</v>
      </c>
      <c r="E729" s="40">
        <f>Pressure!H729</f>
        <v>81.256230789298584</v>
      </c>
      <c r="F729" s="10">
        <f t="shared" si="86"/>
        <v>4.5</v>
      </c>
      <c r="G729" s="4">
        <f t="shared" si="85"/>
        <v>212070.07505313616</v>
      </c>
      <c r="H729" s="42">
        <f t="shared" si="87"/>
        <v>7.9539836606486594</v>
      </c>
      <c r="I729" s="10">
        <f t="shared" si="88"/>
        <v>1.1947291540284162</v>
      </c>
      <c r="J729" s="4">
        <f t="shared" si="89"/>
        <v>485.80961929674561</v>
      </c>
      <c r="K729" s="4">
        <f t="shared" si="91"/>
        <v>109.21487777005207</v>
      </c>
      <c r="L729" s="42">
        <f>Pressure!Q729</f>
        <v>0.33918233716605861</v>
      </c>
      <c r="M729" s="10">
        <f t="shared" si="92"/>
        <v>0.23375093840878505</v>
      </c>
      <c r="N729" s="10">
        <f t="shared" si="90"/>
        <v>2.5992897854448858</v>
      </c>
    </row>
    <row r="730" spans="3:14">
      <c r="C730" s="4">
        <f>Pressure!AB730*1000000</f>
        <v>5003572.7686229749</v>
      </c>
      <c r="D730" s="78">
        <f>Pressure!I730</f>
        <v>8.1256230789298584E-5</v>
      </c>
      <c r="E730" s="40">
        <f>Pressure!H730</f>
        <v>81.256230789298584</v>
      </c>
      <c r="F730" s="10">
        <f t="shared" si="86"/>
        <v>4.5</v>
      </c>
      <c r="G730" s="4">
        <f t="shared" si="85"/>
        <v>212040.89811138005</v>
      </c>
      <c r="H730" s="42">
        <f t="shared" si="87"/>
        <v>7.9531283093981848</v>
      </c>
      <c r="I730" s="10">
        <f t="shared" si="88"/>
        <v>1.1947166567902734</v>
      </c>
      <c r="J730" s="4">
        <f t="shared" si="89"/>
        <v>485.7376998081462</v>
      </c>
      <c r="K730" s="4">
        <f t="shared" si="91"/>
        <v>109.19870954726545</v>
      </c>
      <c r="L730" s="42">
        <f>Pressure!Q730</f>
        <v>0.3396634802135739</v>
      </c>
      <c r="M730" s="10">
        <f t="shared" si="92"/>
        <v>0.23372661895971719</v>
      </c>
      <c r="N730" s="10">
        <f t="shared" si="90"/>
        <v>2.5992897854448858</v>
      </c>
    </row>
    <row r="731" spans="3:14">
      <c r="C731" s="4">
        <f>Pressure!AB731*1000000</f>
        <v>5002881.7715621097</v>
      </c>
      <c r="D731" s="78">
        <f>Pressure!I731</f>
        <v>8.1256230789298584E-5</v>
      </c>
      <c r="E731" s="40">
        <f>Pressure!H731</f>
        <v>81.256230789298584</v>
      </c>
      <c r="F731" s="10">
        <f t="shared" si="86"/>
        <v>4.5</v>
      </c>
      <c r="G731" s="4">
        <f t="shared" si="85"/>
        <v>212011.61510818341</v>
      </c>
      <c r="H731" s="42">
        <f t="shared" si="87"/>
        <v>7.9522698278903619</v>
      </c>
      <c r="I731" s="10">
        <f t="shared" si="88"/>
        <v>1.194704110664768</v>
      </c>
      <c r="J731" s="4">
        <f t="shared" si="89"/>
        <v>485.66551888417672</v>
      </c>
      <c r="K731" s="4">
        <f t="shared" si="91"/>
        <v>109.18248255118401</v>
      </c>
      <c r="L731" s="42">
        <f>Pressure!Q731</f>
        <v>0.34014464437966774</v>
      </c>
      <c r="M731" s="10">
        <f t="shared" si="92"/>
        <v>0.23370220983148149</v>
      </c>
      <c r="N731" s="10">
        <f t="shared" si="90"/>
        <v>2.5992897854448858</v>
      </c>
    </row>
    <row r="732" spans="3:14">
      <c r="C732" s="4">
        <f>Pressure!AB732*1000000</f>
        <v>5002188.2720286911</v>
      </c>
      <c r="D732" s="78">
        <f>Pressure!I732</f>
        <v>8.1256230789298584E-5</v>
      </c>
      <c r="E732" s="40">
        <f>Pressure!H732</f>
        <v>81.256230789298584</v>
      </c>
      <c r="F732" s="10">
        <f t="shared" si="86"/>
        <v>4.5</v>
      </c>
      <c r="G732" s="4">
        <f t="shared" ref="G732:G795" si="93">IF(C732/(1+(k-1)/2*N732^2)^(k/(k-1))&lt;patm*1000000,patm*1000000,C732/(1+(k-1)/2*N732^2)^(k/(k-1)))</f>
        <v>211982.22605545932</v>
      </c>
      <c r="H732" s="42">
        <f t="shared" si="87"/>
        <v>7.951408216242708</v>
      </c>
      <c r="I732" s="10">
        <f t="shared" si="88"/>
        <v>1.194691515617915</v>
      </c>
      <c r="J732" s="4">
        <f t="shared" si="89"/>
        <v>485.59307655420247</v>
      </c>
      <c r="K732" s="4">
        <f t="shared" si="91"/>
        <v>109.16619678840935</v>
      </c>
      <c r="L732" s="42">
        <f>Pressure!Q732</f>
        <v>0.34062582974496275</v>
      </c>
      <c r="M732" s="10">
        <f t="shared" si="92"/>
        <v>0.23367771102096815</v>
      </c>
      <c r="N732" s="10">
        <f t="shared" si="90"/>
        <v>2.5992897854448858</v>
      </c>
    </row>
    <row r="733" spans="3:14">
      <c r="C733" s="4">
        <f>Pressure!AB733*1000000</f>
        <v>5001492.270305058</v>
      </c>
      <c r="D733" s="78">
        <f>Pressure!I733</f>
        <v>8.1256230789298584E-5</v>
      </c>
      <c r="E733" s="40">
        <f>Pressure!H733</f>
        <v>81.256230789298584</v>
      </c>
      <c r="F733" s="10">
        <f t="shared" ref="F733:F796" si="94">aexit/E733</f>
        <v>4.5</v>
      </c>
      <c r="G733" s="4">
        <f t="shared" si="93"/>
        <v>211952.7309651727</v>
      </c>
      <c r="H733" s="42">
        <f t="shared" ref="H733:H796" si="95">1/(((k+1)/2)^(1/(k-1))*(patm*1000000/C733)^(1/k)*SQRT((k+1)/(k-1)*(1-(patm*1000000/C733)^((k-1)/k))))</f>
        <v>7.9505434745734007</v>
      </c>
      <c r="I733" s="10">
        <f t="shared" ref="I733:I796" si="96">etanoz*SQRT(2*k^2/(k-1)*(2/(k+1))^((k+1)/(k-1))*(1-(G733/C733)^((k-1)/k)))+(G733-patm*1000000)/C733*(aexit/E733)</f>
        <v>1.1946788716155878</v>
      </c>
      <c r="J733" s="4">
        <f t="shared" ref="J733:J796" si="97">I733*D733*C733</f>
        <v>485.52037284771592</v>
      </c>
      <c r="K733" s="4">
        <f t="shared" si="91"/>
        <v>109.14985226557168</v>
      </c>
      <c r="L733" s="42">
        <f>Pressure!Q733</f>
        <v>0.34110703639011614</v>
      </c>
      <c r="M733" s="10">
        <f t="shared" si="92"/>
        <v>0.23365312252501527</v>
      </c>
      <c r="N733" s="10">
        <f t="shared" si="90"/>
        <v>2.5992897854448858</v>
      </c>
    </row>
    <row r="734" spans="3:14">
      <c r="C734" s="4">
        <f>Pressure!AB734*1000000</f>
        <v>5000793.7666747309</v>
      </c>
      <c r="D734" s="78">
        <f>Pressure!I734</f>
        <v>8.1256230789298584E-5</v>
      </c>
      <c r="E734" s="40">
        <f>Pressure!H734</f>
        <v>81.256230789298584</v>
      </c>
      <c r="F734" s="10">
        <f t="shared" si="94"/>
        <v>4.5</v>
      </c>
      <c r="G734" s="4">
        <f t="shared" si="93"/>
        <v>211923.12984933853</v>
      </c>
      <c r="H734" s="42">
        <f t="shared" si="95"/>
        <v>7.9496756030012037</v>
      </c>
      <c r="I734" s="10">
        <f t="shared" si="96"/>
        <v>1.1946661786235198</v>
      </c>
      <c r="J734" s="4">
        <f t="shared" si="97"/>
        <v>485.44740779433369</v>
      </c>
      <c r="K734" s="4">
        <f t="shared" si="91"/>
        <v>109.1334489893291</v>
      </c>
      <c r="L734" s="42">
        <f>Pressure!Q734</f>
        <v>0.34158826439581969</v>
      </c>
      <c r="M734" s="10">
        <f t="shared" si="92"/>
        <v>0.23362844434038724</v>
      </c>
      <c r="N734" s="10">
        <f t="shared" ref="N734:N797" si="98">N733-1/834*(me-mef)</f>
        <v>2.5992897854448858</v>
      </c>
    </row>
    <row r="735" spans="3:14">
      <c r="C735" s="4">
        <f>Pressure!AB735*1000000</f>
        <v>5000092.7614221694</v>
      </c>
      <c r="D735" s="78">
        <f>Pressure!I735</f>
        <v>8.1256230789298584E-5</v>
      </c>
      <c r="E735" s="40">
        <f>Pressure!H735</f>
        <v>81.256230789298584</v>
      </c>
      <c r="F735" s="10">
        <f t="shared" si="94"/>
        <v>4.5</v>
      </c>
      <c r="G735" s="4">
        <f t="shared" si="93"/>
        <v>211893.42272001164</v>
      </c>
      <c r="H735" s="42">
        <f t="shared" si="95"/>
        <v>7.9488046016451852</v>
      </c>
      <c r="I735" s="10">
        <f t="shared" si="96"/>
        <v>1.1946534366072969</v>
      </c>
      <c r="J735" s="4">
        <f t="shared" si="97"/>
        <v>485.37418142377021</v>
      </c>
      <c r="K735" s="4">
        <f t="shared" si="91"/>
        <v>109.11698696636172</v>
      </c>
      <c r="L735" s="42">
        <f>Pressure!Q735</f>
        <v>0.34206951384280015</v>
      </c>
      <c r="M735" s="10">
        <f t="shared" si="92"/>
        <v>0.23360367646395655</v>
      </c>
      <c r="N735" s="10">
        <f t="shared" si="98"/>
        <v>2.5992897854448858</v>
      </c>
    </row>
    <row r="736" spans="3:14">
      <c r="C736" s="4">
        <f>Pressure!AB736*1000000</f>
        <v>4999389.2548332475</v>
      </c>
      <c r="D736" s="78">
        <f>Pressure!I736</f>
        <v>8.1256230789298584E-5</v>
      </c>
      <c r="E736" s="40">
        <f>Pressure!H736</f>
        <v>81.256230789298584</v>
      </c>
      <c r="F736" s="10">
        <f t="shared" si="94"/>
        <v>4.5</v>
      </c>
      <c r="G736" s="4">
        <f t="shared" si="93"/>
        <v>211863.60958930678</v>
      </c>
      <c r="H736" s="42">
        <f t="shared" si="95"/>
        <v>7.9479304706252902</v>
      </c>
      <c r="I736" s="10">
        <f t="shared" si="96"/>
        <v>1.1946406455323675</v>
      </c>
      <c r="J736" s="4">
        <f t="shared" si="97"/>
        <v>485.30069376588722</v>
      </c>
      <c r="K736" s="4">
        <f t="shared" si="91"/>
        <v>109.10046620338277</v>
      </c>
      <c r="L736" s="42">
        <f>Pressure!Q736</f>
        <v>0.34255078481181922</v>
      </c>
      <c r="M736" s="10">
        <f t="shared" si="92"/>
        <v>0.23357881889249335</v>
      </c>
      <c r="N736" s="10">
        <f t="shared" si="98"/>
        <v>2.5992897854448858</v>
      </c>
    </row>
    <row r="737" spans="3:14">
      <c r="C737" s="4">
        <f>Pressure!AB737*1000000</f>
        <v>4998683.2471945267</v>
      </c>
      <c r="D737" s="78">
        <f>Pressure!I737</f>
        <v>8.1256230789298584E-5</v>
      </c>
      <c r="E737" s="40">
        <f>Pressure!H737</f>
        <v>81.256230789298584</v>
      </c>
      <c r="F737" s="10">
        <f t="shared" si="94"/>
        <v>4.5</v>
      </c>
      <c r="G737" s="4">
        <f t="shared" si="93"/>
        <v>211833.69046936781</v>
      </c>
      <c r="H737" s="42">
        <f t="shared" si="95"/>
        <v>7.9470532100614486</v>
      </c>
      <c r="I737" s="10">
        <f t="shared" si="96"/>
        <v>1.1946278053640289</v>
      </c>
      <c r="J737" s="4">
        <f t="shared" si="97"/>
        <v>485.22694485061902</v>
      </c>
      <c r="K737" s="4">
        <f t="shared" si="91"/>
        <v>109.08388670712176</v>
      </c>
      <c r="L737" s="42">
        <f>Pressure!Q737</f>
        <v>0.34303207738367375</v>
      </c>
      <c r="M737" s="10">
        <f t="shared" si="92"/>
        <v>0.23355387162282118</v>
      </c>
      <c r="N737" s="10">
        <f t="shared" si="98"/>
        <v>2.5992897854448858</v>
      </c>
    </row>
    <row r="738" spans="3:14">
      <c r="C738" s="4">
        <f>Pressure!AB738*1000000</f>
        <v>4997974.7387942038</v>
      </c>
      <c r="D738" s="78">
        <f>Pressure!I738</f>
        <v>8.1256230789298584E-5</v>
      </c>
      <c r="E738" s="40">
        <f>Pressure!H738</f>
        <v>81.256230789298584</v>
      </c>
      <c r="F738" s="10">
        <f t="shared" si="94"/>
        <v>4.5</v>
      </c>
      <c r="G738" s="4">
        <f t="shared" si="93"/>
        <v>211803.66537240788</v>
      </c>
      <c r="H738" s="42">
        <f t="shared" si="95"/>
        <v>7.9461728200747581</v>
      </c>
      <c r="I738" s="10">
        <f t="shared" si="96"/>
        <v>1.194614916067444</v>
      </c>
      <c r="J738" s="4">
        <f t="shared" si="97"/>
        <v>485.15293470807029</v>
      </c>
      <c r="K738" s="4">
        <f t="shared" si="91"/>
        <v>109.06724848434655</v>
      </c>
      <c r="L738" s="42">
        <f>Pressure!Q738</f>
        <v>0.34351339163919581</v>
      </c>
      <c r="M738" s="10">
        <f t="shared" si="92"/>
        <v>0.23352883465168761</v>
      </c>
      <c r="N738" s="10">
        <f t="shared" si="98"/>
        <v>2.5992897854448858</v>
      </c>
    </row>
    <row r="739" spans="3:14">
      <c r="C739" s="4">
        <f>Pressure!AB739*1000000</f>
        <v>4997263.7299212189</v>
      </c>
      <c r="D739" s="78">
        <f>Pressure!I739</f>
        <v>8.1256230789298584E-5</v>
      </c>
      <c r="E739" s="40">
        <f>Pressure!H739</f>
        <v>81.256230789298584</v>
      </c>
      <c r="F739" s="10">
        <f t="shared" si="94"/>
        <v>4.5</v>
      </c>
      <c r="G739" s="4">
        <f t="shared" si="93"/>
        <v>211773.5343106717</v>
      </c>
      <c r="H739" s="42">
        <f t="shared" si="95"/>
        <v>7.9452893007863601</v>
      </c>
      <c r="I739" s="10">
        <f t="shared" si="96"/>
        <v>1.1946019776076249</v>
      </c>
      <c r="J739" s="4">
        <f t="shared" si="97"/>
        <v>485.07866336842346</v>
      </c>
      <c r="K739" s="4">
        <f t="shared" si="91"/>
        <v>109.05055154184242</v>
      </c>
      <c r="L739" s="42">
        <f>Pressure!Q739</f>
        <v>0.34399472765925287</v>
      </c>
      <c r="M739" s="10">
        <f t="shared" si="92"/>
        <v>0.23350370797587322</v>
      </c>
      <c r="N739" s="10">
        <f t="shared" si="98"/>
        <v>2.5992897854448858</v>
      </c>
    </row>
    <row r="740" spans="3:14">
      <c r="C740" s="4">
        <f>Pressure!AB740*1000000</f>
        <v>4996550.2208658848</v>
      </c>
      <c r="D740" s="78">
        <f>Pressure!I740</f>
        <v>8.1256230789298584E-5</v>
      </c>
      <c r="E740" s="40">
        <f>Pressure!H740</f>
        <v>81.256230789298584</v>
      </c>
      <c r="F740" s="10">
        <f t="shared" si="94"/>
        <v>4.5</v>
      </c>
      <c r="G740" s="4">
        <f t="shared" si="93"/>
        <v>211743.29729646209</v>
      </c>
      <c r="H740" s="42">
        <f t="shared" si="95"/>
        <v>7.9444026523182227</v>
      </c>
      <c r="I740" s="10">
        <f t="shared" si="96"/>
        <v>1.1945889899494444</v>
      </c>
      <c r="J740" s="4">
        <f t="shared" si="97"/>
        <v>485.00413086200433</v>
      </c>
      <c r="K740" s="4">
        <f t="shared" si="91"/>
        <v>109.03379588642694</v>
      </c>
      <c r="L740" s="42">
        <f>Pressure!Q740</f>
        <v>0.34447608552474795</v>
      </c>
      <c r="M740" s="10">
        <f t="shared" si="92"/>
        <v>0.23347849159213085</v>
      </c>
      <c r="N740" s="10">
        <f t="shared" si="98"/>
        <v>2.5992897854448858</v>
      </c>
    </row>
    <row r="741" spans="3:14">
      <c r="C741" s="4">
        <f>Pressure!AB741*1000000</f>
        <v>4995834.2119195145</v>
      </c>
      <c r="D741" s="78">
        <f>Pressure!I741</f>
        <v>8.1256230789298584E-5</v>
      </c>
      <c r="E741" s="40">
        <f>Pressure!H741</f>
        <v>81.256230789298584</v>
      </c>
      <c r="F741" s="10">
        <f t="shared" si="94"/>
        <v>4.5</v>
      </c>
      <c r="G741" s="4">
        <f t="shared" si="93"/>
        <v>211712.95434212431</v>
      </c>
      <c r="H741" s="42">
        <f t="shared" si="95"/>
        <v>7.9435128747927006</v>
      </c>
      <c r="I741" s="10">
        <f t="shared" si="96"/>
        <v>1.1945759530576283</v>
      </c>
      <c r="J741" s="4">
        <f t="shared" si="97"/>
        <v>484.92933721924317</v>
      </c>
      <c r="K741" s="4">
        <f t="shared" si="91"/>
        <v>109.01698152494114</v>
      </c>
      <c r="L741" s="42">
        <f>Pressure!Q741</f>
        <v>0.3449574653166198</v>
      </c>
      <c r="M741" s="10">
        <f t="shared" si="92"/>
        <v>0.23345318549724622</v>
      </c>
      <c r="N741" s="10">
        <f t="shared" si="98"/>
        <v>2.5992897854448858</v>
      </c>
    </row>
    <row r="742" spans="3:14">
      <c r="C742" s="4">
        <f>Pressure!AB742*1000000</f>
        <v>4995115.70337456</v>
      </c>
      <c r="D742" s="78">
        <f>Pressure!I742</f>
        <v>8.1256230789298584E-5</v>
      </c>
      <c r="E742" s="40">
        <f>Pressure!H742</f>
        <v>81.256230789298584</v>
      </c>
      <c r="F742" s="10">
        <f t="shared" si="94"/>
        <v>4.5</v>
      </c>
      <c r="G742" s="4">
        <f t="shared" si="93"/>
        <v>211682.50546005182</v>
      </c>
      <c r="H742" s="42">
        <f t="shared" si="95"/>
        <v>7.9426199683326786</v>
      </c>
      <c r="I742" s="10">
        <f t="shared" si="96"/>
        <v>1.1945628668967587</v>
      </c>
      <c r="J742" s="4">
        <f t="shared" si="97"/>
        <v>484.85428247068927</v>
      </c>
      <c r="K742" s="4">
        <f t="shared" si="91"/>
        <v>109.00010846425279</v>
      </c>
      <c r="L742" s="42">
        <f>Pressure!Q742</f>
        <v>0.34543886711584293</v>
      </c>
      <c r="M742" s="10">
        <f t="shared" si="92"/>
        <v>0.23342778968792394</v>
      </c>
      <c r="N742" s="10">
        <f t="shared" si="98"/>
        <v>2.5992897854448858</v>
      </c>
    </row>
    <row r="743" spans="3:14">
      <c r="C743" s="4">
        <f>Pressure!AB743*1000000</f>
        <v>4994394.695524564</v>
      </c>
      <c r="D743" s="78">
        <f>Pressure!I743</f>
        <v>8.1256230789298584E-5</v>
      </c>
      <c r="E743" s="40">
        <f>Pressure!H743</f>
        <v>81.256230789298584</v>
      </c>
      <c r="F743" s="10">
        <f t="shared" si="94"/>
        <v>4.5</v>
      </c>
      <c r="G743" s="4">
        <f t="shared" si="93"/>
        <v>211651.95066268439</v>
      </c>
      <c r="H743" s="42">
        <f t="shared" si="95"/>
        <v>7.9417239330615219</v>
      </c>
      <c r="I743" s="10">
        <f t="shared" si="96"/>
        <v>1.1945497314312721</v>
      </c>
      <c r="J743" s="4">
        <f t="shared" si="97"/>
        <v>484.77896664700575</v>
      </c>
      <c r="K743" s="4">
        <f t="shared" si="91"/>
        <v>108.98317671125528</v>
      </c>
      <c r="L743" s="42">
        <f>Pressure!Q743</f>
        <v>0.34592029100342786</v>
      </c>
      <c r="M743" s="10">
        <f t="shared" si="92"/>
        <v>0.2334023041609242</v>
      </c>
      <c r="N743" s="10">
        <f t="shared" si="98"/>
        <v>2.5992897854448858</v>
      </c>
    </row>
    <row r="744" spans="3:14">
      <c r="C744" s="4">
        <f>Pressure!AB744*1000000</f>
        <v>4993671.1886643097</v>
      </c>
      <c r="D744" s="78">
        <f>Pressure!I744</f>
        <v>8.1256230789298584E-5</v>
      </c>
      <c r="E744" s="40">
        <f>Pressure!H744</f>
        <v>81.256230789298584</v>
      </c>
      <c r="F744" s="10">
        <f t="shared" si="94"/>
        <v>4.5</v>
      </c>
      <c r="G744" s="4">
        <f t="shared" si="93"/>
        <v>211621.28996251427</v>
      </c>
      <c r="H744" s="42">
        <f t="shared" si="95"/>
        <v>7.9408247691032656</v>
      </c>
      <c r="I744" s="10">
        <f t="shared" si="96"/>
        <v>1.1945365466254618</v>
      </c>
      <c r="J744" s="4">
        <f t="shared" si="97"/>
        <v>484.70338977898552</v>
      </c>
      <c r="K744" s="4">
        <f t="shared" si="91"/>
        <v>108.96618627287117</v>
      </c>
      <c r="L744" s="42">
        <f>Pressure!Q744</f>
        <v>0.34640173706042121</v>
      </c>
      <c r="M744" s="10">
        <f t="shared" si="92"/>
        <v>0.23337672891295799</v>
      </c>
      <c r="N744" s="10">
        <f t="shared" si="98"/>
        <v>2.5992897854448858</v>
      </c>
    </row>
    <row r="745" spans="3:14">
      <c r="C745" s="4">
        <f>Pressure!AB745*1000000</f>
        <v>4992945.1830895422</v>
      </c>
      <c r="D745" s="78">
        <f>Pressure!I745</f>
        <v>8.1256230789298584E-5</v>
      </c>
      <c r="E745" s="40">
        <f>Pressure!H745</f>
        <v>81.256230789298584</v>
      </c>
      <c r="F745" s="10">
        <f t="shared" si="94"/>
        <v>4.5</v>
      </c>
      <c r="G745" s="4">
        <f t="shared" si="93"/>
        <v>211590.52337207456</v>
      </c>
      <c r="H745" s="42">
        <f t="shared" si="95"/>
        <v>7.9399224765822769</v>
      </c>
      <c r="I745" s="10">
        <f t="shared" si="96"/>
        <v>1.1945233124434738</v>
      </c>
      <c r="J745" s="4">
        <f t="shared" si="97"/>
        <v>484.62755189752187</v>
      </c>
      <c r="K745" s="4">
        <f t="shared" si="91"/>
        <v>108.94913715604557</v>
      </c>
      <c r="L745" s="42">
        <f>Pressure!Q745</f>
        <v>0.34688320536790584</v>
      </c>
      <c r="M745" s="10">
        <f t="shared" si="92"/>
        <v>0.23335106394073712</v>
      </c>
      <c r="N745" s="10">
        <f t="shared" si="98"/>
        <v>2.5992897854448858</v>
      </c>
    </row>
    <row r="746" spans="3:14">
      <c r="C746" s="4">
        <f>Pressure!AB746*1000000</f>
        <v>4992216.6790974317</v>
      </c>
      <c r="D746" s="78">
        <f>Pressure!I746</f>
        <v>8.1256230789298584E-5</v>
      </c>
      <c r="E746" s="40">
        <f>Pressure!H746</f>
        <v>81.256230789298584</v>
      </c>
      <c r="F746" s="10">
        <f t="shared" si="94"/>
        <v>4.5</v>
      </c>
      <c r="G746" s="4">
        <f t="shared" si="93"/>
        <v>211559.65090395868</v>
      </c>
      <c r="H746" s="42">
        <f t="shared" si="95"/>
        <v>7.9390170556238022</v>
      </c>
      <c r="I746" s="10">
        <f t="shared" si="96"/>
        <v>1.1945100288493131</v>
      </c>
      <c r="J746" s="4">
        <f t="shared" si="97"/>
        <v>484.5514530336568</v>
      </c>
      <c r="K746" s="4">
        <f t="shared" si="91"/>
        <v>108.93202936775702</v>
      </c>
      <c r="L746" s="42">
        <f>Pressure!Q746</f>
        <v>0.34736469600700098</v>
      </c>
      <c r="M746" s="10">
        <f t="shared" si="92"/>
        <v>0.23332530924095207</v>
      </c>
      <c r="N746" s="10">
        <f t="shared" si="98"/>
        <v>2.5992897854448858</v>
      </c>
    </row>
    <row r="747" spans="3:14">
      <c r="C747" s="4">
        <f>Pressure!AB747*1000000</f>
        <v>4991485.6769859511</v>
      </c>
      <c r="D747" s="78">
        <f>Pressure!I747</f>
        <v>8.1256230789298584E-5</v>
      </c>
      <c r="E747" s="40">
        <f>Pressure!H747</f>
        <v>81.256230789298584</v>
      </c>
      <c r="F747" s="10">
        <f t="shared" si="94"/>
        <v>4.5</v>
      </c>
      <c r="G747" s="4">
        <f t="shared" si="93"/>
        <v>211528.67257079409</v>
      </c>
      <c r="H747" s="42">
        <f t="shared" si="95"/>
        <v>7.9381085063532177</v>
      </c>
      <c r="I747" s="10">
        <f t="shared" si="96"/>
        <v>1.1944966958068337</v>
      </c>
      <c r="J747" s="4">
        <f t="shared" si="97"/>
        <v>484.47509321851635</v>
      </c>
      <c r="K747" s="4">
        <f t="shared" si="91"/>
        <v>108.914862915003</v>
      </c>
      <c r="L747" s="42">
        <f>Pressure!Q747</f>
        <v>0.34784620905886238</v>
      </c>
      <c r="M747" s="10">
        <f t="shared" si="92"/>
        <v>0.23329946481029462</v>
      </c>
      <c r="N747" s="10">
        <f t="shared" si="98"/>
        <v>2.5992897854448858</v>
      </c>
    </row>
    <row r="748" spans="3:14">
      <c r="C748" s="4">
        <f>Pressure!AB748*1000000</f>
        <v>4990752.1770543437</v>
      </c>
      <c r="D748" s="78">
        <f>Pressure!I748</f>
        <v>8.1256230789298584E-5</v>
      </c>
      <c r="E748" s="40">
        <f>Pressure!H748</f>
        <v>81.256230789298584</v>
      </c>
      <c r="F748" s="10">
        <f t="shared" si="94"/>
        <v>4.5</v>
      </c>
      <c r="G748" s="4">
        <f t="shared" si="93"/>
        <v>211497.58838526209</v>
      </c>
      <c r="H748" s="42">
        <f t="shared" si="95"/>
        <v>7.9371968288966084</v>
      </c>
      <c r="I748" s="10">
        <f t="shared" si="96"/>
        <v>1.1944833132797461</v>
      </c>
      <c r="J748" s="4">
        <f t="shared" si="97"/>
        <v>484.39847248335917</v>
      </c>
      <c r="K748" s="4">
        <f t="shared" si="91"/>
        <v>108.89763780481076</v>
      </c>
      <c r="L748" s="42">
        <f>Pressure!Q748</f>
        <v>0.34832774460468247</v>
      </c>
      <c r="M748" s="10">
        <f t="shared" si="92"/>
        <v>0.23327353064545411</v>
      </c>
      <c r="N748" s="10">
        <f t="shared" si="98"/>
        <v>2.5992897854448858</v>
      </c>
    </row>
    <row r="749" spans="3:14">
      <c r="C749" s="4">
        <f>Pressure!AB749*1000000</f>
        <v>4990016.1796030952</v>
      </c>
      <c r="D749" s="78">
        <f>Pressure!I749</f>
        <v>8.1256230789298584E-5</v>
      </c>
      <c r="E749" s="40">
        <f>Pressure!H749</f>
        <v>81.256230789298584</v>
      </c>
      <c r="F749" s="10">
        <f t="shared" si="94"/>
        <v>4.5</v>
      </c>
      <c r="G749" s="4">
        <f t="shared" si="93"/>
        <v>211466.39836009667</v>
      </c>
      <c r="H749" s="42">
        <f t="shared" si="95"/>
        <v>7.9362820233807252</v>
      </c>
      <c r="I749" s="10">
        <f t="shared" si="96"/>
        <v>1.1944698812316172</v>
      </c>
      <c r="J749" s="4">
        <f t="shared" si="97"/>
        <v>484.3215908595738</v>
      </c>
      <c r="K749" s="4">
        <f t="shared" si="91"/>
        <v>108.88035404423673</v>
      </c>
      <c r="L749" s="42">
        <f>Pressure!Q749</f>
        <v>0.3488093027256905</v>
      </c>
      <c r="M749" s="10">
        <f t="shared" si="92"/>
        <v>0.23324750674310127</v>
      </c>
      <c r="N749" s="10">
        <f t="shared" si="98"/>
        <v>2.5992897854448858</v>
      </c>
    </row>
    <row r="750" spans="3:14">
      <c r="C750" s="4">
        <f>Pressure!AB750*1000000</f>
        <v>4989277.6849335888</v>
      </c>
      <c r="D750" s="78">
        <f>Pressure!I750</f>
        <v>8.1256230789298584E-5</v>
      </c>
      <c r="E750" s="40">
        <f>Pressure!H750</f>
        <v>81.256230789298584</v>
      </c>
      <c r="F750" s="10">
        <f t="shared" si="94"/>
        <v>4.5</v>
      </c>
      <c r="G750" s="4">
        <f t="shared" si="93"/>
        <v>211435.10250806977</v>
      </c>
      <c r="H750" s="42">
        <f t="shared" si="95"/>
        <v>7.9353640899325493</v>
      </c>
      <c r="I750" s="10">
        <f t="shared" si="96"/>
        <v>1.1944563996258626</v>
      </c>
      <c r="J750" s="4">
        <f t="shared" si="97"/>
        <v>484.2444483786424</v>
      </c>
      <c r="K750" s="4">
        <f t="shared" si="91"/>
        <v>108.86301164035844</v>
      </c>
      <c r="L750" s="42">
        <f>Pressure!Q750</f>
        <v>0.34929088350315268</v>
      </c>
      <c r="M750" s="10">
        <f t="shared" si="92"/>
        <v>0.23322139309990575</v>
      </c>
      <c r="N750" s="10">
        <f t="shared" si="98"/>
        <v>2.5992897854448858</v>
      </c>
    </row>
    <row r="751" spans="3:14">
      <c r="C751" s="4">
        <f>Pressure!AB751*1000000</f>
        <v>4988536.6933485428</v>
      </c>
      <c r="D751" s="78">
        <f>Pressure!I751</f>
        <v>8.1256230789298584E-5</v>
      </c>
      <c r="E751" s="40">
        <f>Pressure!H751</f>
        <v>81.256230789298584</v>
      </c>
      <c r="F751" s="10">
        <f t="shared" si="94"/>
        <v>4.5</v>
      </c>
      <c r="G751" s="4">
        <f t="shared" si="93"/>
        <v>211403.70084201</v>
      </c>
      <c r="H751" s="42">
        <f t="shared" si="95"/>
        <v>7.9344430286798593</v>
      </c>
      <c r="I751" s="10">
        <f t="shared" si="96"/>
        <v>1.1944428684257555</v>
      </c>
      <c r="J751" s="4">
        <f t="shared" si="97"/>
        <v>484.16704507218662</v>
      </c>
      <c r="K751" s="4">
        <f t="shared" si="91"/>
        <v>108.84561060028476</v>
      </c>
      <c r="L751" s="42">
        <f>Pressure!Q751</f>
        <v>0.34977248701837227</v>
      </c>
      <c r="M751" s="10">
        <f t="shared" si="92"/>
        <v>0.23319518971248435</v>
      </c>
      <c r="N751" s="10">
        <f t="shared" si="98"/>
        <v>2.5992897854448858</v>
      </c>
    </row>
    <row r="752" spans="3:14">
      <c r="C752" s="4">
        <f>Pressure!AB752*1000000</f>
        <v>4987793.2051516622</v>
      </c>
      <c r="D752" s="78">
        <f>Pressure!I752</f>
        <v>8.1256230789298584E-5</v>
      </c>
      <c r="E752" s="40">
        <f>Pressure!H752</f>
        <v>81.256230789298584</v>
      </c>
      <c r="F752" s="10">
        <f t="shared" si="94"/>
        <v>4.5</v>
      </c>
      <c r="G752" s="4">
        <f t="shared" si="93"/>
        <v>211372.19337478769</v>
      </c>
      <c r="H752" s="42">
        <f t="shared" si="95"/>
        <v>7.9335188397507856</v>
      </c>
      <c r="I752" s="10">
        <f t="shared" si="96"/>
        <v>1.1944292875944198</v>
      </c>
      <c r="J752" s="4">
        <f t="shared" si="97"/>
        <v>484.08938097193129</v>
      </c>
      <c r="K752" s="4">
        <f t="shared" si="91"/>
        <v>108.82815093114772</v>
      </c>
      <c r="L752" s="42">
        <f>Pressure!Q752</f>
        <v>0.3502541133526898</v>
      </c>
      <c r="M752" s="10">
        <f t="shared" si="92"/>
        <v>0.23316889657751097</v>
      </c>
      <c r="N752" s="10">
        <f t="shared" si="98"/>
        <v>2.5992897854448858</v>
      </c>
    </row>
    <row r="753" spans="3:14">
      <c r="C753" s="4">
        <f>Pressure!AB753*1000000</f>
        <v>4987047.2206479423</v>
      </c>
      <c r="D753" s="78">
        <f>Pressure!I753</f>
        <v>8.1256230789298584E-5</v>
      </c>
      <c r="E753" s="40">
        <f>Pressure!H753</f>
        <v>81.256230789298584</v>
      </c>
      <c r="F753" s="10">
        <f t="shared" si="94"/>
        <v>4.5</v>
      </c>
      <c r="G753" s="4">
        <f t="shared" si="93"/>
        <v>211340.58011932793</v>
      </c>
      <c r="H753" s="42">
        <f t="shared" si="95"/>
        <v>7.9325915232741648</v>
      </c>
      <c r="I753" s="10">
        <f t="shared" si="96"/>
        <v>1.1944156570948348</v>
      </c>
      <c r="J753" s="4">
        <f t="shared" si="97"/>
        <v>484.01145610973583</v>
      </c>
      <c r="K753" s="4">
        <f t="shared" si="91"/>
        <v>108.81063264010967</v>
      </c>
      <c r="L753" s="42">
        <f>Pressure!Q753</f>
        <v>0.35073576258748312</v>
      </c>
      <c r="M753" s="10">
        <f t="shared" si="92"/>
        <v>0.23314251369158087</v>
      </c>
      <c r="N753" s="10">
        <f t="shared" si="98"/>
        <v>2.5992897854448858</v>
      </c>
    </row>
    <row r="754" spans="3:14">
      <c r="C754" s="4">
        <f>Pressure!AB754*1000000</f>
        <v>4986298.7401433839</v>
      </c>
      <c r="D754" s="78">
        <f>Pressure!I754</f>
        <v>8.1256230789298584E-5</v>
      </c>
      <c r="E754" s="40">
        <f>Pressure!H754</f>
        <v>81.256230789298584</v>
      </c>
      <c r="F754" s="10">
        <f t="shared" si="94"/>
        <v>4.5</v>
      </c>
      <c r="G754" s="4">
        <f t="shared" si="93"/>
        <v>211308.86108859841</v>
      </c>
      <c r="H754" s="42">
        <f t="shared" si="95"/>
        <v>7.9316610793792268</v>
      </c>
      <c r="I754" s="10">
        <f t="shared" si="96"/>
        <v>1.1944019768898306</v>
      </c>
      <c r="J754" s="4">
        <f t="shared" si="97"/>
        <v>483.93327051756501</v>
      </c>
      <c r="K754" s="4">
        <f t="shared" si="91"/>
        <v>108.7930557343566</v>
      </c>
      <c r="L754" s="42">
        <f>Pressure!Q754</f>
        <v>0.35121743480416767</v>
      </c>
      <c r="M754" s="10">
        <f t="shared" si="92"/>
        <v>0.23311604105134529</v>
      </c>
      <c r="N754" s="10">
        <f t="shared" si="98"/>
        <v>2.5992897854448858</v>
      </c>
    </row>
    <row r="755" spans="3:14">
      <c r="C755" s="4">
        <f>Pressure!AB755*1000000</f>
        <v>4985547.763945247</v>
      </c>
      <c r="D755" s="78">
        <f>Pressure!I755</f>
        <v>8.1256230789298584E-5</v>
      </c>
      <c r="E755" s="40">
        <f>Pressure!H755</f>
        <v>81.256230789298584</v>
      </c>
      <c r="F755" s="10">
        <f t="shared" si="94"/>
        <v>4.5</v>
      </c>
      <c r="G755" s="4">
        <f t="shared" si="93"/>
        <v>211277.03629562011</v>
      </c>
      <c r="H755" s="42">
        <f t="shared" si="95"/>
        <v>7.9307275081958784</v>
      </c>
      <c r="I755" s="10">
        <f t="shared" si="96"/>
        <v>1.1943882469420917</v>
      </c>
      <c r="J755" s="4">
        <f t="shared" si="97"/>
        <v>483.8548242275146</v>
      </c>
      <c r="K755" s="4">
        <f t="shared" si="91"/>
        <v>108.77542022110396</v>
      </c>
      <c r="L755" s="42">
        <f>Pressure!Q755</f>
        <v>0.35169913008419645</v>
      </c>
      <c r="M755" s="10">
        <f t="shared" si="92"/>
        <v>0.23308947865337634</v>
      </c>
      <c r="N755" s="10">
        <f t="shared" si="98"/>
        <v>2.5992897854448858</v>
      </c>
    </row>
    <row r="756" spans="3:14">
      <c r="C756" s="4">
        <f>Pressure!AB756*1000000</f>
        <v>4984794.2923616972</v>
      </c>
      <c r="D756" s="78">
        <f>Pressure!I756</f>
        <v>8.1256230789298584E-5</v>
      </c>
      <c r="E756" s="40">
        <f>Pressure!H756</f>
        <v>81.256230789298584</v>
      </c>
      <c r="F756" s="10">
        <f t="shared" si="94"/>
        <v>4.5</v>
      </c>
      <c r="G756" s="4">
        <f t="shared" si="93"/>
        <v>211245.10575345249</v>
      </c>
      <c r="H756" s="42">
        <f t="shared" si="95"/>
        <v>7.9297908098542864</v>
      </c>
      <c r="I756" s="10">
        <f t="shared" si="96"/>
        <v>1.1943744672141512</v>
      </c>
      <c r="J756" s="4">
        <f t="shared" si="97"/>
        <v>483.77611727177566</v>
      </c>
      <c r="K756" s="4">
        <f t="shared" si="91"/>
        <v>108.75772610758861</v>
      </c>
      <c r="L756" s="42">
        <f>Pressure!Q756</f>
        <v>0.3521808485090604</v>
      </c>
      <c r="M756" s="10">
        <f t="shared" si="92"/>
        <v>0.2330628264943255</v>
      </c>
      <c r="N756" s="10">
        <f t="shared" si="98"/>
        <v>2.5992897854448858</v>
      </c>
    </row>
    <row r="757" spans="3:14">
      <c r="C757" s="4">
        <f>Pressure!AB757*1000000</f>
        <v>4984038.3257023245</v>
      </c>
      <c r="D757" s="78">
        <f>Pressure!I757</f>
        <v>8.1256230789298584E-5</v>
      </c>
      <c r="E757" s="40">
        <f>Pressure!H757</f>
        <v>81.256230789298584</v>
      </c>
      <c r="F757" s="10">
        <f t="shared" si="94"/>
        <v>4.5</v>
      </c>
      <c r="G757" s="4">
        <f t="shared" si="93"/>
        <v>211213.06947521531</v>
      </c>
      <c r="H757" s="42">
        <f t="shared" si="95"/>
        <v>7.9288509844854973</v>
      </c>
      <c r="I757" s="10">
        <f t="shared" si="96"/>
        <v>1.1943606376683988</v>
      </c>
      <c r="J757" s="4">
        <f t="shared" si="97"/>
        <v>483.69714968268744</v>
      </c>
      <c r="K757" s="4">
        <f t="shared" si="91"/>
        <v>108.73997340108076</v>
      </c>
      <c r="L757" s="42">
        <f>Pressure!Q757</f>
        <v>0.35266259016028823</v>
      </c>
      <c r="M757" s="10">
        <f t="shared" si="92"/>
        <v>0.23303608457071281</v>
      </c>
      <c r="N757" s="10">
        <f t="shared" si="98"/>
        <v>2.5992897854448858</v>
      </c>
    </row>
    <row r="758" spans="3:14">
      <c r="C758" s="4">
        <f>Pressure!AB758*1000000</f>
        <v>4983279.8642776469</v>
      </c>
      <c r="D758" s="78">
        <f>Pressure!I758</f>
        <v>8.1256230789298584E-5</v>
      </c>
      <c r="E758" s="40">
        <f>Pressure!H758</f>
        <v>81.256230789298584</v>
      </c>
      <c r="F758" s="10">
        <f t="shared" si="94"/>
        <v>4.5</v>
      </c>
      <c r="G758" s="4">
        <f t="shared" si="93"/>
        <v>211180.92747406763</v>
      </c>
      <c r="H758" s="42">
        <f t="shared" si="95"/>
        <v>7.9279080322208388</v>
      </c>
      <c r="I758" s="10">
        <f t="shared" si="96"/>
        <v>1.1943467582670728</v>
      </c>
      <c r="J758" s="4">
        <f t="shared" si="97"/>
        <v>483.61792149268638</v>
      </c>
      <c r="K758" s="4">
        <f t="shared" si="91"/>
        <v>108.72216210887244</v>
      </c>
      <c r="L758" s="42">
        <f>Pressure!Q758</f>
        <v>0.35314435511944692</v>
      </c>
      <c r="M758" s="10">
        <f t="shared" si="92"/>
        <v>0.23300925287919586</v>
      </c>
      <c r="N758" s="10">
        <f t="shared" si="98"/>
        <v>2.5992897854448858</v>
      </c>
    </row>
    <row r="759" spans="3:14">
      <c r="C759" s="4">
        <f>Pressure!AB759*1000000</f>
        <v>4982518.9083994292</v>
      </c>
      <c r="D759" s="78">
        <f>Pressure!I759</f>
        <v>8.1256230789298584E-5</v>
      </c>
      <c r="E759" s="40">
        <f>Pressure!H759</f>
        <v>81.256230789298584</v>
      </c>
      <c r="F759" s="10">
        <f t="shared" si="94"/>
        <v>4.5</v>
      </c>
      <c r="G759" s="4">
        <f t="shared" si="93"/>
        <v>211148.67976322144</v>
      </c>
      <c r="H759" s="42">
        <f t="shared" si="95"/>
        <v>7.9269619531923139</v>
      </c>
      <c r="I759" s="10">
        <f t="shared" si="96"/>
        <v>1.1943328289722648</v>
      </c>
      <c r="J759" s="4">
        <f t="shared" si="97"/>
        <v>483.53843273433915</v>
      </c>
      <c r="K759" s="4">
        <f t="shared" si="91"/>
        <v>108.70429223828496</v>
      </c>
      <c r="L759" s="42">
        <f>Pressure!Q759</f>
        <v>0.35362614346814153</v>
      </c>
      <c r="M759" s="10">
        <f t="shared" si="92"/>
        <v>0.23298233141626981</v>
      </c>
      <c r="N759" s="10">
        <f t="shared" si="98"/>
        <v>2.5992897854448858</v>
      </c>
    </row>
    <row r="760" spans="3:14">
      <c r="C760" s="4">
        <f>Pressure!AB760*1000000</f>
        <v>4981755.4583804552</v>
      </c>
      <c r="D760" s="78">
        <f>Pressure!I760</f>
        <v>8.1256230789298584E-5</v>
      </c>
      <c r="E760" s="40">
        <f>Pressure!H760</f>
        <v>81.256230789298584</v>
      </c>
      <c r="F760" s="10">
        <f t="shared" si="94"/>
        <v>4.5</v>
      </c>
      <c r="G760" s="4">
        <f t="shared" si="93"/>
        <v>211116.32635593184</v>
      </c>
      <c r="H760" s="42">
        <f t="shared" si="95"/>
        <v>7.9260127475323099</v>
      </c>
      <c r="I760" s="10">
        <f t="shared" si="96"/>
        <v>1.1943188497459154</v>
      </c>
      <c r="J760" s="4">
        <f t="shared" si="97"/>
        <v>483.45868344031902</v>
      </c>
      <c r="K760" s="4">
        <f t="shared" si="91"/>
        <v>108.6863637966636</v>
      </c>
      <c r="L760" s="42">
        <f>Pressure!Q760</f>
        <v>0.35410795528801559</v>
      </c>
      <c r="M760" s="10">
        <f t="shared" si="92"/>
        <v>0.23295532017853812</v>
      </c>
      <c r="N760" s="10">
        <f t="shared" si="98"/>
        <v>2.5992897854448858</v>
      </c>
    </row>
    <row r="761" spans="3:14">
      <c r="C761" s="4">
        <f>Pressure!AB761*1000000</f>
        <v>4980989.5145347929</v>
      </c>
      <c r="D761" s="78">
        <f>Pressure!I761</f>
        <v>8.1256230789298584E-5</v>
      </c>
      <c r="E761" s="40">
        <f>Pressure!H761</f>
        <v>81.256230789298584</v>
      </c>
      <c r="F761" s="10">
        <f t="shared" si="94"/>
        <v>4.5</v>
      </c>
      <c r="G761" s="4">
        <f t="shared" si="93"/>
        <v>211083.86726550839</v>
      </c>
      <c r="H761" s="42">
        <f t="shared" si="95"/>
        <v>7.9250604153739257</v>
      </c>
      <c r="I761" s="10">
        <f t="shared" si="96"/>
        <v>1.1943048205498195</v>
      </c>
      <c r="J761" s="4">
        <f t="shared" si="97"/>
        <v>483.37867364343316</v>
      </c>
      <c r="K761" s="4">
        <f t="shared" si="91"/>
        <v>108.66837679138375</v>
      </c>
      <c r="L761" s="42">
        <f>Pressure!Q761</f>
        <v>0.35458979066075108</v>
      </c>
      <c r="M761" s="10">
        <f t="shared" si="92"/>
        <v>0.23292821916252537</v>
      </c>
      <c r="N761" s="10">
        <f t="shared" si="98"/>
        <v>2.5992897854448858</v>
      </c>
    </row>
    <row r="762" spans="3:14">
      <c r="C762" s="4">
        <f>Pressure!AB762*1000000</f>
        <v>4980221.0771775069</v>
      </c>
      <c r="D762" s="78">
        <f>Pressure!I762</f>
        <v>8.1256230789298584E-5</v>
      </c>
      <c r="E762" s="40">
        <f>Pressure!H762</f>
        <v>81.256230789298584</v>
      </c>
      <c r="F762" s="10">
        <f t="shared" si="94"/>
        <v>4.5</v>
      </c>
      <c r="G762" s="4">
        <f t="shared" si="93"/>
        <v>211051.30250530283</v>
      </c>
      <c r="H762" s="42">
        <f t="shared" si="95"/>
        <v>7.9241049568506288</v>
      </c>
      <c r="I762" s="10">
        <f t="shared" si="96"/>
        <v>1.194290741345619</v>
      </c>
      <c r="J762" s="4">
        <f t="shared" si="97"/>
        <v>483.29840337659283</v>
      </c>
      <c r="K762" s="4">
        <f t="shared" si="91"/>
        <v>108.65033122984417</v>
      </c>
      <c r="L762" s="42">
        <f>Pressure!Q762</f>
        <v>0.3550716496680687</v>
      </c>
      <c r="M762" s="10">
        <f t="shared" si="92"/>
        <v>0.23290102836478405</v>
      </c>
      <c r="N762" s="10">
        <f t="shared" si="98"/>
        <v>2.5992897854448858</v>
      </c>
    </row>
    <row r="763" spans="3:14">
      <c r="C763" s="4">
        <f>Pressure!AB763*1000000</f>
        <v>4979450.146625015</v>
      </c>
      <c r="D763" s="78">
        <f>Pressure!I763</f>
        <v>8.1256230789298584E-5</v>
      </c>
      <c r="E763" s="40">
        <f>Pressure!H763</f>
        <v>81.256230789298584</v>
      </c>
      <c r="F763" s="10">
        <f t="shared" si="94"/>
        <v>4.5</v>
      </c>
      <c r="G763" s="4">
        <f t="shared" si="93"/>
        <v>211018.63208872432</v>
      </c>
      <c r="H763" s="42">
        <f t="shared" si="95"/>
        <v>7.9231463720966921</v>
      </c>
      <c r="I763" s="10">
        <f t="shared" si="96"/>
        <v>1.1942766120948116</v>
      </c>
      <c r="J763" s="4">
        <f t="shared" si="97"/>
        <v>483.21787267285083</v>
      </c>
      <c r="K763" s="4">
        <f t="shared" si="91"/>
        <v>108.63222711947549</v>
      </c>
      <c r="L763" s="42">
        <f>Pressure!Q763</f>
        <v>0.35555353239172788</v>
      </c>
      <c r="M763" s="10">
        <f t="shared" si="92"/>
        <v>0.23287374778181552</v>
      </c>
      <c r="N763" s="10">
        <f t="shared" si="98"/>
        <v>2.5992897854448858</v>
      </c>
    </row>
    <row r="764" spans="3:14">
      <c r="C764" s="4">
        <f>Pressure!AB764*1000000</f>
        <v>4978676.7231945768</v>
      </c>
      <c r="D764" s="78">
        <f>Pressure!I764</f>
        <v>8.1256230789298584E-5</v>
      </c>
      <c r="E764" s="40">
        <f>Pressure!H764</f>
        <v>81.256230789298584</v>
      </c>
      <c r="F764" s="10">
        <f t="shared" si="94"/>
        <v>4.5</v>
      </c>
      <c r="G764" s="4">
        <f t="shared" si="93"/>
        <v>210985.8560292176</v>
      </c>
      <c r="H764" s="42">
        <f t="shared" si="95"/>
        <v>7.9221846612465443</v>
      </c>
      <c r="I764" s="10">
        <f t="shared" si="96"/>
        <v>1.194262432758739</v>
      </c>
      <c r="J764" s="4">
        <f t="shared" si="97"/>
        <v>483.13708156534784</v>
      </c>
      <c r="K764" s="4">
        <f t="shared" si="91"/>
        <v>108.61406446772804</v>
      </c>
      <c r="L764" s="42">
        <f>Pressure!Q764</f>
        <v>0.35603543891352707</v>
      </c>
      <c r="M764" s="10">
        <f t="shared" si="92"/>
        <v>0.2328463774101735</v>
      </c>
      <c r="N764" s="10">
        <f t="shared" si="98"/>
        <v>2.5992897854448858</v>
      </c>
    </row>
    <row r="765" spans="3:14">
      <c r="C765" s="4">
        <f>Pressure!AB765*1000000</f>
        <v>4977900.8072047792</v>
      </c>
      <c r="D765" s="78">
        <f>Pressure!I765</f>
        <v>8.1256230789298584E-5</v>
      </c>
      <c r="E765" s="40">
        <f>Pressure!H765</f>
        <v>81.256230789298584</v>
      </c>
      <c r="F765" s="10">
        <f t="shared" si="94"/>
        <v>4.5</v>
      </c>
      <c r="G765" s="4">
        <f t="shared" si="93"/>
        <v>210952.97434028378</v>
      </c>
      <c r="H765" s="42">
        <f t="shared" si="95"/>
        <v>7.9212198244353873</v>
      </c>
      <c r="I765" s="10">
        <f t="shared" si="96"/>
        <v>1.1942482032985968</v>
      </c>
      <c r="J765" s="4">
        <f t="shared" si="97"/>
        <v>483.05603008736318</v>
      </c>
      <c r="K765" s="4">
        <f t="shared" si="91"/>
        <v>108.59584328208335</v>
      </c>
      <c r="L765" s="42">
        <f>Pressure!Q765</f>
        <v>0.35651736931530376</v>
      </c>
      <c r="M765" s="10">
        <f t="shared" si="92"/>
        <v>0.23281891724632908</v>
      </c>
      <c r="N765" s="10">
        <f t="shared" si="98"/>
        <v>2.5992897854448858</v>
      </c>
    </row>
    <row r="766" spans="3:14">
      <c r="C766" s="4">
        <f>Pressure!AB766*1000000</f>
        <v>4977122.3989754375</v>
      </c>
      <c r="D766" s="78">
        <f>Pressure!I766</f>
        <v>8.1256230789298584E-5</v>
      </c>
      <c r="E766" s="40">
        <f>Pressure!H766</f>
        <v>81.256230789298584</v>
      </c>
      <c r="F766" s="10">
        <f t="shared" si="94"/>
        <v>4.5</v>
      </c>
      <c r="G766" s="4">
        <f t="shared" si="93"/>
        <v>210919.9870354759</v>
      </c>
      <c r="H766" s="42">
        <f t="shared" si="95"/>
        <v>7.9202518617990858</v>
      </c>
      <c r="I766" s="10">
        <f t="shared" si="96"/>
        <v>1.1942339236754316</v>
      </c>
      <c r="J766" s="4">
        <f t="shared" si="97"/>
        <v>482.9747182723043</v>
      </c>
      <c r="K766" s="4">
        <f t="shared" si="91"/>
        <v>108.57756357005178</v>
      </c>
      <c r="L766" s="42">
        <f>Pressure!Q766</f>
        <v>0.35699932367893467</v>
      </c>
      <c r="M766" s="10">
        <f t="shared" si="92"/>
        <v>0.23279136728678756</v>
      </c>
      <c r="N766" s="10">
        <f t="shared" si="98"/>
        <v>2.5992897854448858</v>
      </c>
    </row>
    <row r="767" spans="3:14">
      <c r="C767" s="4">
        <f>Pressure!AB767*1000000</f>
        <v>4976341.4988273038</v>
      </c>
      <c r="D767" s="78">
        <f>Pressure!I767</f>
        <v>8.1256230789298584E-5</v>
      </c>
      <c r="E767" s="40">
        <f>Pressure!H767</f>
        <v>81.256230789298584</v>
      </c>
      <c r="F767" s="10">
        <f t="shared" si="94"/>
        <v>4.5</v>
      </c>
      <c r="G767" s="4">
        <f t="shared" si="93"/>
        <v>210886.8941283868</v>
      </c>
      <c r="H767" s="42">
        <f t="shared" si="95"/>
        <v>7.9192807734737585</v>
      </c>
      <c r="I767" s="10">
        <f t="shared" si="96"/>
        <v>1.1942195938501363</v>
      </c>
      <c r="J767" s="4">
        <f t="shared" si="97"/>
        <v>482.89314615367681</v>
      </c>
      <c r="K767" s="4">
        <f t="shared" si="91"/>
        <v>108.55922533916569</v>
      </c>
      <c r="L767" s="42">
        <f>Pressure!Q767</f>
        <v>0.35748130208633588</v>
      </c>
      <c r="M767" s="10">
        <f t="shared" si="92"/>
        <v>0.23276372752802491</v>
      </c>
      <c r="N767" s="10">
        <f t="shared" si="98"/>
        <v>2.5992897854448858</v>
      </c>
    </row>
    <row r="768" spans="3:14">
      <c r="C768" s="4">
        <f>Pressure!AB768*1000000</f>
        <v>4975558.1070823865</v>
      </c>
      <c r="D768" s="78">
        <f>Pressure!I768</f>
        <v>8.1256230789298584E-5</v>
      </c>
      <c r="E768" s="40">
        <f>Pressure!H768</f>
        <v>81.256230789298584</v>
      </c>
      <c r="F768" s="10">
        <f t="shared" si="94"/>
        <v>4.5</v>
      </c>
      <c r="G768" s="4">
        <f t="shared" si="93"/>
        <v>210853.69563266251</v>
      </c>
      <c r="H768" s="42">
        <f t="shared" si="95"/>
        <v>7.9183065595962248</v>
      </c>
      <c r="I768" s="10">
        <f t="shared" si="96"/>
        <v>1.1942052137834547</v>
      </c>
      <c r="J768" s="4">
        <f t="shared" si="97"/>
        <v>482.8113137651174</v>
      </c>
      <c r="K768" s="4">
        <f t="shared" si="91"/>
        <v>108.54082859698697</v>
      </c>
      <c r="L768" s="42">
        <f>Pressure!Q768</f>
        <v>0.35796330461946307</v>
      </c>
      <c r="M768" s="10">
        <f t="shared" si="92"/>
        <v>0.23273599796654207</v>
      </c>
      <c r="N768" s="10">
        <f t="shared" si="98"/>
        <v>2.5992897854448858</v>
      </c>
    </row>
    <row r="769" spans="3:14">
      <c r="C769" s="4">
        <f>Pressure!AB769*1000000</f>
        <v>4974772.2240636982</v>
      </c>
      <c r="D769" s="78">
        <f>Pressure!I769</f>
        <v>8.1256230789298584E-5</v>
      </c>
      <c r="E769" s="40">
        <f>Pressure!H769</f>
        <v>81.256230789298584</v>
      </c>
      <c r="F769" s="10">
        <f t="shared" si="94"/>
        <v>4.5</v>
      </c>
      <c r="G769" s="4">
        <f t="shared" si="93"/>
        <v>210820.39156199162</v>
      </c>
      <c r="H769" s="42">
        <f t="shared" si="95"/>
        <v>7.9173292203036754</v>
      </c>
      <c r="I769" s="10">
        <f t="shared" si="96"/>
        <v>1.1941907834359773</v>
      </c>
      <c r="J769" s="4">
        <f t="shared" si="97"/>
        <v>482.72922114036766</v>
      </c>
      <c r="K769" s="4">
        <f t="shared" si="91"/>
        <v>108.52237335110104</v>
      </c>
      <c r="L769" s="42">
        <f>Pressure!Q769</f>
        <v>0.35844533136031159</v>
      </c>
      <c r="M769" s="10">
        <f t="shared" si="92"/>
        <v>0.23270817859881282</v>
      </c>
      <c r="N769" s="10">
        <f t="shared" si="98"/>
        <v>2.5992897854448858</v>
      </c>
    </row>
    <row r="770" spans="3:14">
      <c r="C770" s="4">
        <f>Pressure!AB770*1000000</f>
        <v>4973983.8500956986</v>
      </c>
      <c r="D770" s="78">
        <f>Pressure!I770</f>
        <v>8.1256230789298584E-5</v>
      </c>
      <c r="E770" s="40">
        <f>Pressure!H770</f>
        <v>81.256230789298584</v>
      </c>
      <c r="F770" s="10">
        <f t="shared" si="94"/>
        <v>4.5</v>
      </c>
      <c r="G770" s="4">
        <f t="shared" si="93"/>
        <v>210786.98193012408</v>
      </c>
      <c r="H770" s="42">
        <f t="shared" si="95"/>
        <v>7.9163487557341989</v>
      </c>
      <c r="I770" s="10">
        <f t="shared" si="96"/>
        <v>1.1941763027681491</v>
      </c>
      <c r="J770" s="4">
        <f t="shared" si="97"/>
        <v>482.64686831332034</v>
      </c>
      <c r="K770" s="4">
        <f t="shared" si="91"/>
        <v>108.50385960912736</v>
      </c>
      <c r="L770" s="42">
        <f>Pressure!Q770</f>
        <v>0.35892738239091648</v>
      </c>
      <c r="M770" s="10">
        <f t="shared" si="92"/>
        <v>0.23268026942123479</v>
      </c>
      <c r="N770" s="10">
        <f t="shared" si="98"/>
        <v>2.5992897854448858</v>
      </c>
    </row>
    <row r="771" spans="3:14">
      <c r="C771" s="4">
        <f>Pressure!AB771*1000000</f>
        <v>4973192.9855036307</v>
      </c>
      <c r="D771" s="78">
        <f>Pressure!I771</f>
        <v>8.1256230789298584E-5</v>
      </c>
      <c r="E771" s="40">
        <f>Pressure!H771</f>
        <v>81.256230789298584</v>
      </c>
      <c r="F771" s="10">
        <f t="shared" si="94"/>
        <v>4.5</v>
      </c>
      <c r="G771" s="4">
        <f t="shared" si="93"/>
        <v>210753.46675084293</v>
      </c>
      <c r="H771" s="42">
        <f t="shared" si="95"/>
        <v>7.9153651660259987</v>
      </c>
      <c r="I771" s="10">
        <f t="shared" si="96"/>
        <v>1.1941617717402566</v>
      </c>
      <c r="J771" s="4">
        <f t="shared" si="97"/>
        <v>482.56425531795003</v>
      </c>
      <c r="K771" s="4">
        <f t="shared" si="91"/>
        <v>108.48528737870376</v>
      </c>
      <c r="L771" s="42">
        <f>Pressure!Q771</f>
        <v>0.35940945779335287</v>
      </c>
      <c r="M771" s="10">
        <f t="shared" si="92"/>
        <v>0.23265227043031156</v>
      </c>
      <c r="N771" s="10">
        <f t="shared" si="98"/>
        <v>2.5992897854448858</v>
      </c>
    </row>
    <row r="772" spans="3:14">
      <c r="C772" s="4">
        <f>Pressure!AB772*1000000</f>
        <v>4972399.6306140712</v>
      </c>
      <c r="D772" s="78">
        <f>Pressure!I772</f>
        <v>8.1256230789298584E-5</v>
      </c>
      <c r="E772" s="40">
        <f>Pressure!H772</f>
        <v>81.256230789298584</v>
      </c>
      <c r="F772" s="10">
        <f t="shared" si="94"/>
        <v>4.5</v>
      </c>
      <c r="G772" s="4">
        <f t="shared" si="93"/>
        <v>210719.84603798788</v>
      </c>
      <c r="H772" s="42">
        <f t="shared" si="95"/>
        <v>7.9143784513180426</v>
      </c>
      <c r="I772" s="10">
        <f t="shared" si="96"/>
        <v>1.1941471903124385</v>
      </c>
      <c r="J772" s="4">
        <f t="shared" si="97"/>
        <v>482.48138218837067</v>
      </c>
      <c r="K772" s="4">
        <f t="shared" si="91"/>
        <v>108.46665666749936</v>
      </c>
      <c r="L772" s="42">
        <f>Pressure!Q772</f>
        <v>0.3598915576497359</v>
      </c>
      <c r="M772" s="10">
        <f t="shared" si="92"/>
        <v>0.23262418162243517</v>
      </c>
      <c r="N772" s="10">
        <f t="shared" si="98"/>
        <v>2.5992897854448858</v>
      </c>
    </row>
    <row r="773" spans="3:14">
      <c r="C773" s="4">
        <f>Pressure!AB773*1000000</f>
        <v>4971603.7857548492</v>
      </c>
      <c r="D773" s="78">
        <f>Pressure!I773</f>
        <v>8.1256230789298584E-5</v>
      </c>
      <c r="E773" s="40">
        <f>Pressure!H773</f>
        <v>81.256230789298584</v>
      </c>
      <c r="F773" s="10">
        <f t="shared" si="94"/>
        <v>4.5</v>
      </c>
      <c r="G773" s="4">
        <f t="shared" si="93"/>
        <v>210686.1198054516</v>
      </c>
      <c r="H773" s="42">
        <f t="shared" si="95"/>
        <v>7.9133886117499657</v>
      </c>
      <c r="I773" s="10">
        <f t="shared" si="96"/>
        <v>1.1941325584446834</v>
      </c>
      <c r="J773" s="4">
        <f t="shared" si="97"/>
        <v>482.39824895882691</v>
      </c>
      <c r="K773" s="4">
        <f t="shared" si="91"/>
        <v>108.44796748321274</v>
      </c>
      <c r="L773" s="42">
        <f>Pressure!Q773</f>
        <v>0.36037368204222098</v>
      </c>
      <c r="M773" s="10">
        <f t="shared" si="92"/>
        <v>0.23259600299403183</v>
      </c>
      <c r="N773" s="10">
        <f t="shared" si="98"/>
        <v>2.5992897854448858</v>
      </c>
    </row>
    <row r="774" spans="3:14">
      <c r="C774" s="4">
        <f>Pressure!AB774*1000000</f>
        <v>4970805.4512546817</v>
      </c>
      <c r="D774" s="78">
        <f>Pressure!I774</f>
        <v>8.1256230789298584E-5</v>
      </c>
      <c r="E774" s="40">
        <f>Pressure!H774</f>
        <v>81.256230789298584</v>
      </c>
      <c r="F774" s="10">
        <f t="shared" si="94"/>
        <v>4.5</v>
      </c>
      <c r="G774" s="4">
        <f t="shared" si="93"/>
        <v>210652.28806716445</v>
      </c>
      <c r="H774" s="42">
        <f t="shared" si="95"/>
        <v>7.9123956474616426</v>
      </c>
      <c r="I774" s="10">
        <f t="shared" si="96"/>
        <v>1.1941178760968225</v>
      </c>
      <c r="J774" s="4">
        <f t="shared" si="97"/>
        <v>482.31485566365637</v>
      </c>
      <c r="K774" s="4">
        <f t="shared" si="91"/>
        <v>108.42921983356332</v>
      </c>
      <c r="L774" s="42">
        <f>Pressure!Q774</f>
        <v>0.36085583105300395</v>
      </c>
      <c r="M774" s="10">
        <f t="shared" si="92"/>
        <v>0.2325677345415505</v>
      </c>
      <c r="N774" s="10">
        <f t="shared" si="98"/>
        <v>2.5992897854448858</v>
      </c>
    </row>
    <row r="775" spans="3:14">
      <c r="C775" s="4">
        <f>Pressure!AB775*1000000</f>
        <v>4970004.6274435408</v>
      </c>
      <c r="D775" s="78">
        <f>Pressure!I775</f>
        <v>8.1256230789298584E-5</v>
      </c>
      <c r="E775" s="40">
        <f>Pressure!H775</f>
        <v>81.256230789298584</v>
      </c>
      <c r="F775" s="10">
        <f t="shared" si="94"/>
        <v>4.5</v>
      </c>
      <c r="G775" s="4">
        <f t="shared" si="93"/>
        <v>210618.35083710993</v>
      </c>
      <c r="H775" s="42">
        <f t="shared" si="95"/>
        <v>7.9113995585936063</v>
      </c>
      <c r="I775" s="10">
        <f t="shared" si="96"/>
        <v>1.1941031432285367</v>
      </c>
      <c r="J775" s="4">
        <f t="shared" si="97"/>
        <v>482.23120233732749</v>
      </c>
      <c r="K775" s="4">
        <f t="shared" si="91"/>
        <v>108.41041372629996</v>
      </c>
      <c r="L775" s="42">
        <f>Pressure!Q775</f>
        <v>0.36133800476432121</v>
      </c>
      <c r="M775" s="10">
        <f t="shared" si="92"/>
        <v>0.23253937626138255</v>
      </c>
      <c r="N775" s="10">
        <f t="shared" si="98"/>
        <v>2.5992897854448858</v>
      </c>
    </row>
    <row r="776" spans="3:14">
      <c r="C776" s="4">
        <f>Pressure!AB776*1000000</f>
        <v>4969201.3146526013</v>
      </c>
      <c r="D776" s="78">
        <f>Pressure!I776</f>
        <v>8.1256230789298584E-5</v>
      </c>
      <c r="E776" s="40">
        <f>Pressure!H776</f>
        <v>81.256230789298584</v>
      </c>
      <c r="F776" s="10">
        <f t="shared" si="94"/>
        <v>4.5</v>
      </c>
      <c r="G776" s="4">
        <f t="shared" si="93"/>
        <v>210584.30812932254</v>
      </c>
      <c r="H776" s="42">
        <f t="shared" si="95"/>
        <v>7.9104003452870169</v>
      </c>
      <c r="I776" s="10">
        <f t="shared" si="96"/>
        <v>1.1940883597993555</v>
      </c>
      <c r="J776" s="4">
        <f t="shared" si="97"/>
        <v>482.14728901443448</v>
      </c>
      <c r="K776" s="4">
        <f t="shared" si="91"/>
        <v>108.39154916919979</v>
      </c>
      <c r="L776" s="42">
        <f>Pressure!Q776</f>
        <v>0.36182020325844971</v>
      </c>
      <c r="M776" s="10">
        <f t="shared" si="92"/>
        <v>0.23251092814986962</v>
      </c>
      <c r="N776" s="10">
        <f t="shared" si="98"/>
        <v>2.5992897854448858</v>
      </c>
    </row>
    <row r="777" spans="3:14">
      <c r="C777" s="4">
        <f>Pressure!AB777*1000000</f>
        <v>4968395.5132142082</v>
      </c>
      <c r="D777" s="78">
        <f>Pressure!I777</f>
        <v>8.1256230789298584E-5</v>
      </c>
      <c r="E777" s="40">
        <f>Pressure!H777</f>
        <v>81.256230789298584</v>
      </c>
      <c r="F777" s="10">
        <f t="shared" si="94"/>
        <v>4.5</v>
      </c>
      <c r="G777" s="4">
        <f t="shared" si="93"/>
        <v>210550.15995788635</v>
      </c>
      <c r="H777" s="42">
        <f t="shared" si="95"/>
        <v>7.9093980076835972</v>
      </c>
      <c r="I777" s="10">
        <f t="shared" si="96"/>
        <v>1.1940735257686552</v>
      </c>
      <c r="J777" s="4">
        <f t="shared" si="97"/>
        <v>482.063115729694</v>
      </c>
      <c r="K777" s="4">
        <f t="shared" si="91"/>
        <v>108.37262617006745</v>
      </c>
      <c r="L777" s="42">
        <f>Pressure!Q777</f>
        <v>0.3623024266177074</v>
      </c>
      <c r="M777" s="10">
        <f t="shared" si="92"/>
        <v>0.2324823902034619</v>
      </c>
      <c r="N777" s="10">
        <f t="shared" si="98"/>
        <v>2.5992897854448858</v>
      </c>
    </row>
    <row r="778" spans="3:14">
      <c r="C778" s="4">
        <f>Pressure!AB778*1000000</f>
        <v>4967587.2234616149</v>
      </c>
      <c r="D778" s="78">
        <f>Pressure!I778</f>
        <v>8.1256230789298584E-5</v>
      </c>
      <c r="E778" s="40">
        <f>Pressure!H778</f>
        <v>81.256230789298584</v>
      </c>
      <c r="F778" s="10">
        <f t="shared" si="94"/>
        <v>4.5</v>
      </c>
      <c r="G778" s="4">
        <f t="shared" si="93"/>
        <v>210515.90633692397</v>
      </c>
      <c r="H778" s="42">
        <f t="shared" si="95"/>
        <v>7.9083925459253246</v>
      </c>
      <c r="I778" s="10">
        <f t="shared" si="96"/>
        <v>1.1940586410956548</v>
      </c>
      <c r="J778" s="4">
        <f t="shared" si="97"/>
        <v>481.97868251791721</v>
      </c>
      <c r="K778" s="4">
        <f t="shared" si="91"/>
        <v>108.35364473672884</v>
      </c>
      <c r="L778" s="42">
        <f>Pressure!Q778</f>
        <v>0.3627846749244531</v>
      </c>
      <c r="M778" s="10">
        <f t="shared" si="92"/>
        <v>0.2324537624184965</v>
      </c>
      <c r="N778" s="10">
        <f t="shared" si="98"/>
        <v>2.5992897854448858</v>
      </c>
    </row>
    <row r="779" spans="3:14">
      <c r="C779" s="4">
        <f>Pressure!AB779*1000000</f>
        <v>4966776.4457295621</v>
      </c>
      <c r="D779" s="78">
        <f>Pressure!I779</f>
        <v>8.1256230789298584E-5</v>
      </c>
      <c r="E779" s="40">
        <f>Pressure!H779</f>
        <v>81.256230789298584</v>
      </c>
      <c r="F779" s="10">
        <f t="shared" si="94"/>
        <v>4.5</v>
      </c>
      <c r="G779" s="4">
        <f t="shared" si="93"/>
        <v>210481.54728062099</v>
      </c>
      <c r="H779" s="42">
        <f t="shared" si="95"/>
        <v>7.9073839601551263</v>
      </c>
      <c r="I779" s="10">
        <f t="shared" si="96"/>
        <v>1.1940437057394258</v>
      </c>
      <c r="J779" s="4">
        <f t="shared" si="97"/>
        <v>481.8939894140708</v>
      </c>
      <c r="K779" s="4">
        <f t="shared" si="91"/>
        <v>108.33460487704482</v>
      </c>
      <c r="L779" s="42">
        <f>Pressure!Q779</f>
        <v>0.3632669482610868</v>
      </c>
      <c r="M779" s="10">
        <f t="shared" si="92"/>
        <v>0.23242504479133899</v>
      </c>
      <c r="N779" s="10">
        <f t="shared" si="98"/>
        <v>2.5992897854448858</v>
      </c>
    </row>
    <row r="780" spans="3:14">
      <c r="C780" s="4">
        <f>Pressure!AB780*1000000</f>
        <v>4965963.1803536853</v>
      </c>
      <c r="D780" s="78">
        <f>Pressure!I780</f>
        <v>8.1256230789298584E-5</v>
      </c>
      <c r="E780" s="40">
        <f>Pressure!H780</f>
        <v>81.256230789298584</v>
      </c>
      <c r="F780" s="10">
        <f t="shared" si="94"/>
        <v>4.5</v>
      </c>
      <c r="G780" s="4">
        <f t="shared" si="93"/>
        <v>210447.08280320093</v>
      </c>
      <c r="H780" s="42">
        <f t="shared" si="95"/>
        <v>7.906372250516168</v>
      </c>
      <c r="I780" s="10">
        <f t="shared" si="96"/>
        <v>1.1940287196588808</v>
      </c>
      <c r="J780" s="4">
        <f t="shared" si="97"/>
        <v>481.80903645321501</v>
      </c>
      <c r="K780" s="4">
        <f t="shared" si="91"/>
        <v>108.31550659889731</v>
      </c>
      <c r="L780" s="42">
        <f>Pressure!Q780</f>
        <v>0.36374924671004971</v>
      </c>
      <c r="M780" s="10">
        <f t="shared" si="92"/>
        <v>0.2323962373183297</v>
      </c>
      <c r="N780" s="10">
        <f t="shared" si="98"/>
        <v>2.5992897854448858</v>
      </c>
    </row>
    <row r="781" spans="3:14">
      <c r="C781" s="4">
        <f>Pressure!AB781*1000000</f>
        <v>4965147.4276709985</v>
      </c>
      <c r="D781" s="78">
        <f>Pressure!I781</f>
        <v>8.1256230789298584E-5</v>
      </c>
      <c r="E781" s="40">
        <f>Pressure!H781</f>
        <v>81.256230789298584</v>
      </c>
      <c r="F781" s="10">
        <f t="shared" si="94"/>
        <v>4.5</v>
      </c>
      <c r="G781" s="4">
        <f t="shared" si="93"/>
        <v>210412.51291894575</v>
      </c>
      <c r="H781" s="42">
        <f t="shared" si="95"/>
        <v>7.9053574171524428</v>
      </c>
      <c r="I781" s="10">
        <f t="shared" si="96"/>
        <v>1.1940136828127834</v>
      </c>
      <c r="J781" s="4">
        <f t="shared" si="97"/>
        <v>481.72382367055405</v>
      </c>
      <c r="K781" s="4">
        <f t="shared" si="91"/>
        <v>108.29634991020055</v>
      </c>
      <c r="L781" s="42">
        <f>Pressure!Q781</f>
        <v>0.36423157035382447</v>
      </c>
      <c r="M781" s="10">
        <f t="shared" si="92"/>
        <v>0.23236733999580741</v>
      </c>
      <c r="N781" s="10">
        <f t="shared" si="98"/>
        <v>2.5992897854448858</v>
      </c>
    </row>
    <row r="782" spans="3:14">
      <c r="C782" s="4">
        <f>Pressure!AB782*1000000</f>
        <v>4964329.1880192989</v>
      </c>
      <c r="D782" s="78">
        <f>Pressure!I782</f>
        <v>8.1256230789298584E-5</v>
      </c>
      <c r="E782" s="40">
        <f>Pressure!H782</f>
        <v>81.256230789298584</v>
      </c>
      <c r="F782" s="10">
        <f t="shared" si="94"/>
        <v>4.5</v>
      </c>
      <c r="G782" s="4">
        <f t="shared" si="93"/>
        <v>210377.83764217058</v>
      </c>
      <c r="H782" s="42">
        <f t="shared" si="95"/>
        <v>7.9043394602080381</v>
      </c>
      <c r="I782" s="10">
        <f t="shared" si="96"/>
        <v>1.1939985951597354</v>
      </c>
      <c r="J782" s="4">
        <f t="shared" si="97"/>
        <v>481.63835110137398</v>
      </c>
      <c r="K782" s="4">
        <f t="shared" si="91"/>
        <v>108.27713481888719</v>
      </c>
      <c r="L782" s="42">
        <f>Pressure!Q782</f>
        <v>0.36471391927493535</v>
      </c>
      <c r="M782" s="10">
        <f t="shared" si="92"/>
        <v>0.23233835282013313</v>
      </c>
      <c r="N782" s="10">
        <f t="shared" si="98"/>
        <v>2.5992897854448858</v>
      </c>
    </row>
    <row r="783" spans="3:14">
      <c r="C783" s="4">
        <f>Pressure!AB783*1000000</f>
        <v>4963508.4617379233</v>
      </c>
      <c r="D783" s="78">
        <f>Pressure!I783</f>
        <v>8.1256230789298584E-5</v>
      </c>
      <c r="E783" s="40">
        <f>Pressure!H783</f>
        <v>81.256230789298584</v>
      </c>
      <c r="F783" s="10">
        <f t="shared" si="94"/>
        <v>4.5</v>
      </c>
      <c r="G783" s="4">
        <f t="shared" si="93"/>
        <v>210343.05698725581</v>
      </c>
      <c r="H783" s="42">
        <f t="shared" si="95"/>
        <v>7.9033183798280575</v>
      </c>
      <c r="I783" s="10">
        <f t="shared" si="96"/>
        <v>1.1939834566581908</v>
      </c>
      <c r="J783" s="4">
        <f t="shared" si="97"/>
        <v>481.5526187811214</v>
      </c>
      <c r="K783" s="4">
        <f t="shared" ref="K783:K846" si="99">J783/4.4482</f>
        <v>108.257861332926</v>
      </c>
      <c r="L783" s="42">
        <f>Pressure!Q783</f>
        <v>0.36519629355594829</v>
      </c>
      <c r="M783" s="10">
        <f t="shared" ref="M783:M846" si="100">(J783+J782)/2*(L783-L782)</f>
        <v>0.23230927578761387</v>
      </c>
      <c r="N783" s="10">
        <f t="shared" si="98"/>
        <v>2.5992897854448858</v>
      </c>
    </row>
    <row r="784" spans="3:14">
      <c r="C784" s="4">
        <f>Pressure!AB784*1000000</f>
        <v>4962685.2491671117</v>
      </c>
      <c r="D784" s="78">
        <f>Pressure!I784</f>
        <v>8.1256230789298584E-5</v>
      </c>
      <c r="E784" s="40">
        <f>Pressure!H784</f>
        <v>81.256230789298584</v>
      </c>
      <c r="F784" s="10">
        <f t="shared" si="94"/>
        <v>4.5</v>
      </c>
      <c r="G784" s="4">
        <f t="shared" si="93"/>
        <v>210308.17096862005</v>
      </c>
      <c r="H784" s="42">
        <f t="shared" si="95"/>
        <v>7.9022941761578531</v>
      </c>
      <c r="I784" s="10">
        <f t="shared" si="96"/>
        <v>1.1939682672664451</v>
      </c>
      <c r="J784" s="4">
        <f t="shared" si="97"/>
        <v>481.46662674533769</v>
      </c>
      <c r="K784" s="4">
        <f t="shared" si="99"/>
        <v>108.23852946030702</v>
      </c>
      <c r="L784" s="42">
        <f>Pressure!Q784</f>
        <v>0.36567869327947106</v>
      </c>
      <c r="M784" s="10">
        <f t="shared" si="100"/>
        <v>0.23228010889453232</v>
      </c>
      <c r="N784" s="10">
        <f t="shared" si="98"/>
        <v>2.5992897854448858</v>
      </c>
    </row>
    <row r="785" spans="3:14">
      <c r="C785" s="4">
        <f>Pressure!AB785*1000000</f>
        <v>4961859.5506483736</v>
      </c>
      <c r="D785" s="78">
        <f>Pressure!I785</f>
        <v>8.1256230789298584E-5</v>
      </c>
      <c r="E785" s="40">
        <f>Pressure!H785</f>
        <v>81.256230789298584</v>
      </c>
      <c r="F785" s="10">
        <f t="shared" si="94"/>
        <v>4.5</v>
      </c>
      <c r="G785" s="4">
        <f t="shared" si="93"/>
        <v>210273.17960073581</v>
      </c>
      <c r="H785" s="42">
        <f t="shared" si="95"/>
        <v>7.9012668493434637</v>
      </c>
      <c r="I785" s="10">
        <f t="shared" si="96"/>
        <v>1.1939530269426397</v>
      </c>
      <c r="J785" s="4">
        <f t="shared" si="97"/>
        <v>481.38037502969644</v>
      </c>
      <c r="K785" s="4">
        <f t="shared" si="99"/>
        <v>108.21913920905006</v>
      </c>
      <c r="L785" s="42">
        <f>Pressure!Q785</f>
        <v>0.36616111852815347</v>
      </c>
      <c r="M785" s="10">
        <f t="shared" si="100"/>
        <v>0.23225085213722002</v>
      </c>
      <c r="N785" s="10">
        <f t="shared" si="98"/>
        <v>2.5992897854448858</v>
      </c>
    </row>
    <row r="786" spans="3:14">
      <c r="C786" s="4">
        <f>Pressure!AB786*1000000</f>
        <v>4961031.3665242614</v>
      </c>
      <c r="D786" s="78">
        <f>Pressure!I786</f>
        <v>8.1256230789298584E-5</v>
      </c>
      <c r="E786" s="40">
        <f>Pressure!H786</f>
        <v>81.256230789298584</v>
      </c>
      <c r="F786" s="10">
        <f t="shared" si="94"/>
        <v>4.5</v>
      </c>
      <c r="G786" s="4">
        <f t="shared" si="93"/>
        <v>210238.08289811973</v>
      </c>
      <c r="H786" s="42">
        <f t="shared" si="95"/>
        <v>7.9002363995313454</v>
      </c>
      <c r="I786" s="10">
        <f t="shared" si="96"/>
        <v>1.1939377356447591</v>
      </c>
      <c r="J786" s="4">
        <f t="shared" si="97"/>
        <v>481.2938636699804</v>
      </c>
      <c r="K786" s="4">
        <f t="shared" si="99"/>
        <v>108.19969058719941</v>
      </c>
      <c r="L786" s="42">
        <f>Pressure!Q786</f>
        <v>0.36664356938468751</v>
      </c>
      <c r="M786" s="10">
        <f t="shared" si="100"/>
        <v>0.23222150551195386</v>
      </c>
      <c r="N786" s="10">
        <f t="shared" si="98"/>
        <v>2.5992897854448858</v>
      </c>
    </row>
    <row r="787" spans="3:14">
      <c r="C787" s="4">
        <f>Pressure!AB787*1000000</f>
        <v>4960200.6971387286</v>
      </c>
      <c r="D787" s="78">
        <f>Pressure!I787</f>
        <v>8.1256230789298584E-5</v>
      </c>
      <c r="E787" s="40">
        <f>Pressure!H787</f>
        <v>81.256230789298584</v>
      </c>
      <c r="F787" s="10">
        <f t="shared" si="94"/>
        <v>4.5</v>
      </c>
      <c r="G787" s="4">
        <f t="shared" si="93"/>
        <v>210202.88087534779</v>
      </c>
      <c r="H787" s="42">
        <f t="shared" si="95"/>
        <v>7.8992028268687973</v>
      </c>
      <c r="I787" s="10">
        <f t="shared" si="96"/>
        <v>1.1939223933306364</v>
      </c>
      <c r="J787" s="4">
        <f t="shared" si="97"/>
        <v>481.20709270211864</v>
      </c>
      <c r="K787" s="4">
        <f t="shared" si="99"/>
        <v>108.1801836028323</v>
      </c>
      <c r="L787" s="42">
        <f>Pressure!Q787</f>
        <v>0.36712604593180737</v>
      </c>
      <c r="M787" s="10">
        <f t="shared" si="100"/>
        <v>0.23219206901498615</v>
      </c>
      <c r="N787" s="10">
        <f t="shared" si="98"/>
        <v>2.5992897854448858</v>
      </c>
    </row>
    <row r="788" spans="3:14">
      <c r="C788" s="4">
        <f>Pressure!AB788*1000000</f>
        <v>4959367.5428364947</v>
      </c>
      <c r="D788" s="78">
        <f>Pressure!I788</f>
        <v>8.1256230789298584E-5</v>
      </c>
      <c r="E788" s="40">
        <f>Pressure!H788</f>
        <v>81.256230789298584</v>
      </c>
      <c r="F788" s="10">
        <f t="shared" si="94"/>
        <v>4.5</v>
      </c>
      <c r="G788" s="4">
        <f t="shared" si="93"/>
        <v>210167.57354702856</v>
      </c>
      <c r="H788" s="42">
        <f t="shared" si="95"/>
        <v>7.8981661315031957</v>
      </c>
      <c r="I788" s="10">
        <f t="shared" si="96"/>
        <v>1.1939069999579419</v>
      </c>
      <c r="J788" s="4">
        <f t="shared" si="97"/>
        <v>481.1200621621204</v>
      </c>
      <c r="K788" s="4">
        <f t="shared" si="99"/>
        <v>108.16061826404398</v>
      </c>
      <c r="L788" s="42">
        <f>Pressure!Q788</f>
        <v>0.36760854825228984</v>
      </c>
      <c r="M788" s="10">
        <f t="shared" si="100"/>
        <v>0.23216254264264413</v>
      </c>
      <c r="N788" s="10">
        <f t="shared" si="98"/>
        <v>2.5992897854448858</v>
      </c>
    </row>
    <row r="789" spans="3:14">
      <c r="C789" s="4">
        <f>Pressure!AB789*1000000</f>
        <v>4958531.9039637744</v>
      </c>
      <c r="D789" s="78">
        <f>Pressure!I789</f>
        <v>8.1256230789298584E-5</v>
      </c>
      <c r="E789" s="40">
        <f>Pressure!H789</f>
        <v>81.256230789298584</v>
      </c>
      <c r="F789" s="10">
        <f t="shared" si="94"/>
        <v>4.5</v>
      </c>
      <c r="G789" s="4">
        <f t="shared" si="93"/>
        <v>210132.16092783381</v>
      </c>
      <c r="H789" s="42">
        <f t="shared" si="95"/>
        <v>7.8971263135828877</v>
      </c>
      <c r="I789" s="10">
        <f t="shared" si="96"/>
        <v>1.1938915554841951</v>
      </c>
      <c r="J789" s="4">
        <f t="shared" si="97"/>
        <v>481.03277208615077</v>
      </c>
      <c r="K789" s="4">
        <f t="shared" si="99"/>
        <v>108.14099457896469</v>
      </c>
      <c r="L789" s="42">
        <f>Pressure!Q789</f>
        <v>0.36809107642895417</v>
      </c>
      <c r="M789" s="10">
        <f t="shared" si="100"/>
        <v>0.23213292639111871</v>
      </c>
      <c r="N789" s="10">
        <f t="shared" si="98"/>
        <v>2.5992897854448858</v>
      </c>
    </row>
    <row r="790" spans="3:14">
      <c r="C790" s="4">
        <f>Pressure!AB790*1000000</f>
        <v>4957693.7808677461</v>
      </c>
      <c r="D790" s="78">
        <f>Pressure!I790</f>
        <v>8.1256230789298584E-5</v>
      </c>
      <c r="E790" s="40">
        <f>Pressure!H790</f>
        <v>81.256230789298584</v>
      </c>
      <c r="F790" s="10">
        <f t="shared" si="94"/>
        <v>4.5</v>
      </c>
      <c r="G790" s="4">
        <f t="shared" si="93"/>
        <v>210096.64303247631</v>
      </c>
      <c r="H790" s="42">
        <f t="shared" si="95"/>
        <v>7.8960833732565172</v>
      </c>
      <c r="I790" s="10">
        <f t="shared" si="96"/>
        <v>1.1938760598667562</v>
      </c>
      <c r="J790" s="4">
        <f t="shared" si="97"/>
        <v>480.94522251047579</v>
      </c>
      <c r="K790" s="4">
        <f t="shared" si="99"/>
        <v>108.12131255574745</v>
      </c>
      <c r="L790" s="42">
        <f>Pressure!Q790</f>
        <v>0.36857363054466241</v>
      </c>
      <c r="M790" s="10">
        <f t="shared" si="100"/>
        <v>0.23210322025668287</v>
      </c>
      <c r="N790" s="10">
        <f t="shared" si="98"/>
        <v>2.5992897854448858</v>
      </c>
    </row>
    <row r="791" spans="3:14">
      <c r="C791" s="4">
        <f>Pressure!AB791*1000000</f>
        <v>4956853.1738968017</v>
      </c>
      <c r="D791" s="78">
        <f>Pressure!I791</f>
        <v>8.1256230789298584E-5</v>
      </c>
      <c r="E791" s="40">
        <f>Pressure!H791</f>
        <v>81.256230789298584</v>
      </c>
      <c r="F791" s="10">
        <f t="shared" si="94"/>
        <v>4.5</v>
      </c>
      <c r="G791" s="4">
        <f t="shared" si="93"/>
        <v>210061.01987572009</v>
      </c>
      <c r="H791" s="42">
        <f t="shared" si="95"/>
        <v>7.8950373106733673</v>
      </c>
      <c r="I791" s="10">
        <f t="shared" si="96"/>
        <v>1.193860513062829</v>
      </c>
      <c r="J791" s="4">
        <f t="shared" si="97"/>
        <v>480.85741347148814</v>
      </c>
      <c r="K791" s="4">
        <f t="shared" si="99"/>
        <v>108.10157220257366</v>
      </c>
      <c r="L791" s="42">
        <f>Pressure!Q791</f>
        <v>0.36905621068231959</v>
      </c>
      <c r="M791" s="10">
        <f t="shared" si="100"/>
        <v>0.23207342423560431</v>
      </c>
      <c r="N791" s="10">
        <f t="shared" si="98"/>
        <v>2.5992897854448858</v>
      </c>
    </row>
    <row r="792" spans="3:14">
      <c r="C792" s="4">
        <f>Pressure!AB792*1000000</f>
        <v>4956010.0834005522</v>
      </c>
      <c r="D792" s="78">
        <f>Pressure!I792</f>
        <v>8.1256230789298584E-5</v>
      </c>
      <c r="E792" s="40">
        <f>Pressure!H792</f>
        <v>81.256230789298584</v>
      </c>
      <c r="F792" s="10">
        <f t="shared" si="94"/>
        <v>4.5</v>
      </c>
      <c r="G792" s="4">
        <f t="shared" si="93"/>
        <v>210025.29147238098</v>
      </c>
      <c r="H792" s="42">
        <f t="shared" si="95"/>
        <v>7.8939881259833413</v>
      </c>
      <c r="I792" s="10">
        <f t="shared" si="96"/>
        <v>1.1938449150294614</v>
      </c>
      <c r="J792" s="4">
        <f t="shared" si="97"/>
        <v>480.76934500570775</v>
      </c>
      <c r="K792" s="4">
        <f t="shared" si="99"/>
        <v>108.08177352765338</v>
      </c>
      <c r="L792" s="42">
        <f>Pressure!Q792</f>
        <v>0.36953881692487361</v>
      </c>
      <c r="M792" s="10">
        <f t="shared" si="100"/>
        <v>0.23204353832404509</v>
      </c>
      <c r="N792" s="10">
        <f t="shared" si="98"/>
        <v>2.5992897854448858</v>
      </c>
    </row>
    <row r="793" spans="3:14">
      <c r="C793" s="4">
        <f>Pressure!AB793*1000000</f>
        <v>4955164.5097296666</v>
      </c>
      <c r="D793" s="78">
        <f>Pressure!I793</f>
        <v>8.1256230789298584E-5</v>
      </c>
      <c r="E793" s="40">
        <f>Pressure!H793</f>
        <v>81.256230789298584</v>
      </c>
      <c r="F793" s="10">
        <f t="shared" si="94"/>
        <v>4.5</v>
      </c>
      <c r="G793" s="4">
        <f t="shared" si="93"/>
        <v>209989.45783731961</v>
      </c>
      <c r="H793" s="42">
        <f t="shared" si="95"/>
        <v>7.8929358193367731</v>
      </c>
      <c r="I793" s="10">
        <f t="shared" si="96"/>
        <v>1.1938292657235428</v>
      </c>
      <c r="J793" s="4">
        <f t="shared" si="97"/>
        <v>480.68101714976535</v>
      </c>
      <c r="K793" s="4">
        <f t="shared" si="99"/>
        <v>108.06191653922157</v>
      </c>
      <c r="L793" s="42">
        <f>Pressure!Q793</f>
        <v>0.37002144935531572</v>
      </c>
      <c r="M793" s="10">
        <f t="shared" si="100"/>
        <v>0.23201356251827107</v>
      </c>
      <c r="N793" s="10">
        <f t="shared" si="98"/>
        <v>2.5992897854448858</v>
      </c>
    </row>
    <row r="794" spans="3:14">
      <c r="C794" s="4">
        <f>Pressure!AB794*1000000</f>
        <v>4954316.4532359177</v>
      </c>
      <c r="D794" s="78">
        <f>Pressure!I794</f>
        <v>8.1256230789298584E-5</v>
      </c>
      <c r="E794" s="40">
        <f>Pressure!H794</f>
        <v>81.256230789298584</v>
      </c>
      <c r="F794" s="10">
        <f t="shared" si="94"/>
        <v>4.5</v>
      </c>
      <c r="G794" s="4">
        <f t="shared" si="93"/>
        <v>209953.51898544331</v>
      </c>
      <c r="H794" s="42">
        <f t="shared" si="95"/>
        <v>7.8918803908844728</v>
      </c>
      <c r="I794" s="10">
        <f t="shared" si="96"/>
        <v>1.1938135651018025</v>
      </c>
      <c r="J794" s="4">
        <f t="shared" si="97"/>
        <v>480.5924299404067</v>
      </c>
      <c r="K794" s="4">
        <f t="shared" si="99"/>
        <v>108.04200124553903</v>
      </c>
      <c r="L794" s="42">
        <f>Pressure!Q794</f>
        <v>0.37050410805668049</v>
      </c>
      <c r="M794" s="10">
        <f t="shared" si="100"/>
        <v>0.2319834968144886</v>
      </c>
      <c r="N794" s="10">
        <f t="shared" si="98"/>
        <v>2.5992897854448858</v>
      </c>
    </row>
    <row r="795" spans="3:14">
      <c r="C795" s="4">
        <f>Pressure!AB795*1000000</f>
        <v>4953465.9142724164</v>
      </c>
      <c r="D795" s="78">
        <f>Pressure!I795</f>
        <v>8.1256230789298584E-5</v>
      </c>
      <c r="E795" s="40">
        <f>Pressure!H795</f>
        <v>81.256230789298584</v>
      </c>
      <c r="F795" s="10">
        <f t="shared" si="94"/>
        <v>4.5</v>
      </c>
      <c r="G795" s="4">
        <f t="shared" si="93"/>
        <v>209917.47493171625</v>
      </c>
      <c r="H795" s="42">
        <f t="shared" si="95"/>
        <v>7.8908218407780302</v>
      </c>
      <c r="I795" s="10">
        <f t="shared" si="96"/>
        <v>1.1937978131208162</v>
      </c>
      <c r="J795" s="4">
        <f t="shared" si="97"/>
        <v>480.50358341451755</v>
      </c>
      <c r="K795" s="4">
        <f t="shared" si="99"/>
        <v>108.02202765489807</v>
      </c>
      <c r="L795" s="42">
        <f>Pressure!Q795</f>
        <v>0.37098679311204591</v>
      </c>
      <c r="M795" s="10">
        <f t="shared" si="100"/>
        <v>0.23195334120885167</v>
      </c>
      <c r="N795" s="10">
        <f t="shared" si="98"/>
        <v>2.5992897854448858</v>
      </c>
    </row>
    <row r="796" spans="3:14">
      <c r="C796" s="4">
        <f>Pressure!AB796*1000000</f>
        <v>4952612.8931932757</v>
      </c>
      <c r="D796" s="78">
        <f>Pressure!I796</f>
        <v>8.1256230789298584E-5</v>
      </c>
      <c r="E796" s="40">
        <f>Pressure!H796</f>
        <v>81.256230789298584</v>
      </c>
      <c r="F796" s="10">
        <f t="shared" si="94"/>
        <v>4.5</v>
      </c>
      <c r="G796" s="4">
        <f t="shared" ref="G796:G862" si="101">IF(C796/(1+(k-1)/2*N796^2)^(k/(k-1))&lt;patm*1000000,patm*1000000,C796/(1+(k-1)/2*N796^2)^(k/(k-1)))</f>
        <v>209881.32569114497</v>
      </c>
      <c r="H796" s="42">
        <f t="shared" si="95"/>
        <v>7.8897601691693886</v>
      </c>
      <c r="I796" s="10">
        <f t="shared" si="96"/>
        <v>1.1937820097369982</v>
      </c>
      <c r="J796" s="4">
        <f t="shared" si="97"/>
        <v>480.41447760908812</v>
      </c>
      <c r="K796" s="4">
        <f t="shared" si="99"/>
        <v>108.00199577561443</v>
      </c>
      <c r="L796" s="42">
        <f>Pressure!Q796</f>
        <v>0.37146950460453365</v>
      </c>
      <c r="M796" s="10">
        <f t="shared" si="100"/>
        <v>0.23192309569756583</v>
      </c>
      <c r="N796" s="10">
        <f t="shared" si="98"/>
        <v>2.5992897854448858</v>
      </c>
    </row>
    <row r="797" spans="3:14">
      <c r="C797" s="4">
        <f>Pressure!AB797*1000000</f>
        <v>4951757.3903539358</v>
      </c>
      <c r="D797" s="78">
        <f>Pressure!I797</f>
        <v>8.1256230789298584E-5</v>
      </c>
      <c r="E797" s="40">
        <f>Pressure!H797</f>
        <v>81.256230789298584</v>
      </c>
      <c r="F797" s="10">
        <f t="shared" ref="F797:F860" si="102">aexit/E797</f>
        <v>4.5</v>
      </c>
      <c r="G797" s="4">
        <f t="shared" si="101"/>
        <v>209845.07127879225</v>
      </c>
      <c r="H797" s="42">
        <f t="shared" ref="H797:H860" si="103">1/(((k+1)/2)^(1/(k-1))*(patm*1000000/C797)^(1/k)*SQRT((k+1)/(k-1)*(1-(patm*1000000/C797)^((k-1)/k))))</f>
        <v>7.8886953762112642</v>
      </c>
      <c r="I797" s="10">
        <f t="shared" ref="I797:I860" si="104">etanoz*SQRT(2*k^2/(k-1)*(2/(k+1))^((k+1)/(k-1))*(1-(G797/C797)^((k-1)/k)))+(G797-patm*1000000)/C797*(aexit/E797)</f>
        <v>1.1937661549066072</v>
      </c>
      <c r="J797" s="4">
        <f t="shared" ref="J797:J860" si="105">I797*D797*C797</f>
        <v>480.32511256124747</v>
      </c>
      <c r="K797" s="4">
        <f t="shared" si="99"/>
        <v>107.98190561603514</v>
      </c>
      <c r="L797" s="42">
        <f>Pressure!Q797</f>
        <v>0.37195224261730919</v>
      </c>
      <c r="M797" s="10">
        <f t="shared" si="100"/>
        <v>0.23189276027680772</v>
      </c>
      <c r="N797" s="10">
        <f t="shared" si="98"/>
        <v>2.5992897854448858</v>
      </c>
    </row>
    <row r="798" spans="3:14">
      <c r="C798" s="4">
        <f>Pressure!AB798*1000000</f>
        <v>4950899.4061107524</v>
      </c>
      <c r="D798" s="78">
        <f>Pressure!I798</f>
        <v>8.1256230789298584E-5</v>
      </c>
      <c r="E798" s="40">
        <f>Pressure!H798</f>
        <v>81.256230789298584</v>
      </c>
      <c r="F798" s="10">
        <f t="shared" si="102"/>
        <v>4.5</v>
      </c>
      <c r="G798" s="4">
        <f t="shared" si="101"/>
        <v>209808.71170975972</v>
      </c>
      <c r="H798" s="42">
        <f t="shared" si="103"/>
        <v>7.8876274620565976</v>
      </c>
      <c r="I798" s="10">
        <f t="shared" si="104"/>
        <v>1.1937502485857381</v>
      </c>
      <c r="J798" s="4">
        <f t="shared" si="105"/>
        <v>480.23548830822006</v>
      </c>
      <c r="K798" s="4">
        <f t="shared" si="99"/>
        <v>107.96175718452859</v>
      </c>
      <c r="L798" s="42">
        <f>Pressure!Q798</f>
        <v>0.37243500723358197</v>
      </c>
      <c r="M798" s="10">
        <f t="shared" si="100"/>
        <v>0.23186233494274947</v>
      </c>
      <c r="N798" s="10">
        <f t="shared" ref="N798:N861" si="106">N797-1/834*(me-mef)</f>
        <v>2.5992897854448858</v>
      </c>
    </row>
    <row r="799" spans="3:14">
      <c r="C799" s="4">
        <f>Pressure!AB799*1000000</f>
        <v>4950038.9408214251</v>
      </c>
      <c r="D799" s="78">
        <f>Pressure!I799</f>
        <v>8.1256230789298584E-5</v>
      </c>
      <c r="E799" s="40">
        <f>Pressure!H799</f>
        <v>81.256230789298584</v>
      </c>
      <c r="F799" s="10">
        <f t="shared" si="102"/>
        <v>4.5</v>
      </c>
      <c r="G799" s="4">
        <f t="shared" si="101"/>
        <v>209772.24699920593</v>
      </c>
      <c r="H799" s="42">
        <f t="shared" si="103"/>
        <v>7.8865564268591317</v>
      </c>
      <c r="I799" s="10">
        <f t="shared" si="104"/>
        <v>1.1937342907303308</v>
      </c>
      <c r="J799" s="4">
        <f t="shared" si="105"/>
        <v>480.14560488737089</v>
      </c>
      <c r="K799" s="4">
        <f t="shared" si="99"/>
        <v>107.94155048949483</v>
      </c>
      <c r="L799" s="42">
        <f>Pressure!Q799</f>
        <v>0.3729177985366055</v>
      </c>
      <c r="M799" s="10">
        <f t="shared" si="100"/>
        <v>0.23183181969153227</v>
      </c>
      <c r="N799" s="10">
        <f t="shared" si="106"/>
        <v>2.5992897854448858</v>
      </c>
    </row>
    <row r="800" spans="3:14">
      <c r="C800" s="4">
        <f>Pressure!AB800*1000000</f>
        <v>4949175.9948447449</v>
      </c>
      <c r="D800" s="78">
        <f>Pressure!I800</f>
        <v>8.1256230789298584E-5</v>
      </c>
      <c r="E800" s="40">
        <f>Pressure!H800</f>
        <v>81.256230789298584</v>
      </c>
      <c r="F800" s="10">
        <f t="shared" si="102"/>
        <v>4.5</v>
      </c>
      <c r="G800" s="4">
        <f t="shared" si="101"/>
        <v>209735.67716233572</v>
      </c>
      <c r="H800" s="42">
        <f t="shared" si="103"/>
        <v>7.8854822707730747</v>
      </c>
      <c r="I800" s="10">
        <f t="shared" si="104"/>
        <v>1.193718281296164</v>
      </c>
      <c r="J800" s="4">
        <f t="shared" si="105"/>
        <v>480.05546233617906</v>
      </c>
      <c r="K800" s="4">
        <f t="shared" si="99"/>
        <v>107.92128553935953</v>
      </c>
      <c r="L800" s="42">
        <f>Pressure!Q800</f>
        <v>0.37340061660967749</v>
      </c>
      <c r="M800" s="10">
        <f t="shared" si="100"/>
        <v>0.2318012145192708</v>
      </c>
      <c r="N800" s="10">
        <f t="shared" si="106"/>
        <v>2.5992897854448858</v>
      </c>
    </row>
    <row r="801" spans="3:14">
      <c r="C801" s="4">
        <f>Pressure!AB801*1000000</f>
        <v>4948310.5685407417</v>
      </c>
      <c r="D801" s="78">
        <f>Pressure!I801</f>
        <v>8.1256230789298584E-5</v>
      </c>
      <c r="E801" s="40">
        <f>Pressure!H801</f>
        <v>81.256230789298584</v>
      </c>
      <c r="F801" s="10">
        <f t="shared" si="102"/>
        <v>4.5</v>
      </c>
      <c r="G801" s="4">
        <f t="shared" si="101"/>
        <v>209699.00221440633</v>
      </c>
      <c r="H801" s="42">
        <f t="shared" si="103"/>
        <v>7.8844049939532717</v>
      </c>
      <c r="I801" s="10">
        <f t="shared" si="104"/>
        <v>1.1937022202388581</v>
      </c>
      <c r="J801" s="4">
        <f t="shared" si="105"/>
        <v>479.96506069225285</v>
      </c>
      <c r="K801" s="4">
        <f t="shared" si="99"/>
        <v>107.90096234257742</v>
      </c>
      <c r="L801" s="42">
        <f>Pressure!Q801</f>
        <v>0.37388346153614016</v>
      </c>
      <c r="M801" s="10">
        <f t="shared" si="100"/>
        <v>0.23177051942215696</v>
      </c>
      <c r="N801" s="10">
        <f t="shared" si="106"/>
        <v>2.5992897854448858</v>
      </c>
    </row>
    <row r="802" spans="3:14">
      <c r="C802" s="4">
        <f>Pressure!AB802*1000000</f>
        <v>4947442.6622704268</v>
      </c>
      <c r="D802" s="78">
        <f>Pressure!I802</f>
        <v>8.1256230789298584E-5</v>
      </c>
      <c r="E802" s="40">
        <f>Pressure!H802</f>
        <v>81.256230789298584</v>
      </c>
      <c r="F802" s="10">
        <f t="shared" si="102"/>
        <v>4.5</v>
      </c>
      <c r="G802" s="4">
        <f t="shared" si="101"/>
        <v>209662.22217071673</v>
      </c>
      <c r="H802" s="42">
        <f t="shared" si="103"/>
        <v>7.8833245965549024</v>
      </c>
      <c r="I802" s="10">
        <f t="shared" si="104"/>
        <v>1.1936861075138705</v>
      </c>
      <c r="J802" s="4">
        <f t="shared" si="105"/>
        <v>479.87439999330331</v>
      </c>
      <c r="K802" s="4">
        <f t="shared" si="99"/>
        <v>107.8805809076263</v>
      </c>
      <c r="L802" s="42">
        <f>Pressure!Q802</f>
        <v>0.37436633339938014</v>
      </c>
      <c r="M802" s="10">
        <f t="shared" si="100"/>
        <v>0.23173973439624376</v>
      </c>
      <c r="N802" s="10">
        <f t="shared" si="106"/>
        <v>2.5992897854448858</v>
      </c>
    </row>
    <row r="803" spans="3:14">
      <c r="C803" s="4">
        <f>Pressure!AB803*1000000</f>
        <v>4946572.2763962289</v>
      </c>
      <c r="D803" s="78">
        <f>Pressure!I803</f>
        <v>8.1256230789298584E-5</v>
      </c>
      <c r="E803" s="40">
        <f>Pressure!H803</f>
        <v>81.256230789298584</v>
      </c>
      <c r="F803" s="10">
        <f t="shared" si="102"/>
        <v>4.5</v>
      </c>
      <c r="G803" s="4">
        <f t="shared" si="101"/>
        <v>209625.33704662585</v>
      </c>
      <c r="H803" s="42">
        <f t="shared" si="103"/>
        <v>7.882241078734018</v>
      </c>
      <c r="I803" s="10">
        <f t="shared" si="104"/>
        <v>1.1936699430765021</v>
      </c>
      <c r="J803" s="4">
        <f t="shared" si="105"/>
        <v>479.7834802771892</v>
      </c>
      <c r="K803" s="4">
        <f t="shared" si="99"/>
        <v>107.86014124301722</v>
      </c>
      <c r="L803" s="42">
        <f>Pressure!Q803</f>
        <v>0.37484923228282885</v>
      </c>
      <c r="M803" s="10">
        <f t="shared" si="100"/>
        <v>0.23170885943768951</v>
      </c>
      <c r="N803" s="10">
        <f t="shared" si="106"/>
        <v>2.5992897854448858</v>
      </c>
    </row>
    <row r="804" spans="3:14">
      <c r="C804" s="4">
        <f>Pressure!AB804*1000000</f>
        <v>4945699.4112815047</v>
      </c>
      <c r="D804" s="78">
        <f>Pressure!I804</f>
        <v>8.1256230789298584E-5</v>
      </c>
      <c r="E804" s="40">
        <f>Pressure!H804</f>
        <v>81.256230789298584</v>
      </c>
      <c r="F804" s="10">
        <f t="shared" si="102"/>
        <v>4.5</v>
      </c>
      <c r="G804" s="4">
        <f t="shared" si="101"/>
        <v>209588.34685753201</v>
      </c>
      <c r="H804" s="42">
        <f t="shared" si="103"/>
        <v>7.881154440646946</v>
      </c>
      <c r="I804" s="10">
        <f t="shared" si="104"/>
        <v>1.1936537268818899</v>
      </c>
      <c r="J804" s="4">
        <f t="shared" si="105"/>
        <v>479.69230158186662</v>
      </c>
      <c r="K804" s="4">
        <f t="shared" si="99"/>
        <v>107.83964335728308</v>
      </c>
      <c r="L804" s="42">
        <f>Pressure!Q804</f>
        <v>0.37533215826996252</v>
      </c>
      <c r="M804" s="10">
        <f t="shared" si="100"/>
        <v>0.23167789454256982</v>
      </c>
      <c r="N804" s="10">
        <f t="shared" si="106"/>
        <v>2.5992897854448858</v>
      </c>
    </row>
    <row r="805" spans="3:14">
      <c r="C805" s="4">
        <f>Pressure!AB805*1000000</f>
        <v>4944824.0672909422</v>
      </c>
      <c r="D805" s="78">
        <f>Pressure!I805</f>
        <v>8.1256230789298584E-5</v>
      </c>
      <c r="E805" s="40">
        <f>Pressure!H805</f>
        <v>81.256230789298584</v>
      </c>
      <c r="F805" s="10">
        <f t="shared" si="102"/>
        <v>4.5</v>
      </c>
      <c r="G805" s="4">
        <f t="shared" si="101"/>
        <v>209551.25161888989</v>
      </c>
      <c r="H805" s="42">
        <f t="shared" si="103"/>
        <v>7.8800646824507439</v>
      </c>
      <c r="I805" s="10">
        <f t="shared" si="104"/>
        <v>1.193637458885012</v>
      </c>
      <c r="J805" s="4">
        <f t="shared" si="105"/>
        <v>479.60086394543032</v>
      </c>
      <c r="K805" s="4">
        <f t="shared" si="99"/>
        <v>107.81908725898798</v>
      </c>
      <c r="L805" s="42">
        <f>Pressure!Q805</f>
        <v>0.37581511144430246</v>
      </c>
      <c r="M805" s="10">
        <f t="shared" si="100"/>
        <v>0.23164683970700856</v>
      </c>
      <c r="N805" s="10">
        <f t="shared" si="106"/>
        <v>2.5992897854448858</v>
      </c>
    </row>
    <row r="806" spans="3:14">
      <c r="C806" s="4">
        <f>Pressure!AB806*1000000</f>
        <v>4943946.2447902188</v>
      </c>
      <c r="D806" s="78">
        <f>Pressure!I806</f>
        <v>8.1256230789298584E-5</v>
      </c>
      <c r="E806" s="40">
        <f>Pressure!H806</f>
        <v>81.256230789298584</v>
      </c>
      <c r="F806" s="10">
        <f t="shared" si="102"/>
        <v>4.5</v>
      </c>
      <c r="G806" s="4">
        <f t="shared" si="101"/>
        <v>209514.05134619615</v>
      </c>
      <c r="H806" s="42">
        <f t="shared" si="103"/>
        <v>7.8789718043028403</v>
      </c>
      <c r="I806" s="10">
        <f t="shared" si="104"/>
        <v>1.1936211390406832</v>
      </c>
      <c r="J806" s="4">
        <f t="shared" si="105"/>
        <v>479.50916740607903</v>
      </c>
      <c r="K806" s="4">
        <f t="shared" si="99"/>
        <v>107.79847295671935</v>
      </c>
      <c r="L806" s="42">
        <f>Pressure!Q806</f>
        <v>0.37629809188941499</v>
      </c>
      <c r="M806" s="10">
        <f t="shared" si="100"/>
        <v>0.2316156949270195</v>
      </c>
      <c r="N806" s="10">
        <f t="shared" si="106"/>
        <v>2.5992897854448858</v>
      </c>
    </row>
    <row r="807" spans="3:14">
      <c r="C807" s="4">
        <f>Pressure!AB807*1000000</f>
        <v>4943065.9441463724</v>
      </c>
      <c r="D807" s="78">
        <f>Pressure!I807</f>
        <v>8.1256230789298584E-5</v>
      </c>
      <c r="E807" s="40">
        <f>Pressure!H807</f>
        <v>81.256230789298584</v>
      </c>
      <c r="F807" s="10">
        <f t="shared" si="102"/>
        <v>4.5</v>
      </c>
      <c r="G807" s="4">
        <f t="shared" si="101"/>
        <v>209476.74605500506</v>
      </c>
      <c r="H807" s="42">
        <f t="shared" si="103"/>
        <v>7.8778758063614411</v>
      </c>
      <c r="I807" s="10">
        <f t="shared" si="104"/>
        <v>1.193604767303559</v>
      </c>
      <c r="J807" s="4">
        <f t="shared" si="105"/>
        <v>479.41721200215267</v>
      </c>
      <c r="K807" s="4">
        <f t="shared" si="99"/>
        <v>107.77780045909641</v>
      </c>
      <c r="L807" s="42">
        <f>Pressure!Q807</f>
        <v>0.37678109968891188</v>
      </c>
      <c r="M807" s="10">
        <f t="shared" si="100"/>
        <v>0.23158446019874629</v>
      </c>
      <c r="N807" s="10">
        <f t="shared" si="106"/>
        <v>2.5992897854448858</v>
      </c>
    </row>
    <row r="808" spans="3:14">
      <c r="C808" s="4">
        <f>Pressure!AB808*1000000</f>
        <v>4942183.1657274244</v>
      </c>
      <c r="D808" s="78">
        <f>Pressure!I808</f>
        <v>8.1256230789298584E-5</v>
      </c>
      <c r="E808" s="40">
        <f>Pressure!H808</f>
        <v>81.256230789298584</v>
      </c>
      <c r="F808" s="10">
        <f t="shared" si="102"/>
        <v>4.5</v>
      </c>
      <c r="G808" s="4">
        <f t="shared" si="101"/>
        <v>209439.33576091263</v>
      </c>
      <c r="H808" s="42">
        <f t="shared" si="103"/>
        <v>7.8767766887850978</v>
      </c>
      <c r="I808" s="10">
        <f t="shared" si="104"/>
        <v>1.1935883436281309</v>
      </c>
      <c r="J808" s="4">
        <f t="shared" si="105"/>
        <v>479.32499777209489</v>
      </c>
      <c r="K808" s="4">
        <f t="shared" si="99"/>
        <v>107.75706977476167</v>
      </c>
      <c r="L808" s="42">
        <f>Pressure!Q808</f>
        <v>0.37726413492645028</v>
      </c>
      <c r="M808" s="10">
        <f t="shared" si="100"/>
        <v>0.23155313551819634</v>
      </c>
      <c r="N808" s="10">
        <f t="shared" si="106"/>
        <v>2.5992897854448858</v>
      </c>
    </row>
    <row r="809" spans="3:14">
      <c r="C809" s="4">
        <f>Pressure!AB809*1000000</f>
        <v>4941297.9099027216</v>
      </c>
      <c r="D809" s="78">
        <f>Pressure!I809</f>
        <v>8.1256230789298584E-5</v>
      </c>
      <c r="E809" s="40">
        <f>Pressure!H809</f>
        <v>81.256230789298584</v>
      </c>
      <c r="F809" s="10">
        <f t="shared" si="102"/>
        <v>4.5</v>
      </c>
      <c r="G809" s="4">
        <f t="shared" si="101"/>
        <v>209401.82047957098</v>
      </c>
      <c r="H809" s="42">
        <f t="shared" si="103"/>
        <v>7.875674451733099</v>
      </c>
      <c r="I809" s="10">
        <f t="shared" si="104"/>
        <v>1.1935718679687306</v>
      </c>
      <c r="J809" s="4">
        <f t="shared" si="105"/>
        <v>479.23252475448703</v>
      </c>
      <c r="K809" s="4">
        <f t="shared" si="99"/>
        <v>107.73628091238862</v>
      </c>
      <c r="L809" s="42">
        <f>Pressure!Q809</f>
        <v>0.37774719768573295</v>
      </c>
      <c r="M809" s="10">
        <f t="shared" si="100"/>
        <v>0.23152172088142578</v>
      </c>
      <c r="N809" s="10">
        <f t="shared" si="106"/>
        <v>2.5992897854448858</v>
      </c>
    </row>
    <row r="810" spans="3:14">
      <c r="C810" s="4">
        <f>Pressure!AB810*1000000</f>
        <v>4940410.1770426519</v>
      </c>
      <c r="D810" s="78">
        <f>Pressure!I810</f>
        <v>8.1256230789298584E-5</v>
      </c>
      <c r="E810" s="40">
        <f>Pressure!H810</f>
        <v>81.256230789298584</v>
      </c>
      <c r="F810" s="10">
        <f t="shared" si="102"/>
        <v>4.5</v>
      </c>
      <c r="G810" s="4">
        <f t="shared" si="101"/>
        <v>209364.20022667639</v>
      </c>
      <c r="H810" s="42">
        <f t="shared" si="103"/>
        <v>7.874569095365155</v>
      </c>
      <c r="I810" s="10">
        <f t="shared" si="104"/>
        <v>1.1935553402795251</v>
      </c>
      <c r="J810" s="4">
        <f t="shared" si="105"/>
        <v>479.13979298801962</v>
      </c>
      <c r="K810" s="4">
        <f t="shared" si="99"/>
        <v>107.71543388067525</v>
      </c>
      <c r="L810" s="42">
        <f>Pressure!Q810</f>
        <v>0.3782302880505084</v>
      </c>
      <c r="M810" s="10">
        <f t="shared" si="100"/>
        <v>0.23149021628446118</v>
      </c>
      <c r="N810" s="10">
        <f t="shared" si="106"/>
        <v>2.5992897854448858</v>
      </c>
    </row>
    <row r="811" spans="3:14">
      <c r="C811" s="4">
        <f>Pressure!AB811*1000000</f>
        <v>4939519.9675189313</v>
      </c>
      <c r="D811" s="78">
        <f>Pressure!I811</f>
        <v>8.1256230789298584E-5</v>
      </c>
      <c r="E811" s="40">
        <f>Pressure!H811</f>
        <v>81.256230789298584</v>
      </c>
      <c r="F811" s="10">
        <f t="shared" si="102"/>
        <v>4.5</v>
      </c>
      <c r="G811" s="4">
        <f t="shared" si="101"/>
        <v>209326.47501798134</v>
      </c>
      <c r="H811" s="42">
        <f t="shared" si="103"/>
        <v>7.8734606198417163</v>
      </c>
      <c r="I811" s="10">
        <f t="shared" si="104"/>
        <v>1.1935387605145218</v>
      </c>
      <c r="J811" s="4">
        <f t="shared" si="105"/>
        <v>479.04680251152178</v>
      </c>
      <c r="K811" s="4">
        <f t="shared" si="99"/>
        <v>107.69452868835074</v>
      </c>
      <c r="L811" s="42">
        <f>Pressure!Q811</f>
        <v>0.3787134061045711</v>
      </c>
      <c r="M811" s="10">
        <f t="shared" si="100"/>
        <v>0.23145862172335258</v>
      </c>
      <c r="N811" s="10">
        <f t="shared" si="106"/>
        <v>2.5992897854448858</v>
      </c>
    </row>
    <row r="812" spans="3:14">
      <c r="C812" s="4">
        <f>Pressure!AB812*1000000</f>
        <v>4938627.2817041837</v>
      </c>
      <c r="D812" s="78">
        <f>Pressure!I812</f>
        <v>8.1256230789298584E-5</v>
      </c>
      <c r="E812" s="40">
        <f>Pressure!H812</f>
        <v>81.256230789298584</v>
      </c>
      <c r="F812" s="10">
        <f t="shared" si="102"/>
        <v>4.5</v>
      </c>
      <c r="G812" s="4">
        <f t="shared" si="101"/>
        <v>209288.64486927693</v>
      </c>
      <c r="H812" s="42">
        <f t="shared" si="103"/>
        <v>7.8723490253234756</v>
      </c>
      <c r="I812" s="10">
        <f t="shared" si="104"/>
        <v>1.1935221286275597</v>
      </c>
      <c r="J812" s="4">
        <f t="shared" si="105"/>
        <v>478.95355336391725</v>
      </c>
      <c r="K812" s="4">
        <f t="shared" si="99"/>
        <v>107.67356534416557</v>
      </c>
      <c r="L812" s="42">
        <f>Pressure!Q812</f>
        <v>0.37919655193176161</v>
      </c>
      <c r="M812" s="10">
        <f t="shared" si="100"/>
        <v>0.23142693719411661</v>
      </c>
      <c r="N812" s="10">
        <f t="shared" si="106"/>
        <v>2.5992897854448858</v>
      </c>
    </row>
    <row r="813" spans="3:14">
      <c r="C813" s="4">
        <f>Pressure!AB813*1000000</f>
        <v>4937732.119972378</v>
      </c>
      <c r="D813" s="78">
        <f>Pressure!I813</f>
        <v>8.1256230789298584E-5</v>
      </c>
      <c r="E813" s="40">
        <f>Pressure!H813</f>
        <v>81.256230789298584</v>
      </c>
      <c r="F813" s="10">
        <f t="shared" si="102"/>
        <v>4.5</v>
      </c>
      <c r="G813" s="4">
        <f t="shared" si="101"/>
        <v>209250.70979641116</v>
      </c>
      <c r="H813" s="42">
        <f t="shared" si="103"/>
        <v>7.8712343119718975</v>
      </c>
      <c r="I813" s="10">
        <f t="shared" si="104"/>
        <v>1.1935054445723183</v>
      </c>
      <c r="J813" s="4">
        <f t="shared" si="105"/>
        <v>478.86004558427067</v>
      </c>
      <c r="K813" s="4">
        <f t="shared" si="99"/>
        <v>107.65254385690181</v>
      </c>
      <c r="L813" s="42">
        <f>Pressure!Q813</f>
        <v>0.37967972561596663</v>
      </c>
      <c r="M813" s="10">
        <f t="shared" si="100"/>
        <v>0.23139516269273722</v>
      </c>
      <c r="N813" s="10">
        <f t="shared" si="106"/>
        <v>2.5992897854448858</v>
      </c>
    </row>
    <row r="814" spans="3:14">
      <c r="C814" s="4">
        <f>Pressure!AB814*1000000</f>
        <v>4936834.482698706</v>
      </c>
      <c r="D814" s="78">
        <f>Pressure!I814</f>
        <v>8.1256230789298584E-5</v>
      </c>
      <c r="E814" s="40">
        <f>Pressure!H814</f>
        <v>81.256230789298584</v>
      </c>
      <c r="F814" s="10">
        <f t="shared" si="102"/>
        <v>4.5</v>
      </c>
      <c r="G814" s="4">
        <f t="shared" si="101"/>
        <v>209212.66981528382</v>
      </c>
      <c r="H814" s="42">
        <f t="shared" si="103"/>
        <v>7.8701164799490861</v>
      </c>
      <c r="I814" s="10">
        <f t="shared" si="104"/>
        <v>1.1934887083023145</v>
      </c>
      <c r="J814" s="4">
        <f t="shared" si="105"/>
        <v>478.7662792117743</v>
      </c>
      <c r="K814" s="4">
        <f t="shared" si="99"/>
        <v>107.63146423537033</v>
      </c>
      <c r="L814" s="42">
        <f>Pressure!Q814</f>
        <v>0.38016292724111933</v>
      </c>
      <c r="M814" s="10">
        <f t="shared" si="100"/>
        <v>0.23136329821522625</v>
      </c>
      <c r="N814" s="10">
        <f t="shared" si="106"/>
        <v>2.5992897854448858</v>
      </c>
    </row>
    <row r="815" spans="3:14">
      <c r="C815" s="4">
        <f>Pressure!AB815*1000000</f>
        <v>4935934.3702593371</v>
      </c>
      <c r="D815" s="78">
        <f>Pressure!I815</f>
        <v>8.1256230789298584E-5</v>
      </c>
      <c r="E815" s="40">
        <f>Pressure!H815</f>
        <v>81.256230789298584</v>
      </c>
      <c r="F815" s="10">
        <f t="shared" si="102"/>
        <v>4.5</v>
      </c>
      <c r="G815" s="4">
        <f t="shared" si="101"/>
        <v>209174.52494183622</v>
      </c>
      <c r="H815" s="42">
        <f t="shared" si="103"/>
        <v>7.8689955294174467</v>
      </c>
      <c r="I815" s="10">
        <f t="shared" si="104"/>
        <v>1.1934719197708967</v>
      </c>
      <c r="J815" s="4">
        <f t="shared" si="105"/>
        <v>478.67225428572226</v>
      </c>
      <c r="K815" s="4">
        <f t="shared" si="99"/>
        <v>107.61032648840481</v>
      </c>
      <c r="L815" s="42">
        <f>Pressure!Q815</f>
        <v>0.38064615689119935</v>
      </c>
      <c r="M815" s="10">
        <f t="shared" si="100"/>
        <v>0.23133134375756104</v>
      </c>
      <c r="N815" s="10">
        <f t="shared" si="106"/>
        <v>2.5992897854448858</v>
      </c>
    </row>
    <row r="816" spans="3:14">
      <c r="C816" s="4">
        <f>Pressure!AB816*1000000</f>
        <v>4935031.7830318091</v>
      </c>
      <c r="D816" s="78">
        <f>Pressure!I816</f>
        <v>8.1256230789298584E-5</v>
      </c>
      <c r="E816" s="40">
        <f>Pressure!H816</f>
        <v>81.256230789298584</v>
      </c>
      <c r="F816" s="10">
        <f t="shared" si="102"/>
        <v>4.5</v>
      </c>
      <c r="G816" s="4">
        <f t="shared" si="101"/>
        <v>209136.27519206758</v>
      </c>
      <c r="H816" s="42">
        <f t="shared" si="103"/>
        <v>7.8678714605402069</v>
      </c>
      <c r="I816" s="10">
        <f t="shared" si="104"/>
        <v>1.1934550789312539</v>
      </c>
      <c r="J816" s="4">
        <f t="shared" si="105"/>
        <v>478.57797084555199</v>
      </c>
      <c r="K816" s="4">
        <f t="shared" si="99"/>
        <v>107.58913062487119</v>
      </c>
      <c r="L816" s="42">
        <f>Pressure!Q816</f>
        <v>0.38112941465023298</v>
      </c>
      <c r="M816" s="10">
        <f t="shared" si="100"/>
        <v>0.23129929931568793</v>
      </c>
      <c r="N816" s="10">
        <f t="shared" si="106"/>
        <v>2.5992897854448858</v>
      </c>
    </row>
    <row r="817" spans="3:14">
      <c r="C817" s="4">
        <f>Pressure!AB817*1000000</f>
        <v>4934126.7213946627</v>
      </c>
      <c r="D817" s="78">
        <f>Pressure!I817</f>
        <v>8.1256230789298584E-5</v>
      </c>
      <c r="E817" s="40">
        <f>Pressure!H817</f>
        <v>81.256230789298584</v>
      </c>
      <c r="F817" s="10">
        <f t="shared" si="102"/>
        <v>4.5</v>
      </c>
      <c r="G817" s="4">
        <f t="shared" si="101"/>
        <v>209097.92058201972</v>
      </c>
      <c r="H817" s="42">
        <f t="shared" si="103"/>
        <v>7.8667442734809327</v>
      </c>
      <c r="I817" s="10">
        <f t="shared" si="104"/>
        <v>1.1934381857364063</v>
      </c>
      <c r="J817" s="4">
        <f t="shared" si="105"/>
        <v>478.4834289308053</v>
      </c>
      <c r="K817" s="4">
        <f t="shared" si="99"/>
        <v>107.56787665365886</v>
      </c>
      <c r="L817" s="42">
        <f>Pressure!Q817</f>
        <v>0.38161270060229341</v>
      </c>
      <c r="M817" s="10">
        <f t="shared" si="100"/>
        <v>0.23126716488560256</v>
      </c>
      <c r="N817" s="10">
        <f t="shared" si="106"/>
        <v>2.5992897854448858</v>
      </c>
    </row>
    <row r="818" spans="3:14">
      <c r="C818" s="4">
        <f>Pressure!AB818*1000000</f>
        <v>4933219.1857277714</v>
      </c>
      <c r="D818" s="78">
        <f>Pressure!I818</f>
        <v>8.1256230789298584E-5</v>
      </c>
      <c r="E818" s="40">
        <f>Pressure!H818</f>
        <v>81.256230789298584</v>
      </c>
      <c r="F818" s="10">
        <f t="shared" si="102"/>
        <v>4.5</v>
      </c>
      <c r="G818" s="4">
        <f t="shared" si="101"/>
        <v>209059.46112779083</v>
      </c>
      <c r="H818" s="42">
        <f t="shared" si="103"/>
        <v>7.8656139684039603</v>
      </c>
      <c r="I818" s="10">
        <f t="shared" si="104"/>
        <v>1.193421240139213</v>
      </c>
      <c r="J818" s="4">
        <f t="shared" si="105"/>
        <v>478.38862858116363</v>
      </c>
      <c r="K818" s="4">
        <f t="shared" si="99"/>
        <v>107.54656458368861</v>
      </c>
      <c r="L818" s="42">
        <f>Pressure!Q818</f>
        <v>0.38209601483150085</v>
      </c>
      <c r="M818" s="10">
        <f t="shared" si="100"/>
        <v>0.23123494046326878</v>
      </c>
      <c r="N818" s="10">
        <f t="shared" si="106"/>
        <v>2.5992897854448858</v>
      </c>
    </row>
    <row r="819" spans="3:14">
      <c r="C819" s="4">
        <f>Pressure!AB819*1000000</f>
        <v>4932309.1764120348</v>
      </c>
      <c r="D819" s="78">
        <f>Pressure!I819</f>
        <v>8.1256230789298584E-5</v>
      </c>
      <c r="E819" s="40">
        <f>Pressure!H819</f>
        <v>81.256230789298584</v>
      </c>
      <c r="F819" s="10">
        <f t="shared" si="102"/>
        <v>4.5</v>
      </c>
      <c r="G819" s="4">
        <f t="shared" si="101"/>
        <v>209020.89684552266</v>
      </c>
      <c r="H819" s="42">
        <f t="shared" si="103"/>
        <v>7.864480545474005</v>
      </c>
      <c r="I819" s="10">
        <f t="shared" si="104"/>
        <v>1.1934042420923645</v>
      </c>
      <c r="J819" s="4">
        <f t="shared" si="105"/>
        <v>478.29356983641526</v>
      </c>
      <c r="K819" s="4">
        <f t="shared" si="99"/>
        <v>107.52519442390523</v>
      </c>
      <c r="L819" s="42">
        <f>Pressure!Q819</f>
        <v>0.38257935742202254</v>
      </c>
      <c r="M819" s="10">
        <f t="shared" si="100"/>
        <v>0.23120262604456654</v>
      </c>
      <c r="N819" s="10">
        <f t="shared" si="106"/>
        <v>2.5992897854448858</v>
      </c>
    </row>
    <row r="820" spans="3:14">
      <c r="C820" s="4">
        <f>Pressure!AB820*1000000</f>
        <v>4931396.6938295402</v>
      </c>
      <c r="D820" s="78">
        <f>Pressure!I820</f>
        <v>8.1256230789298584E-5</v>
      </c>
      <c r="E820" s="40">
        <f>Pressure!H820</f>
        <v>81.256230789298584</v>
      </c>
      <c r="F820" s="10">
        <f t="shared" si="102"/>
        <v>4.5</v>
      </c>
      <c r="G820" s="4">
        <f t="shared" si="101"/>
        <v>208982.22775140725</v>
      </c>
      <c r="H820" s="42">
        <f t="shared" si="103"/>
        <v>7.8633440048563541</v>
      </c>
      <c r="I820" s="10">
        <f t="shared" si="104"/>
        <v>1.1933871915483865</v>
      </c>
      <c r="J820" s="4">
        <f t="shared" si="105"/>
        <v>478.1982527364728</v>
      </c>
      <c r="K820" s="4">
        <f t="shared" si="99"/>
        <v>107.50376618328151</v>
      </c>
      <c r="L820" s="42">
        <f>Pressure!Q820</f>
        <v>0.38306272845807315</v>
      </c>
      <c r="M820" s="10">
        <f t="shared" si="100"/>
        <v>0.23117022162549999</v>
      </c>
      <c r="N820" s="10">
        <f t="shared" si="106"/>
        <v>2.5992897854448858</v>
      </c>
    </row>
    <row r="821" spans="3:14">
      <c r="C821" s="4">
        <f>Pressure!AB821*1000000</f>
        <v>4930481.7383637121</v>
      </c>
      <c r="D821" s="78">
        <f>Pressure!I821</f>
        <v>8.1256230789298584E-5</v>
      </c>
      <c r="E821" s="40">
        <f>Pressure!H821</f>
        <v>81.256230789298584</v>
      </c>
      <c r="F821" s="10">
        <f t="shared" si="102"/>
        <v>4.5</v>
      </c>
      <c r="G821" s="4">
        <f t="shared" si="101"/>
        <v>208943.45386169336</v>
      </c>
      <c r="H821" s="42">
        <f t="shared" si="103"/>
        <v>7.8622043467170633</v>
      </c>
      <c r="I821" s="10">
        <f t="shared" si="104"/>
        <v>1.1933700884596417</v>
      </c>
      <c r="J821" s="4">
        <f t="shared" si="105"/>
        <v>478.1026773213884</v>
      </c>
      <c r="K821" s="4">
        <f t="shared" si="99"/>
        <v>107.48227987082154</v>
      </c>
      <c r="L821" s="42">
        <f>Pressure!Q821</f>
        <v>0.38354612802391475</v>
      </c>
      <c r="M821" s="10">
        <f t="shared" si="100"/>
        <v>0.23113772720194004</v>
      </c>
      <c r="N821" s="10">
        <f t="shared" si="106"/>
        <v>2.5992897854448858</v>
      </c>
    </row>
    <row r="822" spans="3:14">
      <c r="C822" s="4">
        <f>Pressure!AB822*1000000</f>
        <v>4929564.3103989353</v>
      </c>
      <c r="D822" s="78">
        <f>Pressure!I822</f>
        <v>8.1256230789298584E-5</v>
      </c>
      <c r="E822" s="40">
        <f>Pressure!H822</f>
        <v>81.256230789298584</v>
      </c>
      <c r="F822" s="10">
        <f t="shared" si="102"/>
        <v>4.5</v>
      </c>
      <c r="G822" s="4">
        <f t="shared" si="101"/>
        <v>208904.57519267037</v>
      </c>
      <c r="H822" s="42">
        <f t="shared" si="103"/>
        <v>7.8610615712224945</v>
      </c>
      <c r="I822" s="10">
        <f t="shared" si="104"/>
        <v>1.1933529327783221</v>
      </c>
      <c r="J822" s="4">
        <f t="shared" si="105"/>
        <v>478.00684363131444</v>
      </c>
      <c r="K822" s="4">
        <f t="shared" si="99"/>
        <v>107.46073549555202</v>
      </c>
      <c r="L822" s="42">
        <f>Pressure!Q822</f>
        <v>0.38402955620385698</v>
      </c>
      <c r="M822" s="10">
        <f t="shared" si="100"/>
        <v>0.23110514276980401</v>
      </c>
      <c r="N822" s="10">
        <f t="shared" si="106"/>
        <v>2.5992897854448858</v>
      </c>
    </row>
    <row r="823" spans="3:14">
      <c r="C823" s="4">
        <f>Pressure!AB823*1000000</f>
        <v>4928644.4103209022</v>
      </c>
      <c r="D823" s="78">
        <f>Pressure!I823</f>
        <v>8.1256230789298584E-5</v>
      </c>
      <c r="E823" s="40">
        <f>Pressure!H823</f>
        <v>81.256230789298584</v>
      </c>
      <c r="F823" s="10">
        <f t="shared" si="102"/>
        <v>4.5</v>
      </c>
      <c r="G823" s="4">
        <f t="shared" si="101"/>
        <v>208865.59176068311</v>
      </c>
      <c r="H823" s="42">
        <f t="shared" si="103"/>
        <v>7.8599156785397204</v>
      </c>
      <c r="I823" s="10">
        <f t="shared" si="104"/>
        <v>1.1933357244564564</v>
      </c>
      <c r="J823" s="4">
        <f t="shared" si="105"/>
        <v>477.91075170654005</v>
      </c>
      <c r="K823" s="4">
        <f t="shared" si="99"/>
        <v>107.43913306653029</v>
      </c>
      <c r="L823" s="42">
        <f>Pressure!Q823</f>
        <v>0.38451301308225733</v>
      </c>
      <c r="M823" s="10">
        <f t="shared" si="100"/>
        <v>0.23107246832500197</v>
      </c>
      <c r="N823" s="10">
        <f t="shared" si="106"/>
        <v>2.5992897854448858</v>
      </c>
    </row>
    <row r="824" spans="3:14">
      <c r="C824" s="4">
        <f>Pressure!AB824*1000000</f>
        <v>4927722.038516351</v>
      </c>
      <c r="D824" s="78">
        <f>Pressure!I824</f>
        <v>8.1256230789298584E-5</v>
      </c>
      <c r="E824" s="40">
        <f>Pressure!H824</f>
        <v>81.256230789298584</v>
      </c>
      <c r="F824" s="10">
        <f t="shared" si="102"/>
        <v>4.5</v>
      </c>
      <c r="G824" s="4">
        <f t="shared" si="101"/>
        <v>208826.50358212076</v>
      </c>
      <c r="H824" s="42">
        <f t="shared" si="103"/>
        <v>7.8587666688362283</v>
      </c>
      <c r="I824" s="10">
        <f t="shared" si="104"/>
        <v>1.193318463445904</v>
      </c>
      <c r="J824" s="4">
        <f t="shared" si="105"/>
        <v>477.81440158746364</v>
      </c>
      <c r="K824" s="4">
        <f t="shared" si="99"/>
        <v>107.41747259283837</v>
      </c>
      <c r="L824" s="42">
        <f>Pressure!Q824</f>
        <v>0.38499649874352121</v>
      </c>
      <c r="M824" s="10">
        <f t="shared" si="100"/>
        <v>0.23103970386343853</v>
      </c>
      <c r="N824" s="10">
        <f t="shared" si="106"/>
        <v>2.5992897854448858</v>
      </c>
    </row>
    <row r="825" spans="3:14">
      <c r="C825" s="4">
        <f>Pressure!AB825*1000000</f>
        <v>4926797.1953733861</v>
      </c>
      <c r="D825" s="78">
        <f>Pressure!I825</f>
        <v>8.1256230789298584E-5</v>
      </c>
      <c r="E825" s="40">
        <f>Pressure!H825</f>
        <v>81.256230789298584</v>
      </c>
      <c r="F825" s="10">
        <f t="shared" si="102"/>
        <v>4.5</v>
      </c>
      <c r="G825" s="4">
        <f t="shared" si="101"/>
        <v>208787.31067343036</v>
      </c>
      <c r="H825" s="42">
        <f t="shared" si="103"/>
        <v>7.8576145422803068</v>
      </c>
      <c r="I825" s="10">
        <f t="shared" si="104"/>
        <v>1.1933011496983601</v>
      </c>
      <c r="J825" s="4">
        <f t="shared" si="105"/>
        <v>477.71779331462614</v>
      </c>
      <c r="K825" s="4">
        <f t="shared" si="99"/>
        <v>107.39575408359025</v>
      </c>
      <c r="L825" s="42">
        <f>Pressure!Q825</f>
        <v>0.38548001327210202</v>
      </c>
      <c r="M825" s="10">
        <f t="shared" si="100"/>
        <v>0.23100684938093455</v>
      </c>
      <c r="N825" s="10">
        <f t="shared" si="106"/>
        <v>2.5992897854448858</v>
      </c>
    </row>
    <row r="826" spans="3:14">
      <c r="C826" s="4">
        <f>Pressure!AB826*1000000</f>
        <v>4925869.8812811542</v>
      </c>
      <c r="D826" s="78">
        <f>Pressure!I826</f>
        <v>8.1256230789298584E-5</v>
      </c>
      <c r="E826" s="40">
        <f>Pressure!H826</f>
        <v>81.256230789298584</v>
      </c>
      <c r="F826" s="10">
        <f t="shared" si="102"/>
        <v>4.5</v>
      </c>
      <c r="G826" s="4">
        <f t="shared" si="101"/>
        <v>208748.01305110313</v>
      </c>
      <c r="H826" s="42">
        <f t="shared" si="103"/>
        <v>7.8564592990406332</v>
      </c>
      <c r="I826" s="10">
        <f t="shared" si="104"/>
        <v>1.1932837831653502</v>
      </c>
      <c r="J826" s="4">
        <f t="shared" si="105"/>
        <v>477.62092692867748</v>
      </c>
      <c r="K826" s="4">
        <f t="shared" si="99"/>
        <v>107.37397754792444</v>
      </c>
      <c r="L826" s="42">
        <f>Pressure!Q826</f>
        <v>0.38596355675250149</v>
      </c>
      <c r="M826" s="10">
        <f t="shared" si="100"/>
        <v>0.23097390487341282</v>
      </c>
      <c r="N826" s="10">
        <f t="shared" si="106"/>
        <v>2.5992897854448858</v>
      </c>
    </row>
    <row r="827" spans="3:14">
      <c r="C827" s="4">
        <f>Pressure!AB827*1000000</f>
        <v>4924940.0966300508</v>
      </c>
      <c r="D827" s="78">
        <f>Pressure!I827</f>
        <v>8.1256230789298584E-5</v>
      </c>
      <c r="E827" s="40">
        <f>Pressure!H827</f>
        <v>81.256230789298584</v>
      </c>
      <c r="F827" s="10">
        <f t="shared" si="102"/>
        <v>4.5</v>
      </c>
      <c r="G827" s="4">
        <f t="shared" si="101"/>
        <v>208708.61073168318</v>
      </c>
      <c r="H827" s="42">
        <f t="shared" si="103"/>
        <v>7.8553009392865443</v>
      </c>
      <c r="I827" s="10">
        <f t="shared" si="104"/>
        <v>1.1932663637982335</v>
      </c>
      <c r="J827" s="4">
        <f t="shared" si="105"/>
        <v>477.52380247039804</v>
      </c>
      <c r="K827" s="4">
        <f t="shared" si="99"/>
        <v>107.35214299500878</v>
      </c>
      <c r="L827" s="42">
        <f>Pressure!Q827</f>
        <v>0.38644712926926966</v>
      </c>
      <c r="M827" s="10">
        <f t="shared" si="100"/>
        <v>0.23094087033668251</v>
      </c>
      <c r="N827" s="10">
        <f t="shared" si="106"/>
        <v>2.5992897854448858</v>
      </c>
    </row>
    <row r="828" spans="3:14">
      <c r="C828" s="4">
        <f>Pressure!AB828*1000000</f>
        <v>4924007.8418115191</v>
      </c>
      <c r="D828" s="78">
        <f>Pressure!I828</f>
        <v>8.1256230789298584E-5</v>
      </c>
      <c r="E828" s="40">
        <f>Pressure!H828</f>
        <v>81.256230789298584</v>
      </c>
      <c r="F828" s="10">
        <f t="shared" si="102"/>
        <v>4.5</v>
      </c>
      <c r="G828" s="4">
        <f t="shared" si="101"/>
        <v>208669.1037317591</v>
      </c>
      <c r="H828" s="42">
        <f t="shared" si="103"/>
        <v>7.8541394631877779</v>
      </c>
      <c r="I828" s="10">
        <f t="shared" si="104"/>
        <v>1.1932488915481985</v>
      </c>
      <c r="J828" s="4">
        <f t="shared" si="105"/>
        <v>477.42641998067762</v>
      </c>
      <c r="K828" s="4">
        <f t="shared" si="99"/>
        <v>107.3302504340357</v>
      </c>
      <c r="L828" s="42">
        <f>Pressure!Q828</f>
        <v>0.38693073090700519</v>
      </c>
      <c r="M828" s="10">
        <f t="shared" si="100"/>
        <v>0.23090774576662501</v>
      </c>
      <c r="N828" s="10">
        <f t="shared" si="106"/>
        <v>2.5992897854448858</v>
      </c>
    </row>
    <row r="829" spans="3:14">
      <c r="C829" s="4">
        <f>Pressure!AB829*1000000</f>
        <v>4923073.1172182932</v>
      </c>
      <c r="D829" s="78">
        <f>Pressure!I829</f>
        <v>8.1256230789298584E-5</v>
      </c>
      <c r="E829" s="40">
        <f>Pressure!H829</f>
        <v>81.256230789298584</v>
      </c>
      <c r="F829" s="10">
        <f t="shared" si="102"/>
        <v>4.5</v>
      </c>
      <c r="G829" s="4">
        <f t="shared" si="101"/>
        <v>208629.49206797412</v>
      </c>
      <c r="H829" s="42">
        <f t="shared" si="103"/>
        <v>7.852974870914772</v>
      </c>
      <c r="I829" s="10">
        <f t="shared" si="104"/>
        <v>1.1932313663662673</v>
      </c>
      <c r="J829" s="4">
        <f t="shared" si="105"/>
        <v>477.32877950054092</v>
      </c>
      <c r="K829" s="4">
        <f t="shared" si="99"/>
        <v>107.30829987422798</v>
      </c>
      <c r="L829" s="42">
        <f>Pressure!Q829</f>
        <v>0.38741436175035548</v>
      </c>
      <c r="M829" s="10">
        <f t="shared" si="100"/>
        <v>0.2308745311590886</v>
      </c>
      <c r="N829" s="10">
        <f t="shared" si="106"/>
        <v>2.5992897854448858</v>
      </c>
    </row>
    <row r="830" spans="3:14">
      <c r="C830" s="4">
        <f>Pressure!AB830*1000000</f>
        <v>4922135.9232443059</v>
      </c>
      <c r="D830" s="78">
        <f>Pressure!I830</f>
        <v>8.1256230789298584E-5</v>
      </c>
      <c r="E830" s="40">
        <f>Pressure!H830</f>
        <v>81.256230789298584</v>
      </c>
      <c r="F830" s="10">
        <f t="shared" si="102"/>
        <v>4.5</v>
      </c>
      <c r="G830" s="4">
        <f t="shared" si="101"/>
        <v>208589.77575702226</v>
      </c>
      <c r="H830" s="42">
        <f t="shared" si="103"/>
        <v>7.8518071626385639</v>
      </c>
      <c r="I830" s="10">
        <f t="shared" si="104"/>
        <v>1.1932137882032932</v>
      </c>
      <c r="J830" s="4">
        <f t="shared" si="105"/>
        <v>477.23088107113762</v>
      </c>
      <c r="K830" s="4">
        <f t="shared" si="99"/>
        <v>107.28629132483648</v>
      </c>
      <c r="L830" s="42">
        <f>Pressure!Q830</f>
        <v>0.38789802188401667</v>
      </c>
      <c r="M830" s="10">
        <f t="shared" si="100"/>
        <v>0.23084122650983913</v>
      </c>
      <c r="N830" s="10">
        <f t="shared" si="106"/>
        <v>2.5992897854448858</v>
      </c>
    </row>
    <row r="831" spans="3:14">
      <c r="C831" s="4">
        <f>Pressure!AB831*1000000</f>
        <v>4921196.2602846408</v>
      </c>
      <c r="D831" s="78">
        <f>Pressure!I831</f>
        <v>8.1256230789298584E-5</v>
      </c>
      <c r="E831" s="40">
        <f>Pressure!H831</f>
        <v>81.256230789298584</v>
      </c>
      <c r="F831" s="10">
        <f t="shared" si="102"/>
        <v>4.5</v>
      </c>
      <c r="G831" s="4">
        <f t="shared" si="101"/>
        <v>208549.95481564637</v>
      </c>
      <c r="H831" s="42">
        <f t="shared" si="103"/>
        <v>7.8506363385307223</v>
      </c>
      <c r="I831" s="10">
        <f t="shared" si="104"/>
        <v>1.1931961570099605</v>
      </c>
      <c r="J831" s="4">
        <f t="shared" si="105"/>
        <v>477.13272473373797</v>
      </c>
      <c r="K831" s="4">
        <f t="shared" si="99"/>
        <v>107.26422479513916</v>
      </c>
      <c r="L831" s="42">
        <f>Pressure!Q831</f>
        <v>0.38838171139273397</v>
      </c>
      <c r="M831" s="10">
        <f t="shared" si="100"/>
        <v>0.23080783181471554</v>
      </c>
      <c r="N831" s="10">
        <f t="shared" si="106"/>
        <v>2.5992897854448858</v>
      </c>
    </row>
    <row r="832" spans="3:14">
      <c r="C832" s="4">
        <f>Pressure!AB832*1000000</f>
        <v>4920254.1287354482</v>
      </c>
      <c r="D832" s="78">
        <f>Pressure!I832</f>
        <v>8.1256230789298584E-5</v>
      </c>
      <c r="E832" s="40">
        <f>Pressure!H832</f>
        <v>81.256230789298584</v>
      </c>
      <c r="F832" s="10">
        <f t="shared" si="102"/>
        <v>4.5</v>
      </c>
      <c r="G832" s="4">
        <f t="shared" si="101"/>
        <v>208510.02926063444</v>
      </c>
      <c r="H832" s="42">
        <f t="shared" si="103"/>
        <v>7.8494623987632339</v>
      </c>
      <c r="I832" s="10">
        <f t="shared" si="104"/>
        <v>1.1931784727367816</v>
      </c>
      <c r="J832" s="4">
        <f t="shared" si="105"/>
        <v>477.03431052972343</v>
      </c>
      <c r="K832" s="4">
        <f t="shared" si="99"/>
        <v>107.24210029443897</v>
      </c>
      <c r="L832" s="42">
        <f>Pressure!Q832</f>
        <v>0.38886543036130183</v>
      </c>
      <c r="M832" s="10">
        <f t="shared" si="100"/>
        <v>0.23077434706954672</v>
      </c>
      <c r="N832" s="10">
        <f t="shared" si="106"/>
        <v>2.5992897854448858</v>
      </c>
    </row>
    <row r="833" spans="3:14">
      <c r="C833" s="4">
        <f>Pressure!AB833*1000000</f>
        <v>4919309.5289942101</v>
      </c>
      <c r="D833" s="78">
        <f>Pressure!I833</f>
        <v>8.1256230789298584E-5</v>
      </c>
      <c r="E833" s="40">
        <f>Pressure!H833</f>
        <v>81.256230789298584</v>
      </c>
      <c r="F833" s="10">
        <f t="shared" si="102"/>
        <v>4.5</v>
      </c>
      <c r="G833" s="4">
        <f t="shared" si="101"/>
        <v>208469.99910883093</v>
      </c>
      <c r="H833" s="42">
        <f t="shared" si="103"/>
        <v>7.8482853435088407</v>
      </c>
      <c r="I833" s="10">
        <f t="shared" si="104"/>
        <v>1.1931607353341016</v>
      </c>
      <c r="J833" s="4">
        <f t="shared" si="105"/>
        <v>476.93563850061452</v>
      </c>
      <c r="K833" s="4">
        <f t="shared" si="99"/>
        <v>107.21991783207017</v>
      </c>
      <c r="L833" s="42">
        <f>Pressure!Q833</f>
        <v>0.38934917887456399</v>
      </c>
      <c r="M833" s="10">
        <f t="shared" si="100"/>
        <v>0.23074077227010278</v>
      </c>
      <c r="N833" s="10">
        <f t="shared" si="106"/>
        <v>2.5992897854448858</v>
      </c>
    </row>
    <row r="834" spans="3:14">
      <c r="C834" s="4">
        <f>Pressure!AB834*1000000</f>
        <v>4918362.46145947</v>
      </c>
      <c r="D834" s="78">
        <f>Pressure!I834</f>
        <v>8.1256230789298584E-5</v>
      </c>
      <c r="E834" s="40">
        <f>Pressure!H834</f>
        <v>81.256230789298584</v>
      </c>
      <c r="F834" s="10">
        <f t="shared" si="102"/>
        <v>4.5</v>
      </c>
      <c r="G834" s="4">
        <f t="shared" si="101"/>
        <v>208429.86437712525</v>
      </c>
      <c r="H834" s="42">
        <f t="shared" si="103"/>
        <v>7.8471051729407026</v>
      </c>
      <c r="I834" s="10">
        <f t="shared" si="104"/>
        <v>1.1931429447520938</v>
      </c>
      <c r="J834" s="4">
        <f t="shared" si="105"/>
        <v>476.8367086880429</v>
      </c>
      <c r="K834" s="4">
        <f t="shared" si="99"/>
        <v>107.19767741739196</v>
      </c>
      <c r="L834" s="42">
        <f>Pressure!Q834</f>
        <v>0.38983295701741372</v>
      </c>
      <c r="M834" s="10">
        <f t="shared" si="100"/>
        <v>0.23070710741217465</v>
      </c>
      <c r="N834" s="10">
        <f t="shared" si="106"/>
        <v>2.5992897854448858</v>
      </c>
    </row>
    <row r="835" spans="3:14">
      <c r="C835" s="4">
        <f>Pressure!AB835*1000000</f>
        <v>4917412.9265311742</v>
      </c>
      <c r="D835" s="78">
        <f>Pressure!I835</f>
        <v>8.1256230789298584E-5</v>
      </c>
      <c r="E835" s="40">
        <f>Pressure!H835</f>
        <v>81.256230789298584</v>
      </c>
      <c r="F835" s="10">
        <f t="shared" si="102"/>
        <v>4.5</v>
      </c>
      <c r="G835" s="4">
        <f t="shared" si="101"/>
        <v>208389.62508246634</v>
      </c>
      <c r="H835" s="42">
        <f t="shared" si="103"/>
        <v>7.8459218872328274</v>
      </c>
      <c r="I835" s="10">
        <f t="shared" si="104"/>
        <v>1.1931251009407644</v>
      </c>
      <c r="J835" s="4">
        <f t="shared" si="105"/>
        <v>476.7375211337864</v>
      </c>
      <c r="K835" s="4">
        <f t="shared" si="99"/>
        <v>107.17537905979641</v>
      </c>
      <c r="L835" s="42">
        <f>Pressure!Q835</f>
        <v>0.39031676487479383</v>
      </c>
      <c r="M835" s="10">
        <f t="shared" si="100"/>
        <v>0.23067335249149587</v>
      </c>
      <c r="N835" s="10">
        <f t="shared" si="106"/>
        <v>2.5992897854448858</v>
      </c>
    </row>
    <row r="836" spans="3:14">
      <c r="C836" s="4">
        <f>Pressure!AB836*1000000</f>
        <v>4916460.9246101538</v>
      </c>
      <c r="D836" s="78">
        <f>Pressure!I836</f>
        <v>8.1256230789298584E-5</v>
      </c>
      <c r="E836" s="40">
        <f>Pressure!H836</f>
        <v>81.256230789298584</v>
      </c>
      <c r="F836" s="10">
        <f t="shared" si="102"/>
        <v>4.5</v>
      </c>
      <c r="G836" s="4">
        <f t="shared" si="101"/>
        <v>208349.28124184054</v>
      </c>
      <c r="H836" s="42">
        <f t="shared" si="103"/>
        <v>7.8447354865594203</v>
      </c>
      <c r="I836" s="10">
        <f t="shared" si="104"/>
        <v>1.1931072038499442</v>
      </c>
      <c r="J836" s="4">
        <f t="shared" si="105"/>
        <v>476.63807587971564</v>
      </c>
      <c r="K836" s="4">
        <f t="shared" si="99"/>
        <v>107.15302276869647</v>
      </c>
      <c r="L836" s="42">
        <f>Pressure!Q836</f>
        <v>0.39080060253169707</v>
      </c>
      <c r="M836" s="10">
        <f t="shared" si="100"/>
        <v>0.23063950750387069</v>
      </c>
      <c r="N836" s="10">
        <f t="shared" si="106"/>
        <v>2.5992897854448858</v>
      </c>
    </row>
    <row r="837" spans="3:14">
      <c r="C837" s="4">
        <f>Pressure!AB837*1000000</f>
        <v>4915506.4560985509</v>
      </c>
      <c r="D837" s="78">
        <f>Pressure!I837</f>
        <v>8.1256230789298584E-5</v>
      </c>
      <c r="E837" s="40">
        <f>Pressure!H837</f>
        <v>81.256230789298584</v>
      </c>
      <c r="F837" s="10">
        <f t="shared" si="102"/>
        <v>4.5</v>
      </c>
      <c r="G837" s="4">
        <f t="shared" si="101"/>
        <v>208308.83287228979</v>
      </c>
      <c r="H837" s="42">
        <f t="shared" si="103"/>
        <v>7.843545971095411</v>
      </c>
      <c r="I837" s="10">
        <f t="shared" si="104"/>
        <v>1.1930892534292941</v>
      </c>
      <c r="J837" s="4">
        <f t="shared" si="105"/>
        <v>476.53837296783797</v>
      </c>
      <c r="K837" s="4">
        <f t="shared" si="99"/>
        <v>107.13060855353581</v>
      </c>
      <c r="L837" s="42">
        <f>Pressure!Q837</f>
        <v>0.39128447007316614</v>
      </c>
      <c r="M837" s="10">
        <f t="shared" si="100"/>
        <v>0.2306055724450389</v>
      </c>
      <c r="N837" s="10">
        <f t="shared" si="106"/>
        <v>2.5992897854448858</v>
      </c>
    </row>
    <row r="838" spans="3:14">
      <c r="C838" s="4">
        <f>Pressure!AB838*1000000</f>
        <v>4914549.5213998444</v>
      </c>
      <c r="D838" s="78">
        <f>Pressure!I838</f>
        <v>8.1256230789298584E-5</v>
      </c>
      <c r="E838" s="40">
        <f>Pressure!H838</f>
        <v>81.256230789298584</v>
      </c>
      <c r="F838" s="10">
        <f t="shared" si="102"/>
        <v>4.5</v>
      </c>
      <c r="G838" s="4">
        <f t="shared" si="101"/>
        <v>208268.27999091271</v>
      </c>
      <c r="H838" s="42">
        <f t="shared" si="103"/>
        <v>7.8423533410164818</v>
      </c>
      <c r="I838" s="10">
        <f t="shared" si="104"/>
        <v>1.1930712496283074</v>
      </c>
      <c r="J838" s="4">
        <f t="shared" si="105"/>
        <v>476.4384124403004</v>
      </c>
      <c r="K838" s="4">
        <f t="shared" si="99"/>
        <v>107.10813642378949</v>
      </c>
      <c r="L838" s="42">
        <f>Pressure!Q838</f>
        <v>0.39176836758429379</v>
      </c>
      <c r="M838" s="10">
        <f t="shared" si="100"/>
        <v>0.23057154731071389</v>
      </c>
      <c r="N838" s="10">
        <f t="shared" si="106"/>
        <v>2.5992897854448858</v>
      </c>
    </row>
    <row r="839" spans="3:14">
      <c r="C839" s="4">
        <f>Pressure!AB839*1000000</f>
        <v>4913590.1209184686</v>
      </c>
      <c r="D839" s="78">
        <f>Pressure!I839</f>
        <v>8.1256230789298584E-5</v>
      </c>
      <c r="E839" s="40">
        <f>Pressure!H839</f>
        <v>81.256230789298584</v>
      </c>
      <c r="F839" s="10">
        <f t="shared" si="102"/>
        <v>4.5</v>
      </c>
      <c r="G839" s="4">
        <f t="shared" si="101"/>
        <v>208227.62261484831</v>
      </c>
      <c r="H839" s="42">
        <f t="shared" si="103"/>
        <v>7.8411575964986184</v>
      </c>
      <c r="I839" s="10">
        <f t="shared" si="104"/>
        <v>1.1930531923963001</v>
      </c>
      <c r="J839" s="4">
        <f t="shared" si="105"/>
        <v>476.33819433934963</v>
      </c>
      <c r="K839" s="4">
        <f t="shared" si="99"/>
        <v>107.085606388955</v>
      </c>
      <c r="L839" s="42">
        <f>Pressure!Q839</f>
        <v>0.39225229515022308</v>
      </c>
      <c r="M839" s="10">
        <f t="shared" si="100"/>
        <v>0.23053743209662622</v>
      </c>
      <c r="N839" s="10">
        <f t="shared" si="106"/>
        <v>2.5992897854448858</v>
      </c>
    </row>
    <row r="840" spans="3:14">
      <c r="C840" s="4">
        <f>Pressure!AB840*1000000</f>
        <v>4912628.2550601577</v>
      </c>
      <c r="D840" s="78">
        <f>Pressure!I840</f>
        <v>8.1256230789298584E-5</v>
      </c>
      <c r="E840" s="40">
        <f>Pressure!H840</f>
        <v>81.256230789298584</v>
      </c>
      <c r="F840" s="10">
        <f t="shared" si="102"/>
        <v>4.5</v>
      </c>
      <c r="G840" s="4">
        <f t="shared" si="101"/>
        <v>208186.86076129082</v>
      </c>
      <c r="H840" s="42">
        <f t="shared" si="103"/>
        <v>7.8399587377184901</v>
      </c>
      <c r="I840" s="10">
        <f t="shared" si="104"/>
        <v>1.1930350816824198</v>
      </c>
      <c r="J840" s="4">
        <f t="shared" si="105"/>
        <v>476.23771870736863</v>
      </c>
      <c r="K840" s="4">
        <f t="shared" si="99"/>
        <v>107.06301845856046</v>
      </c>
      <c r="L840" s="42">
        <f>Pressure!Q840</f>
        <v>0.39273625285614761</v>
      </c>
      <c r="M840" s="10">
        <f t="shared" si="100"/>
        <v>0.23050322679852259</v>
      </c>
      <c r="N840" s="10">
        <f t="shared" si="106"/>
        <v>2.5992897854448858</v>
      </c>
    </row>
    <row r="841" spans="3:14">
      <c r="C841" s="4">
        <f>Pressure!AB841*1000000</f>
        <v>4911663.9242317127</v>
      </c>
      <c r="D841" s="78">
        <f>Pressure!I841</f>
        <v>8.1256230789298584E-5</v>
      </c>
      <c r="E841" s="40">
        <f>Pressure!H841</f>
        <v>81.256230789298584</v>
      </c>
      <c r="F841" s="10">
        <f t="shared" si="102"/>
        <v>4.5</v>
      </c>
      <c r="G841" s="4">
        <f t="shared" si="101"/>
        <v>208145.99444747955</v>
      </c>
      <c r="H841" s="42">
        <f t="shared" si="103"/>
        <v>7.8387567648532244</v>
      </c>
      <c r="I841" s="10">
        <f t="shared" si="104"/>
        <v>1.1930169174356373</v>
      </c>
      <c r="J841" s="4">
        <f t="shared" si="105"/>
        <v>476.1369855868511</v>
      </c>
      <c r="K841" s="4">
        <f t="shared" si="99"/>
        <v>107.04037264215887</v>
      </c>
      <c r="L841" s="42">
        <f>Pressure!Q841</f>
        <v>0.39322024078731155</v>
      </c>
      <c r="M841" s="10">
        <f t="shared" si="100"/>
        <v>0.23046893141211561</v>
      </c>
      <c r="N841" s="10">
        <f t="shared" si="106"/>
        <v>2.5992897854448858</v>
      </c>
    </row>
    <row r="842" spans="3:14">
      <c r="C842" s="4">
        <f>Pressure!AB842*1000000</f>
        <v>4910697.1288413433</v>
      </c>
      <c r="D842" s="78">
        <f>Pressure!I842</f>
        <v>8.1256230789298584E-5</v>
      </c>
      <c r="E842" s="40">
        <f>Pressure!H842</f>
        <v>81.256230789298584</v>
      </c>
      <c r="F842" s="10">
        <f t="shared" si="102"/>
        <v>4.5</v>
      </c>
      <c r="G842" s="4">
        <f t="shared" si="101"/>
        <v>208105.02369071363</v>
      </c>
      <c r="H842" s="42">
        <f t="shared" si="103"/>
        <v>7.8375516780807652</v>
      </c>
      <c r="I842" s="10">
        <f t="shared" si="104"/>
        <v>1.1929986996047566</v>
      </c>
      <c r="J842" s="4">
        <f t="shared" si="105"/>
        <v>476.03599502043846</v>
      </c>
      <c r="K842" s="4">
        <f t="shared" si="99"/>
        <v>107.01766894933647</v>
      </c>
      <c r="L842" s="42">
        <f>Pressure!Q842</f>
        <v>0.39370425902900974</v>
      </c>
      <c r="M842" s="10">
        <f t="shared" si="100"/>
        <v>0.23043454593303347</v>
      </c>
      <c r="N842" s="10">
        <f t="shared" si="106"/>
        <v>2.5992897854448858</v>
      </c>
    </row>
    <row r="843" spans="3:14">
      <c r="C843" s="4">
        <f>Pressure!AB843*1000000</f>
        <v>4909727.8692982672</v>
      </c>
      <c r="D843" s="78">
        <f>Pressure!I843</f>
        <v>8.1256230789298584E-5</v>
      </c>
      <c r="E843" s="40">
        <f>Pressure!H843</f>
        <v>81.256230789298584</v>
      </c>
      <c r="F843" s="10">
        <f t="shared" si="102"/>
        <v>4.5</v>
      </c>
      <c r="G843" s="4">
        <f t="shared" si="101"/>
        <v>208063.94850833481</v>
      </c>
      <c r="H843" s="42">
        <f t="shared" si="103"/>
        <v>7.8363434775794287</v>
      </c>
      <c r="I843" s="10">
        <f t="shared" si="104"/>
        <v>1.192980428138404</v>
      </c>
      <c r="J843" s="4">
        <f t="shared" si="105"/>
        <v>475.93474705087726</v>
      </c>
      <c r="K843" s="4">
        <f t="shared" si="99"/>
        <v>106.99490738970309</v>
      </c>
      <c r="L843" s="42">
        <f>Pressure!Q843</f>
        <v>0.39418830766658808</v>
      </c>
      <c r="M843" s="10">
        <f t="shared" si="100"/>
        <v>0.23040007035702997</v>
      </c>
      <c r="N843" s="10">
        <f t="shared" si="106"/>
        <v>2.5992897854448858</v>
      </c>
    </row>
    <row r="844" spans="3:14">
      <c r="C844" s="4">
        <f>Pressure!AB844*1000000</f>
        <v>4908756.1460129609</v>
      </c>
      <c r="D844" s="78">
        <f>Pressure!I844</f>
        <v>8.1256230789298584E-5</v>
      </c>
      <c r="E844" s="40">
        <f>Pressure!H844</f>
        <v>81.256230789298584</v>
      </c>
      <c r="F844" s="10">
        <f t="shared" si="102"/>
        <v>4.5</v>
      </c>
      <c r="G844" s="4">
        <f t="shared" si="101"/>
        <v>208022.76891773823</v>
      </c>
      <c r="H844" s="42">
        <f t="shared" si="103"/>
        <v>7.8351321635281694</v>
      </c>
      <c r="I844" s="10">
        <f t="shared" si="104"/>
        <v>1.1929621029850335</v>
      </c>
      <c r="J844" s="4">
        <f t="shared" si="105"/>
        <v>475.83324172104534</v>
      </c>
      <c r="K844" s="4">
        <f t="shared" si="99"/>
        <v>106.97208797289811</v>
      </c>
      <c r="L844" s="42">
        <f>Pressure!Q844</f>
        <v>0.39467238678544347</v>
      </c>
      <c r="M844" s="10">
        <f t="shared" si="100"/>
        <v>0.2303655046797424</v>
      </c>
      <c r="N844" s="10">
        <f t="shared" si="106"/>
        <v>2.5992897854448858</v>
      </c>
    </row>
    <row r="845" spans="3:14">
      <c r="C845" s="4">
        <f>Pressure!AB845*1000000</f>
        <v>4907781.9593970403</v>
      </c>
      <c r="D845" s="78">
        <f>Pressure!I845</f>
        <v>8.1256230789298584E-5</v>
      </c>
      <c r="E845" s="40">
        <f>Pressure!H845</f>
        <v>81.256230789298584</v>
      </c>
      <c r="F845" s="10">
        <f t="shared" si="102"/>
        <v>4.5</v>
      </c>
      <c r="G845" s="4">
        <f t="shared" si="101"/>
        <v>207981.48493636731</v>
      </c>
      <c r="H845" s="42">
        <f t="shared" si="103"/>
        <v>7.833917736106466</v>
      </c>
      <c r="I845" s="10">
        <f t="shared" si="104"/>
        <v>1.1929437240929248</v>
      </c>
      <c r="J845" s="4">
        <f t="shared" si="105"/>
        <v>475.73147907393985</v>
      </c>
      <c r="K845" s="4">
        <f t="shared" si="99"/>
        <v>106.94921070858771</v>
      </c>
      <c r="L845" s="42">
        <f>Pressure!Q845</f>
        <v>0.39515649647102408</v>
      </c>
      <c r="M845" s="10">
        <f t="shared" si="100"/>
        <v>0.23033084889682712</v>
      </c>
      <c r="N845" s="10">
        <f t="shared" si="106"/>
        <v>2.5992897854448858</v>
      </c>
    </row>
    <row r="846" spans="3:14">
      <c r="C846" s="4">
        <f>Pressure!AB846*1000000</f>
        <v>4906805.3098633923</v>
      </c>
      <c r="D846" s="78">
        <f>Pressure!I846</f>
        <v>8.1256230789298584E-5</v>
      </c>
      <c r="E846" s="40">
        <f>Pressure!H846</f>
        <v>81.256230789298584</v>
      </c>
      <c r="F846" s="10">
        <f t="shared" si="102"/>
        <v>4.5</v>
      </c>
      <c r="G846" s="4">
        <f t="shared" si="101"/>
        <v>207940.09658171932</v>
      </c>
      <c r="H846" s="42">
        <f t="shared" si="103"/>
        <v>7.8327001954944757</v>
      </c>
      <c r="I846" s="10">
        <f t="shared" si="104"/>
        <v>1.1929252914101847</v>
      </c>
      <c r="J846" s="4">
        <f t="shared" si="105"/>
        <v>475.62945915269052</v>
      </c>
      <c r="K846" s="4">
        <f t="shared" si="99"/>
        <v>106.9262756064679</v>
      </c>
      <c r="L846" s="42">
        <f>Pressure!Q846</f>
        <v>0.39564063680882955</v>
      </c>
      <c r="M846" s="10">
        <f t="shared" si="100"/>
        <v>0.23029610300398584</v>
      </c>
      <c r="N846" s="10">
        <f t="shared" si="106"/>
        <v>2.5992897854448858</v>
      </c>
    </row>
    <row r="847" spans="3:14">
      <c r="C847" s="4">
        <f>Pressure!AB847*1000000</f>
        <v>4905826.1978259059</v>
      </c>
      <c r="D847" s="78">
        <f>Pressure!I847</f>
        <v>8.1256230789298584E-5</v>
      </c>
      <c r="E847" s="40">
        <f>Pressure!H847</f>
        <v>81.256230789298584</v>
      </c>
      <c r="F847" s="10">
        <f t="shared" si="102"/>
        <v>4.5</v>
      </c>
      <c r="G847" s="4">
        <f t="shared" si="101"/>
        <v>207898.60387133402</v>
      </c>
      <c r="H847" s="42">
        <f t="shared" si="103"/>
        <v>7.8314795418726826</v>
      </c>
      <c r="I847" s="10">
        <f t="shared" si="104"/>
        <v>1.1929068048847413</v>
      </c>
      <c r="J847" s="4">
        <f t="shared" si="105"/>
        <v>475.52718200053175</v>
      </c>
      <c r="K847" s="4">
        <f t="shared" ref="K847:K910" si="107">J847/4.4482</f>
        <v>106.90328267625821</v>
      </c>
      <c r="L847" s="42">
        <f>Pressure!Q847</f>
        <v>0.39612480788441101</v>
      </c>
      <c r="M847" s="10">
        <f t="shared" ref="M847:M910" si="108">(J847+J846)/2*(L847-L846)</f>
        <v>0.23026126699680374</v>
      </c>
      <c r="N847" s="10">
        <f t="shared" si="106"/>
        <v>2.5992897854448858</v>
      </c>
    </row>
    <row r="848" spans="3:14">
      <c r="C848" s="4">
        <f>Pressure!AB848*1000000</f>
        <v>4904844.6236999957</v>
      </c>
      <c r="D848" s="78">
        <f>Pressure!I848</f>
        <v>8.1256230789298584E-5</v>
      </c>
      <c r="E848" s="40">
        <f>Pressure!H848</f>
        <v>81.256230789298584</v>
      </c>
      <c r="F848" s="10">
        <f t="shared" si="102"/>
        <v>4.5</v>
      </c>
      <c r="G848" s="4">
        <f t="shared" si="101"/>
        <v>207857.00682281578</v>
      </c>
      <c r="H848" s="42">
        <f t="shared" si="103"/>
        <v>7.8302557754225761</v>
      </c>
      <c r="I848" s="10">
        <f t="shared" si="104"/>
        <v>1.192888264464355</v>
      </c>
      <c r="J848" s="4">
        <f t="shared" si="105"/>
        <v>475.42464766085754</v>
      </c>
      <c r="K848" s="4">
        <f t="shared" si="107"/>
        <v>106.88023192771404</v>
      </c>
      <c r="L848" s="42">
        <f>Pressure!Q848</f>
        <v>0.39660900978337132</v>
      </c>
      <c r="M848" s="10">
        <f t="shared" si="108"/>
        <v>0.23022634087091418</v>
      </c>
      <c r="N848" s="10">
        <f t="shared" si="106"/>
        <v>2.5992897854448858</v>
      </c>
    </row>
    <row r="849" spans="3:14">
      <c r="C849" s="4">
        <f>Pressure!AB849*1000000</f>
        <v>4903860.5879019368</v>
      </c>
      <c r="D849" s="78">
        <f>Pressure!I849</f>
        <v>8.1256230789298584E-5</v>
      </c>
      <c r="E849" s="40">
        <f>Pressure!H849</f>
        <v>81.256230789298584</v>
      </c>
      <c r="F849" s="10">
        <f t="shared" si="102"/>
        <v>4.5</v>
      </c>
      <c r="G849" s="4">
        <f t="shared" si="101"/>
        <v>207815.30545380551</v>
      </c>
      <c r="H849" s="42">
        <f t="shared" si="103"/>
        <v>7.8290288963257915</v>
      </c>
      <c r="I849" s="10">
        <f t="shared" si="104"/>
        <v>1.1928696700966039</v>
      </c>
      <c r="J849" s="4">
        <f t="shared" si="105"/>
        <v>475.32185617715152</v>
      </c>
      <c r="K849" s="4">
        <f t="shared" si="107"/>
        <v>106.85712337061092</v>
      </c>
      <c r="L849" s="42">
        <f>Pressure!Q849</f>
        <v>0.3970932425913653</v>
      </c>
      <c r="M849" s="10">
        <f t="shared" si="108"/>
        <v>0.23019132462196845</v>
      </c>
      <c r="N849" s="10">
        <f t="shared" si="106"/>
        <v>2.5992897854448858</v>
      </c>
    </row>
    <row r="850" spans="3:14">
      <c r="C850" s="4">
        <f>Pressure!AB850*1000000</f>
        <v>4902874.0908493511</v>
      </c>
      <c r="D850" s="78">
        <f>Pressure!I850</f>
        <v>8.1256230789298584E-5</v>
      </c>
      <c r="E850" s="40">
        <f>Pressure!H850</f>
        <v>81.256230789298584</v>
      </c>
      <c r="F850" s="10">
        <f t="shared" si="102"/>
        <v>4.5</v>
      </c>
      <c r="G850" s="4">
        <f t="shared" si="101"/>
        <v>207773.4997820011</v>
      </c>
      <c r="H850" s="42">
        <f t="shared" si="103"/>
        <v>7.8277989047647516</v>
      </c>
      <c r="I850" s="10">
        <f t="shared" si="104"/>
        <v>1.1928510217288932</v>
      </c>
      <c r="J850" s="4">
        <f t="shared" si="105"/>
        <v>475.21880759303804</v>
      </c>
      <c r="K850" s="4">
        <f t="shared" si="107"/>
        <v>106.83395701475609</v>
      </c>
      <c r="L850" s="42">
        <f>Pressure!Q850</f>
        <v>0.39757750639409983</v>
      </c>
      <c r="M850" s="10">
        <f t="shared" si="108"/>
        <v>0.23015621824557828</v>
      </c>
      <c r="N850" s="10">
        <f t="shared" si="106"/>
        <v>2.5992897854448858</v>
      </c>
    </row>
    <row r="851" spans="3:14">
      <c r="C851" s="4">
        <f>Pressure!AB851*1000000</f>
        <v>4901885.1329610683</v>
      </c>
      <c r="D851" s="78">
        <f>Pressure!I851</f>
        <v>8.1256230789298584E-5</v>
      </c>
      <c r="E851" s="40">
        <f>Pressure!H851</f>
        <v>81.256230789298584</v>
      </c>
      <c r="F851" s="10">
        <f t="shared" si="102"/>
        <v>4.5</v>
      </c>
      <c r="G851" s="4">
        <f t="shared" si="101"/>
        <v>207731.58982515169</v>
      </c>
      <c r="H851" s="42">
        <f t="shared" si="103"/>
        <v>7.8265658009224541</v>
      </c>
      <c r="I851" s="10">
        <f t="shared" si="104"/>
        <v>1.1928323193084529</v>
      </c>
      <c r="J851" s="4">
        <f t="shared" si="105"/>
        <v>475.11550195226761</v>
      </c>
      <c r="K851" s="4">
        <f t="shared" si="107"/>
        <v>106.81073286998507</v>
      </c>
      <c r="L851" s="42">
        <f>Pressure!Q851</f>
        <v>0.39806180127733393</v>
      </c>
      <c r="M851" s="10">
        <f t="shared" si="108"/>
        <v>0.23012102173729818</v>
      </c>
      <c r="N851" s="10">
        <f t="shared" si="106"/>
        <v>2.5992897854448858</v>
      </c>
    </row>
    <row r="852" spans="3:14">
      <c r="C852" s="4">
        <f>Pressure!AB852*1000000</f>
        <v>4900893.7146570096</v>
      </c>
      <c r="D852" s="78">
        <f>Pressure!I852</f>
        <v>8.1256230789298584E-5</v>
      </c>
      <c r="E852" s="40">
        <f>Pressure!H852</f>
        <v>81.256230789298584</v>
      </c>
      <c r="F852" s="10">
        <f t="shared" si="102"/>
        <v>4.5</v>
      </c>
      <c r="G852" s="4">
        <f t="shared" si="101"/>
        <v>207689.5756010527</v>
      </c>
      <c r="H852" s="42">
        <f t="shared" si="103"/>
        <v>7.8253295849823568</v>
      </c>
      <c r="I852" s="10">
        <f t="shared" si="104"/>
        <v>1.1928135627823344</v>
      </c>
      <c r="J852" s="4">
        <f t="shared" si="105"/>
        <v>475.0119392987051</v>
      </c>
      <c r="K852" s="4">
        <f t="shared" si="107"/>
        <v>106.78745094615914</v>
      </c>
      <c r="L852" s="42">
        <f>Pressure!Q852</f>
        <v>0.39854612732687905</v>
      </c>
      <c r="M852" s="10">
        <f t="shared" si="108"/>
        <v>0.23008573509275079</v>
      </c>
      <c r="N852" s="10">
        <f t="shared" si="106"/>
        <v>2.5992897854448858</v>
      </c>
    </row>
    <row r="853" spans="3:14">
      <c r="C853" s="4">
        <f>Pressure!AB853*1000000</f>
        <v>4899899.8363584094</v>
      </c>
      <c r="D853" s="78">
        <f>Pressure!I853</f>
        <v>8.1256230789298584E-5</v>
      </c>
      <c r="E853" s="40">
        <f>Pressure!H853</f>
        <v>81.256230789298584</v>
      </c>
      <c r="F853" s="10">
        <f t="shared" si="102"/>
        <v>4.5</v>
      </c>
      <c r="G853" s="4">
        <f t="shared" si="101"/>
        <v>207647.45712755507</v>
      </c>
      <c r="H853" s="42">
        <f t="shared" si="103"/>
        <v>7.8240902571286437</v>
      </c>
      <c r="I853" s="10">
        <f t="shared" si="104"/>
        <v>1.1927947520974143</v>
      </c>
      <c r="J853" s="4">
        <f t="shared" si="105"/>
        <v>474.90811967635204</v>
      </c>
      <c r="K853" s="4">
        <f t="shared" si="107"/>
        <v>106.76411125317028</v>
      </c>
      <c r="L853" s="42">
        <f>Pressure!Q853</f>
        <v>0.39903048462859919</v>
      </c>
      <c r="M853" s="10">
        <f t="shared" si="108"/>
        <v>0.23005035830749732</v>
      </c>
      <c r="N853" s="10">
        <f t="shared" si="106"/>
        <v>2.5992897854448858</v>
      </c>
    </row>
    <row r="854" spans="3:14">
      <c r="C854" s="4">
        <f>Pressure!AB854*1000000</f>
        <v>4898903.4984876281</v>
      </c>
      <c r="D854" s="78">
        <f>Pressure!I854</f>
        <v>8.1256230789298584E-5</v>
      </c>
      <c r="E854" s="40">
        <f>Pressure!H854</f>
        <v>81.256230789298584</v>
      </c>
      <c r="F854" s="10">
        <f t="shared" si="102"/>
        <v>4.5</v>
      </c>
      <c r="G854" s="4">
        <f t="shared" si="101"/>
        <v>207605.23442255764</v>
      </c>
      <c r="H854" s="42">
        <f t="shared" si="103"/>
        <v>7.8228478175459877</v>
      </c>
      <c r="I854" s="10">
        <f t="shared" si="104"/>
        <v>1.1927758872003911</v>
      </c>
      <c r="J854" s="4">
        <f t="shared" si="105"/>
        <v>474.80404312932779</v>
      </c>
      <c r="K854" s="4">
        <f t="shared" si="107"/>
        <v>106.74071380093696</v>
      </c>
      <c r="L854" s="42">
        <f>Pressure!Q854</f>
        <v>0.39951487326841106</v>
      </c>
      <c r="M854" s="10">
        <f t="shared" si="108"/>
        <v>0.23001489137711736</v>
      </c>
      <c r="N854" s="10">
        <f t="shared" si="106"/>
        <v>2.5992897854448858</v>
      </c>
    </row>
    <row r="855" spans="3:14">
      <c r="C855" s="4">
        <f>Pressure!AB855*1000000</f>
        <v>4897904.7014681827</v>
      </c>
      <c r="D855" s="78">
        <f>Pressure!I855</f>
        <v>8.1256230789298584E-5</v>
      </c>
      <c r="E855" s="40">
        <f>Pressure!H855</f>
        <v>81.256230789298584</v>
      </c>
      <c r="F855" s="10">
        <f t="shared" si="102"/>
        <v>4.5</v>
      </c>
      <c r="G855" s="4">
        <f t="shared" si="101"/>
        <v>207562.90750400809</v>
      </c>
      <c r="H855" s="42">
        <f t="shared" si="103"/>
        <v>7.8216022664195792</v>
      </c>
      <c r="I855" s="10">
        <f t="shared" si="104"/>
        <v>1.192756968037785</v>
      </c>
      <c r="J855" s="4">
        <f t="shared" si="105"/>
        <v>474.69970970187273</v>
      </c>
      <c r="K855" s="4">
        <f t="shared" si="107"/>
        <v>106.71725859940487</v>
      </c>
      <c r="L855" s="42">
        <f>Pressure!Q855</f>
        <v>0.39999929333228423</v>
      </c>
      <c r="M855" s="10">
        <f t="shared" si="108"/>
        <v>0.22997933429715234</v>
      </c>
      <c r="N855" s="10">
        <f t="shared" si="106"/>
        <v>2.5992897854448858</v>
      </c>
    </row>
    <row r="856" spans="3:14">
      <c r="C856" s="4">
        <f>Pressure!AB856*1000000</f>
        <v>4896903.4457249157</v>
      </c>
      <c r="D856" s="78">
        <f>Pressure!I856</f>
        <v>8.1256230789298584E-5</v>
      </c>
      <c r="E856" s="40">
        <f>Pressure!H856</f>
        <v>81.256230789298584</v>
      </c>
      <c r="F856" s="10">
        <f t="shared" si="102"/>
        <v>4.5</v>
      </c>
      <c r="G856" s="4">
        <f t="shared" si="101"/>
        <v>207520.47638991041</v>
      </c>
      <c r="H856" s="42">
        <f t="shared" si="103"/>
        <v>7.8203536039353745</v>
      </c>
      <c r="I856" s="10">
        <f t="shared" si="104"/>
        <v>1.1927379945559407</v>
      </c>
      <c r="J856" s="4">
        <f t="shared" si="105"/>
        <v>474.59511943836543</v>
      </c>
      <c r="K856" s="4">
        <f t="shared" si="107"/>
        <v>106.69374565855075</v>
      </c>
      <c r="L856" s="42">
        <f>Pressure!Q856</f>
        <v>0.40048374490624128</v>
      </c>
      <c r="M856" s="10">
        <f t="shared" si="108"/>
        <v>0.22994368706313642</v>
      </c>
      <c r="N856" s="10">
        <f t="shared" si="106"/>
        <v>2.5992897854448858</v>
      </c>
    </row>
    <row r="857" spans="3:14">
      <c r="C857" s="4">
        <f>Pressure!AB857*1000000</f>
        <v>4895899.7316837749</v>
      </c>
      <c r="D857" s="78">
        <f>Pressure!I857</f>
        <v>8.1256230789298584E-5</v>
      </c>
      <c r="E857" s="40">
        <f>Pressure!H857</f>
        <v>81.256230789298584</v>
      </c>
      <c r="F857" s="10">
        <f t="shared" si="102"/>
        <v>4.5</v>
      </c>
      <c r="G857" s="4">
        <f t="shared" si="101"/>
        <v>207477.94109831535</v>
      </c>
      <c r="H857" s="42">
        <f t="shared" si="103"/>
        <v>7.8191018302797701</v>
      </c>
      <c r="I857" s="10">
        <f t="shared" si="104"/>
        <v>1.1927189667010227</v>
      </c>
      <c r="J857" s="4">
        <f t="shared" si="105"/>
        <v>474.4902723832999</v>
      </c>
      <c r="K857" s="4">
        <f t="shared" si="107"/>
        <v>106.6701749883773</v>
      </c>
      <c r="L857" s="42">
        <f>Pressure!Q857</f>
        <v>0.40096822807635801</v>
      </c>
      <c r="M857" s="10">
        <f t="shared" si="108"/>
        <v>0.22990794967062153</v>
      </c>
      <c r="N857" s="10">
        <f t="shared" si="106"/>
        <v>2.5992897854448858</v>
      </c>
    </row>
    <row r="858" spans="3:14">
      <c r="C858" s="4">
        <f>Pressure!AB858*1000000</f>
        <v>4894893.5597719653</v>
      </c>
      <c r="D858" s="78">
        <f>Pressure!I858</f>
        <v>8.1256230789298584E-5</v>
      </c>
      <c r="E858" s="40">
        <f>Pressure!H858</f>
        <v>81.256230789298584</v>
      </c>
      <c r="F858" s="10">
        <f t="shared" si="102"/>
        <v>4.5</v>
      </c>
      <c r="G858" s="4">
        <f t="shared" si="101"/>
        <v>207435.30164732694</v>
      </c>
      <c r="H858" s="42">
        <f t="shared" si="103"/>
        <v>7.8178469456398201</v>
      </c>
      <c r="I858" s="10">
        <f t="shared" si="104"/>
        <v>1.1926998844190186</v>
      </c>
      <c r="J858" s="4">
        <f t="shared" si="105"/>
        <v>474.38516858130185</v>
      </c>
      <c r="K858" s="4">
        <f t="shared" si="107"/>
        <v>106.64654659891683</v>
      </c>
      <c r="L858" s="42">
        <f>Pressure!Q858</f>
        <v>0.40145274292876354</v>
      </c>
      <c r="M858" s="10">
        <f t="shared" si="108"/>
        <v>0.22987212211509642</v>
      </c>
      <c r="N858" s="10">
        <f t="shared" si="106"/>
        <v>2.5992897854448858</v>
      </c>
    </row>
    <row r="859" spans="3:14">
      <c r="C859" s="4">
        <f>Pressure!AB859*1000000</f>
        <v>4893884.9304177575</v>
      </c>
      <c r="D859" s="78">
        <f>Pressure!I859</f>
        <v>8.1256230789298584E-5</v>
      </c>
      <c r="E859" s="40">
        <f>Pressure!H859</f>
        <v>81.256230789298584</v>
      </c>
      <c r="F859" s="10">
        <f t="shared" si="102"/>
        <v>4.5</v>
      </c>
      <c r="G859" s="4">
        <f t="shared" si="101"/>
        <v>207392.55805509444</v>
      </c>
      <c r="H859" s="42">
        <f t="shared" si="103"/>
        <v>7.8165889502030046</v>
      </c>
      <c r="I859" s="10">
        <f t="shared" si="104"/>
        <v>1.192680747655734</v>
      </c>
      <c r="J859" s="4">
        <f t="shared" si="105"/>
        <v>474.27980807710776</v>
      </c>
      <c r="K859" s="4">
        <f t="shared" si="107"/>
        <v>106.62286050022655</v>
      </c>
      <c r="L859" s="42">
        <f>Pressure!Q859</f>
        <v>0.40193728954964059</v>
      </c>
      <c r="M859" s="10">
        <f t="shared" si="108"/>
        <v>0.22983620439211733</v>
      </c>
      <c r="N859" s="10">
        <f t="shared" si="106"/>
        <v>2.5992897854448858</v>
      </c>
    </row>
    <row r="860" spans="3:14">
      <c r="C860" s="4">
        <f>Pressure!AB860*1000000</f>
        <v>4892873.844050738</v>
      </c>
      <c r="D860" s="78">
        <f>Pressure!I860</f>
        <v>8.1256230789298584E-5</v>
      </c>
      <c r="E860" s="40">
        <f>Pressure!H860</f>
        <v>81.256230789298584</v>
      </c>
      <c r="F860" s="10">
        <f t="shared" si="102"/>
        <v>4.5</v>
      </c>
      <c r="G860" s="4">
        <f t="shared" si="101"/>
        <v>207349.71033982278</v>
      </c>
      <c r="H860" s="42">
        <f t="shared" si="103"/>
        <v>7.8153278441575127</v>
      </c>
      <c r="I860" s="10">
        <f t="shared" si="104"/>
        <v>1.1926615563567973</v>
      </c>
      <c r="J860" s="4">
        <f t="shared" si="105"/>
        <v>474.17419091559191</v>
      </c>
      <c r="K860" s="4">
        <f t="shared" si="107"/>
        <v>106.59911670239465</v>
      </c>
      <c r="L860" s="42">
        <f>Pressure!Q860</f>
        <v>0.40242186802522556</v>
      </c>
      <c r="M860" s="10">
        <f t="shared" si="108"/>
        <v>0.22980019649717723</v>
      </c>
      <c r="N860" s="10">
        <f t="shared" si="106"/>
        <v>2.5992897854448858</v>
      </c>
    </row>
    <row r="861" spans="3:14">
      <c r="C861" s="4">
        <f>Pressure!AB861*1000000</f>
        <v>4891860.3011016911</v>
      </c>
      <c r="D861" s="78">
        <f>Pressure!I861</f>
        <v>8.1256230789298584E-5</v>
      </c>
      <c r="E861" s="40">
        <f>Pressure!H861</f>
        <v>81.256230789298584</v>
      </c>
      <c r="F861" s="10">
        <f>aexit/E861</f>
        <v>4.5</v>
      </c>
      <c r="G861" s="4">
        <f t="shared" si="101"/>
        <v>207306.7585197677</v>
      </c>
      <c r="H861" s="42">
        <f t="shared" ref="H861:H909" si="109">1/(((k+1)/2)^(1/(k-1))*(patm*1000000/C861)^(1/k)*SQRT((k+1)/(k-1)*(1-(patm*1000000/C861)^((k-1)/k))))</f>
        <v>7.814063627692132</v>
      </c>
      <c r="I861" s="10">
        <f t="shared" ref="I861:I909" si="110">etanoz*SQRT(2*k^2/(k-1)*(2/(k+1))^((k+1)/(k-1))*(1-(G861/C861)^((k-1)/k)))+(G861-patm*1000000)/C861*(aexit/E861)</f>
        <v>1.1926423104676576</v>
      </c>
      <c r="J861" s="4">
        <f t="shared" ref="J861:J910" si="111">I861*D861*C861</f>
        <v>474.06831714175377</v>
      </c>
      <c r="K861" s="4">
        <f t="shared" si="107"/>
        <v>106.57531521553747</v>
      </c>
      <c r="L861" s="42">
        <f>Pressure!Q861</f>
        <v>0.40290647844180866</v>
      </c>
      <c r="M861" s="10">
        <f t="shared" si="108"/>
        <v>0.22976409842573589</v>
      </c>
      <c r="N861" s="10">
        <f t="shared" si="106"/>
        <v>2.5992897854448858</v>
      </c>
    </row>
    <row r="862" spans="3:14">
      <c r="C862" s="4">
        <f>Pressure!AB862*1000000</f>
        <v>4890844.3020025548</v>
      </c>
      <c r="D862" s="78">
        <f>Pressure!I862</f>
        <v>8.1256230789298584E-5</v>
      </c>
      <c r="E862" s="112">
        <f>Pressure!H862</f>
        <v>81.256230789298584</v>
      </c>
      <c r="F862" s="113">
        <f>aexit/E862</f>
        <v>4.5</v>
      </c>
      <c r="G862" s="4">
        <f t="shared" si="101"/>
        <v>207263.70261323385</v>
      </c>
      <c r="H862" s="42">
        <f t="shared" si="109"/>
        <v>7.8127963009961503</v>
      </c>
      <c r="I862" s="10">
        <f t="shared" si="110"/>
        <v>1.1926230099335828</v>
      </c>
      <c r="J862" s="4">
        <f t="shared" si="111"/>
        <v>473.96218680071314</v>
      </c>
      <c r="K862" s="4">
        <f t="shared" si="107"/>
        <v>106.55145604979838</v>
      </c>
      <c r="L862" s="42">
        <f>Pressure!Q862</f>
        <v>0.40339112088573409</v>
      </c>
      <c r="M862" s="10">
        <f t="shared" si="108"/>
        <v>0.22972791017326782</v>
      </c>
      <c r="N862" s="113">
        <f>N861-1/834*(me-mef)</f>
        <v>2.5992897854448858</v>
      </c>
    </row>
    <row r="863" spans="3:14">
      <c r="C863" s="4">
        <f>Pressure!AB863*1000000</f>
        <v>4570692.1334845293</v>
      </c>
      <c r="D863" s="80">
        <f>astarf</f>
        <v>8.1256230789298584E-5</v>
      </c>
      <c r="E863" s="40">
        <f>atfinal</f>
        <v>81.256230789298584</v>
      </c>
      <c r="G863" s="4">
        <f t="shared" ref="G863:G910" si="112">IF(C863/(1+(k-1)/2*mef^2)^(k/(k-1))&lt;patm*1000000,patm*1000000,C863/(1+(k-1)/2*mef^2)^(k/(k-1)))</f>
        <v>193696.32656334966</v>
      </c>
      <c r="H863" s="42">
        <f t="shared" si="109"/>
        <v>7.4110585784411445</v>
      </c>
      <c r="I863" s="10">
        <f t="shared" si="110"/>
        <v>1.1861138562088136</v>
      </c>
      <c r="J863" s="4">
        <f t="shared" si="111"/>
        <v>440.51938270903548</v>
      </c>
      <c r="K863" s="4">
        <f t="shared" si="107"/>
        <v>99.033178074060402</v>
      </c>
      <c r="L863" s="42">
        <f>Pressure!Q863</f>
        <v>0.40380591126550303</v>
      </c>
      <c r="M863" s="10">
        <f t="shared" si="108"/>
        <v>0.18965907875432098</v>
      </c>
    </row>
    <row r="864" spans="3:14">
      <c r="C864" s="4">
        <f>Pressure!AB864*1000000</f>
        <v>4271496.9623022871</v>
      </c>
      <c r="D864" s="80">
        <f t="shared" ref="D864:D910" si="113">astarf</f>
        <v>8.1256230789298584E-5</v>
      </c>
      <c r="E864" s="40">
        <f t="shared" ref="E864:E910" si="114">atfinal</f>
        <v>81.256230789298584</v>
      </c>
      <c r="G864" s="4">
        <f t="shared" si="112"/>
        <v>181017.06401601384</v>
      </c>
      <c r="H864" s="42">
        <f t="shared" si="109"/>
        <v>7.0310688336365228</v>
      </c>
      <c r="I864" s="10">
        <f t="shared" si="110"/>
        <v>1.1791487716054503</v>
      </c>
      <c r="J864" s="4">
        <f t="shared" si="111"/>
        <v>409.26572748208264</v>
      </c>
      <c r="K864" s="4">
        <f t="shared" si="107"/>
        <v>92.00704273235975</v>
      </c>
      <c r="L864" s="42">
        <f>Pressure!Q864</f>
        <v>0.40422070164527196</v>
      </c>
      <c r="M864" s="10">
        <f t="shared" si="108"/>
        <v>0.17624134428908081</v>
      </c>
    </row>
    <row r="865" spans="3:13">
      <c r="C865" s="4">
        <f>Pressure!AB865*1000000</f>
        <v>3991886.9541204073</v>
      </c>
      <c r="D865" s="80">
        <f t="shared" si="113"/>
        <v>8.1256230789298584E-5</v>
      </c>
      <c r="E865" s="40">
        <f t="shared" si="114"/>
        <v>81.256230789298584</v>
      </c>
      <c r="G865" s="4">
        <f t="shared" si="112"/>
        <v>169167.77951522445</v>
      </c>
      <c r="H865" s="42">
        <f t="shared" si="109"/>
        <v>6.6716355040625448</v>
      </c>
      <c r="I865" s="10">
        <f t="shared" si="110"/>
        <v>1.1716958206408108</v>
      </c>
      <c r="J865" s="4">
        <f t="shared" si="111"/>
        <v>380.05792055394534</v>
      </c>
      <c r="K865" s="4">
        <f t="shared" si="107"/>
        <v>85.440834619384319</v>
      </c>
      <c r="L865" s="42">
        <f>Pressure!Q865</f>
        <v>0.4046354920250409</v>
      </c>
      <c r="M865" s="10">
        <f t="shared" si="108"/>
        <v>0.16370192786473331</v>
      </c>
    </row>
    <row r="866" spans="3:13">
      <c r="C866" s="4">
        <f>Pressure!AB866*1000000</f>
        <v>3730580.0741779846</v>
      </c>
      <c r="D866" s="80">
        <f t="shared" si="113"/>
        <v>8.1256230789298584E-5</v>
      </c>
      <c r="E866" s="40">
        <f t="shared" si="114"/>
        <v>81.256230789298584</v>
      </c>
      <c r="G866" s="4">
        <f t="shared" si="112"/>
        <v>158094.1431222191</v>
      </c>
      <c r="H866" s="42">
        <f t="shared" si="109"/>
        <v>6.3316335090624642</v>
      </c>
      <c r="I866" s="10">
        <f t="shared" si="110"/>
        <v>1.1637208309250358</v>
      </c>
      <c r="J866" s="4">
        <f t="shared" si="111"/>
        <v>352.7620417405243</v>
      </c>
      <c r="K866" s="4">
        <f t="shared" si="107"/>
        <v>79.304447133789921</v>
      </c>
      <c r="L866" s="42">
        <f>Pressure!Q866</f>
        <v>0.40505028240480984</v>
      </c>
      <c r="M866" s="10">
        <f t="shared" si="108"/>
        <v>0.15198333523119048</v>
      </c>
    </row>
    <row r="867" spans="3:13">
      <c r="C867" s="4">
        <f>Pressure!AB867*1000000</f>
        <v>3486378.2090543713</v>
      </c>
      <c r="D867" s="80">
        <f t="shared" si="113"/>
        <v>8.1256230789298584E-5</v>
      </c>
      <c r="E867" s="40">
        <f t="shared" si="114"/>
        <v>81.256230789298584</v>
      </c>
      <c r="G867" s="4">
        <f t="shared" si="112"/>
        <v>147745.38130826119</v>
      </c>
      <c r="H867" s="42">
        <f t="shared" si="109"/>
        <v>6.0100005386280477</v>
      </c>
      <c r="I867" s="10">
        <f t="shared" si="110"/>
        <v>1.1551872364778877</v>
      </c>
      <c r="J867" s="4">
        <f t="shared" si="111"/>
        <v>327.25293720453089</v>
      </c>
      <c r="K867" s="4">
        <f t="shared" si="107"/>
        <v>73.569744436970211</v>
      </c>
      <c r="L867" s="42">
        <f>Pressure!Q867</f>
        <v>0.40546507278457877</v>
      </c>
      <c r="M867" s="10">
        <f t="shared" si="108"/>
        <v>0.14103183568259248</v>
      </c>
    </row>
    <row r="868" spans="3:13">
      <c r="C868" s="4">
        <f>Pressure!AB868*1000000</f>
        <v>3258161.673221135</v>
      </c>
      <c r="D868" s="80">
        <f t="shared" si="113"/>
        <v>8.1256230789298584E-5</v>
      </c>
      <c r="E868" s="40">
        <f t="shared" si="114"/>
        <v>81.256230789298584</v>
      </c>
      <c r="G868" s="4">
        <f t="shared" si="112"/>
        <v>138074.04415385722</v>
      </c>
      <c r="H868" s="42">
        <f t="shared" si="109"/>
        <v>5.7057335534096332</v>
      </c>
      <c r="I868" s="10">
        <f t="shared" si="110"/>
        <v>1.146055910070739</v>
      </c>
      <c r="J868" s="4">
        <f t="shared" si="111"/>
        <v>303.41364561490508</v>
      </c>
      <c r="K868" s="4">
        <f t="shared" si="107"/>
        <v>68.210432447935133</v>
      </c>
      <c r="L868" s="42">
        <f>Pressure!Q868</f>
        <v>0.40587986316434771</v>
      </c>
      <c r="M868" s="10">
        <f t="shared" si="108"/>
        <v>0.1307972156976257</v>
      </c>
    </row>
    <row r="869" spans="3:13">
      <c r="C869" s="4">
        <f>Pressure!AB869*1000000</f>
        <v>3044884.0751923118</v>
      </c>
      <c r="D869" s="80">
        <f t="shared" si="113"/>
        <v>8.1256230789298584E-5</v>
      </c>
      <c r="E869" s="40">
        <f t="shared" si="114"/>
        <v>81.256230789298584</v>
      </c>
      <c r="G869" s="4">
        <f t="shared" si="112"/>
        <v>129035.78778699409</v>
      </c>
      <c r="H869" s="42">
        <f t="shared" si="109"/>
        <v>5.4178854841977717</v>
      </c>
      <c r="I869" s="10">
        <f t="shared" si="110"/>
        <v>1.136284983825028</v>
      </c>
      <c r="J869" s="4">
        <f t="shared" si="111"/>
        <v>281.13486186954395</v>
      </c>
      <c r="K869" s="4">
        <f t="shared" si="107"/>
        <v>63.201938282798423</v>
      </c>
      <c r="L869" s="42">
        <f>Pressure!Q869</f>
        <v>0.40629465354411665</v>
      </c>
      <c r="M869" s="10">
        <f t="shared" si="108"/>
        <v>0.12123254870641989</v>
      </c>
    </row>
    <row r="870" spans="3:13">
      <c r="C870" s="4">
        <f>Pressure!AB870*1000000</f>
        <v>2845567.5197338439</v>
      </c>
      <c r="D870" s="80">
        <f t="shared" si="113"/>
        <v>8.1256230789298584E-5</v>
      </c>
      <c r="E870" s="40">
        <f t="shared" si="114"/>
        <v>81.256230789298584</v>
      </c>
      <c r="G870" s="4">
        <f t="shared" si="112"/>
        <v>120589.1710628585</v>
      </c>
      <c r="H870" s="42">
        <f t="shared" si="109"/>
        <v>5.1455621198256525</v>
      </c>
      <c r="I870" s="10">
        <f t="shared" si="110"/>
        <v>1.1258296572446109</v>
      </c>
      <c r="J870" s="4">
        <f t="shared" si="111"/>
        <v>260.31443592246734</v>
      </c>
      <c r="K870" s="4">
        <f t="shared" si="107"/>
        <v>58.521297586094903</v>
      </c>
      <c r="L870" s="42">
        <f>Pressure!Q870</f>
        <v>0.40670944392388558</v>
      </c>
      <c r="M870" s="10">
        <f t="shared" si="108"/>
        <v>0.11229397992838624</v>
      </c>
    </row>
    <row r="871" spans="3:13">
      <c r="C871" s="4">
        <f>Pressure!AB871*1000000</f>
        <v>2659298.1241339403</v>
      </c>
      <c r="D871" s="80">
        <f t="shared" si="113"/>
        <v>8.1256230789298584E-5</v>
      </c>
      <c r="E871" s="40">
        <f t="shared" si="114"/>
        <v>81.256230789298584</v>
      </c>
      <c r="G871" s="4">
        <f t="shared" si="112"/>
        <v>112695.46555279806</v>
      </c>
      <c r="H871" s="42">
        <f t="shared" si="109"/>
        <v>4.887919173109152</v>
      </c>
      <c r="I871" s="10">
        <f t="shared" si="110"/>
        <v>1.1146419918018231</v>
      </c>
      <c r="J871" s="4">
        <f t="shared" si="111"/>
        <v>240.85690441750106</v>
      </c>
      <c r="K871" s="4">
        <f t="shared" si="107"/>
        <v>54.14704923733219</v>
      </c>
      <c r="L871" s="42">
        <f>Pressure!Q871</f>
        <v>0.40712423430365452</v>
      </c>
      <c r="M871" s="10">
        <f t="shared" si="108"/>
        <v>0.10394052529446127</v>
      </c>
    </row>
    <row r="872" spans="3:13">
      <c r="C872" s="4">
        <f>Pressure!AB872*1000000</f>
        <v>2485221.8279760759</v>
      </c>
      <c r="D872" s="80">
        <f t="shared" si="113"/>
        <v>8.1256230789298584E-5</v>
      </c>
      <c r="E872" s="40">
        <f t="shared" si="114"/>
        <v>81.256230789298584</v>
      </c>
      <c r="G872" s="4">
        <f t="shared" si="112"/>
        <v>105318.47797130748</v>
      </c>
      <c r="H872" s="42">
        <f t="shared" si="109"/>
        <v>4.644159515077928</v>
      </c>
      <c r="I872" s="10">
        <f t="shared" si="110"/>
        <v>1.1026706911354058</v>
      </c>
      <c r="J872" s="4">
        <f t="shared" si="111"/>
        <v>222.67305298097847</v>
      </c>
      <c r="K872" s="4">
        <f t="shared" si="107"/>
        <v>50.059136949997409</v>
      </c>
      <c r="L872" s="42">
        <f>Pressure!Q872</f>
        <v>0.40753902468342346</v>
      </c>
      <c r="M872" s="10">
        <f t="shared" si="108"/>
        <v>9.6133883531797193E-2</v>
      </c>
    </row>
    <row r="873" spans="3:13">
      <c r="C873" s="4">
        <f>Pressure!AB873*1000000</f>
        <v>2322540.4772021226</v>
      </c>
      <c r="D873" s="80">
        <f t="shared" si="113"/>
        <v>8.1256230789298584E-5</v>
      </c>
      <c r="E873" s="40">
        <f t="shared" si="114"/>
        <v>81.256230789298584</v>
      </c>
      <c r="G873" s="4">
        <f t="shared" si="112"/>
        <v>101000</v>
      </c>
      <c r="H873" s="42">
        <f t="shared" si="109"/>
        <v>4.4135305683592385</v>
      </c>
      <c r="I873" s="10">
        <f t="shared" si="110"/>
        <v>1.0911446809479743</v>
      </c>
      <c r="J873" s="4">
        <f t="shared" si="111"/>
        <v>205.9217898875776</v>
      </c>
      <c r="K873" s="4">
        <f t="shared" si="107"/>
        <v>46.293284898965332</v>
      </c>
      <c r="L873" s="42">
        <f>Pressure!Q873</f>
        <v>0.40795381506319239</v>
      </c>
      <c r="M873" s="10">
        <f t="shared" si="108"/>
        <v>8.8888508820228057E-2</v>
      </c>
    </row>
    <row r="874" spans="3:13">
      <c r="C874" s="4">
        <f>Pressure!AB874*1000000</f>
        <v>2170508.1645106934</v>
      </c>
      <c r="D874" s="80">
        <f t="shared" si="113"/>
        <v>8.1256230789298584E-5</v>
      </c>
      <c r="E874" s="40">
        <f t="shared" si="114"/>
        <v>81.256230789298584</v>
      </c>
      <c r="G874" s="4">
        <f t="shared" si="112"/>
        <v>101000</v>
      </c>
      <c r="H874" s="42">
        <f t="shared" si="109"/>
        <v>4.1953218511596893</v>
      </c>
      <c r="I874" s="10">
        <f t="shared" si="110"/>
        <v>1.081316270189931</v>
      </c>
      <c r="J874" s="4">
        <f t="shared" si="111"/>
        <v>190.70884436889946</v>
      </c>
      <c r="K874" s="4">
        <f t="shared" si="107"/>
        <v>42.873262076547697</v>
      </c>
      <c r="L874" s="42">
        <f>Pressure!Q874</f>
        <v>0.40836860544296133</v>
      </c>
      <c r="M874" s="10">
        <f t="shared" si="108"/>
        <v>8.2259285705619176E-2</v>
      </c>
    </row>
    <row r="875" spans="3:13">
      <c r="C875" s="4">
        <f>Pressure!AB875*1000000</f>
        <v>2028427.8093111517</v>
      </c>
      <c r="D875" s="80">
        <f t="shared" si="113"/>
        <v>8.1256230789298584E-5</v>
      </c>
      <c r="E875" s="40">
        <f t="shared" si="114"/>
        <v>81.256230789298584</v>
      </c>
      <c r="G875" s="4">
        <f t="shared" si="112"/>
        <v>101000</v>
      </c>
      <c r="H875" s="42">
        <f t="shared" si="109"/>
        <v>3.9888626638525002</v>
      </c>
      <c r="I875" s="10">
        <f t="shared" si="110"/>
        <v>1.0713181949881898</v>
      </c>
      <c r="J875" s="4">
        <f t="shared" si="111"/>
        <v>176.57723414698111</v>
      </c>
      <c r="K875" s="4">
        <f t="shared" si="107"/>
        <v>39.696334280603644</v>
      </c>
      <c r="L875" s="42">
        <f>Pressure!Q875</f>
        <v>0.40878339582273027</v>
      </c>
      <c r="M875" s="10">
        <f t="shared" si="108"/>
        <v>7.6173365995722817E-2</v>
      </c>
    </row>
    <row r="876" spans="3:13">
      <c r="C876" s="4">
        <f>Pressure!AB876*1000000</f>
        <v>1895647.9615520779</v>
      </c>
      <c r="D876" s="80">
        <f t="shared" si="113"/>
        <v>8.1256230789298584E-5</v>
      </c>
      <c r="E876" s="40">
        <f t="shared" si="114"/>
        <v>81.256230789298584</v>
      </c>
      <c r="G876" s="4">
        <f t="shared" si="112"/>
        <v>101000</v>
      </c>
      <c r="H876" s="42">
        <f t="shared" si="109"/>
        <v>3.7935199107223525</v>
      </c>
      <c r="I876" s="10">
        <f t="shared" si="110"/>
        <v>1.0611450191524834</v>
      </c>
      <c r="J876" s="4">
        <f t="shared" si="111"/>
        <v>163.45157172826256</v>
      </c>
      <c r="K876" s="4">
        <f t="shared" si="107"/>
        <v>36.745553646028185</v>
      </c>
      <c r="L876" s="42">
        <f>Pressure!Q876</f>
        <v>0.4091981862024992</v>
      </c>
      <c r="M876" s="10">
        <f t="shared" si="108"/>
        <v>7.0520338760685197E-2</v>
      </c>
    </row>
    <row r="877" spans="3:13">
      <c r="C877" s="4">
        <f>Pressure!AB877*1000000</f>
        <v>1771559.8147694909</v>
      </c>
      <c r="D877" s="80">
        <f t="shared" si="113"/>
        <v>8.1256230789298584E-5</v>
      </c>
      <c r="E877" s="40">
        <f t="shared" si="114"/>
        <v>81.256230789298584</v>
      </c>
      <c r="G877" s="4">
        <f t="shared" si="112"/>
        <v>101000</v>
      </c>
      <c r="H877" s="42">
        <f t="shared" si="109"/>
        <v>3.6086960499515039</v>
      </c>
      <c r="I877" s="10">
        <f t="shared" si="110"/>
        <v>1.0507910050600928</v>
      </c>
      <c r="J877" s="4">
        <f t="shared" si="111"/>
        <v>151.26165221873066</v>
      </c>
      <c r="K877" s="4">
        <f t="shared" si="107"/>
        <v>34.005137408104552</v>
      </c>
      <c r="L877" s="42">
        <f>Pressure!Q877</f>
        <v>0.40961297658226814</v>
      </c>
      <c r="M877" s="10">
        <f t="shared" si="108"/>
        <v>6.527000883963989E-2</v>
      </c>
    </row>
    <row r="878" spans="3:13">
      <c r="C878" s="4">
        <f>Pressure!AB878*1000000</f>
        <v>1655594.4146594084</v>
      </c>
      <c r="D878" s="80">
        <f t="shared" si="113"/>
        <v>8.1256230789298584E-5</v>
      </c>
      <c r="E878" s="40">
        <f t="shared" si="114"/>
        <v>81.256230789298584</v>
      </c>
      <c r="G878" s="4">
        <f t="shared" si="112"/>
        <v>101000</v>
      </c>
      <c r="H878" s="42">
        <f t="shared" si="109"/>
        <v>3.4338271654536392</v>
      </c>
      <c r="I878" s="10">
        <f t="shared" si="110"/>
        <v>1.0402500890504562</v>
      </c>
      <c r="J878" s="4">
        <f t="shared" si="111"/>
        <v>139.94210014526584</v>
      </c>
      <c r="K878" s="4">
        <f t="shared" si="107"/>
        <v>31.460388504398598</v>
      </c>
      <c r="L878" s="42">
        <f>Pressure!Q878</f>
        <v>0.41002776696203708</v>
      </c>
      <c r="M878" s="10">
        <f t="shared" si="108"/>
        <v>6.0394257516600755E-2</v>
      </c>
    </row>
    <row r="879" spans="3:13">
      <c r="C879" s="4">
        <f>Pressure!AB879*1000000</f>
        <v>1547220.0503758194</v>
      </c>
      <c r="D879" s="80">
        <f t="shared" si="113"/>
        <v>8.1256230789298584E-5</v>
      </c>
      <c r="E879" s="40">
        <f t="shared" si="114"/>
        <v>81.256230789298584</v>
      </c>
      <c r="G879" s="4">
        <f t="shared" si="112"/>
        <v>101000</v>
      </c>
      <c r="H879" s="42">
        <f t="shared" si="109"/>
        <v>3.2683811546817858</v>
      </c>
      <c r="I879" s="10">
        <f t="shared" si="110"/>
        <v>1.0295158541485083</v>
      </c>
      <c r="J879" s="4">
        <f t="shared" si="111"/>
        <v>129.43204014895247</v>
      </c>
      <c r="K879" s="4">
        <f t="shared" si="107"/>
        <v>29.097621543310208</v>
      </c>
      <c r="L879" s="42">
        <f>Pressure!Q879</f>
        <v>0.41044255734180601</v>
      </c>
      <c r="M879" s="10">
        <f t="shared" si="108"/>
        <v>5.5866900976284828E-2</v>
      </c>
    </row>
    <row r="880" spans="3:13">
      <c r="C880" s="4">
        <f>Pressure!AB880*1000000</f>
        <v>1445939.8165929592</v>
      </c>
      <c r="D880" s="80">
        <f t="shared" si="113"/>
        <v>8.1256230789298584E-5</v>
      </c>
      <c r="E880" s="40">
        <f t="shared" si="114"/>
        <v>81.256230789298584</v>
      </c>
      <c r="G880" s="4">
        <f t="shared" si="112"/>
        <v>101000</v>
      </c>
      <c r="H880" s="42">
        <f t="shared" si="109"/>
        <v>3.1118560270601119</v>
      </c>
      <c r="I880" s="10">
        <f t="shared" si="110"/>
        <v>1.0185814997520084</v>
      </c>
      <c r="J880" s="4">
        <f t="shared" si="111"/>
        <v>119.67478994208486</v>
      </c>
      <c r="K880" s="4">
        <f t="shared" si="107"/>
        <v>26.904093777726914</v>
      </c>
      <c r="L880" s="42">
        <f>Pressure!Q880</f>
        <v>0.41085734772157495</v>
      </c>
      <c r="M880" s="10">
        <f t="shared" si="108"/>
        <v>5.1663558328248683E-2</v>
      </c>
    </row>
    <row r="881" spans="3:13">
      <c r="C881" s="4">
        <f>Pressure!AB881*1000000</f>
        <v>1351289.3351537427</v>
      </c>
      <c r="D881" s="80">
        <f t="shared" si="113"/>
        <v>8.1256230789298584E-5</v>
      </c>
      <c r="E881" s="40">
        <f t="shared" si="114"/>
        <v>81.256230789298584</v>
      </c>
      <c r="G881" s="4">
        <f t="shared" si="112"/>
        <v>101000</v>
      </c>
      <c r="H881" s="42">
        <f t="shared" si="109"/>
        <v>2.9637783082240725</v>
      </c>
      <c r="I881" s="10">
        <f t="shared" si="110"/>
        <v>1.0074398078576441</v>
      </c>
      <c r="J881" s="4">
        <f t="shared" si="111"/>
        <v>110.61757402792735</v>
      </c>
      <c r="K881" s="4">
        <f t="shared" si="107"/>
        <v>24.867940746352986</v>
      </c>
      <c r="L881" s="42">
        <f>Pressure!Q881</f>
        <v>0.41127213810134389</v>
      </c>
      <c r="M881" s="10">
        <f t="shared" si="108"/>
        <v>4.7761528554503788E-2</v>
      </c>
    </row>
    <row r="882" spans="3:13">
      <c r="C882" s="4">
        <f>Pressure!AB882*1000000</f>
        <v>1262834.6258579229</v>
      </c>
      <c r="D882" s="80">
        <f t="shared" si="113"/>
        <v>8.1256230789298584E-5</v>
      </c>
      <c r="E882" s="40">
        <f t="shared" si="114"/>
        <v>81.256230789298584</v>
      </c>
      <c r="G882" s="4">
        <f t="shared" si="112"/>
        <v>101000</v>
      </c>
      <c r="H882" s="42">
        <f t="shared" si="109"/>
        <v>2.8237015458093211</v>
      </c>
      <c r="I882" s="10">
        <f t="shared" si="110"/>
        <v>0.99608310532832367</v>
      </c>
      <c r="J882" s="4">
        <f t="shared" si="111"/>
        <v>102.21125678236365</v>
      </c>
      <c r="K882" s="4">
        <f t="shared" si="107"/>
        <v>22.978116267785541</v>
      </c>
      <c r="L882" s="42">
        <f>Pressure!Q882</f>
        <v>0.41168692848111282</v>
      </c>
      <c r="M882" s="10">
        <f t="shared" si="108"/>
        <v>4.4139675778789689E-2</v>
      </c>
    </row>
    <row r="883" spans="3:13">
      <c r="C883" s="4">
        <f>Pressure!AB883*1000000</f>
        <v>1180170.1166273754</v>
      </c>
      <c r="D883" s="80">
        <f t="shared" si="113"/>
        <v>8.1256230789298584E-5</v>
      </c>
      <c r="E883" s="40">
        <f t="shared" si="114"/>
        <v>81.256230789298584</v>
      </c>
      <c r="G883" s="4">
        <f t="shared" si="112"/>
        <v>101000</v>
      </c>
      <c r="H883" s="42">
        <f t="shared" si="109"/>
        <v>2.6912049131186744</v>
      </c>
      <c r="I883" s="10">
        <f t="shared" si="110"/>
        <v>0.98450322161707293</v>
      </c>
      <c r="J883" s="4">
        <f t="shared" si="111"/>
        <v>94.410093589869959</v>
      </c>
      <c r="K883" s="4">
        <f t="shared" si="107"/>
        <v>21.224336493383831</v>
      </c>
      <c r="L883" s="42">
        <f>Pressure!Q883</f>
        <v>0.41210171886088176</v>
      </c>
      <c r="M883" s="10">
        <f t="shared" si="108"/>
        <v>4.0778322295789975E-2</v>
      </c>
    </row>
    <row r="884" spans="3:13">
      <c r="C884" s="4">
        <f>Pressure!AB884*1000000</f>
        <v>1102916.7839249377</v>
      </c>
      <c r="D884" s="80">
        <f t="shared" si="113"/>
        <v>8.1256230789298584E-5</v>
      </c>
      <c r="E884" s="40">
        <f t="shared" si="114"/>
        <v>81.256230789298584</v>
      </c>
      <c r="G884" s="4">
        <f t="shared" si="112"/>
        <v>101000</v>
      </c>
      <c r="H884" s="42">
        <f t="shared" si="109"/>
        <v>2.56589190763356</v>
      </c>
      <c r="I884" s="10">
        <f t="shared" si="110"/>
        <v>0.97269144125791418</v>
      </c>
      <c r="J884" s="4">
        <f t="shared" si="111"/>
        <v>87.171498813187952</v>
      </c>
      <c r="K884" s="4">
        <f t="shared" si="107"/>
        <v>19.597027744523167</v>
      </c>
      <c r="L884" s="42">
        <f>Pressure!Q884</f>
        <v>0.4125165092406507</v>
      </c>
      <c r="M884" s="10">
        <f t="shared" si="108"/>
        <v>3.7659148835956335E-2</v>
      </c>
    </row>
    <row r="885" spans="3:13">
      <c r="C885" s="4">
        <f>Pressure!AB885*1000000</f>
        <v>1030720.4149004896</v>
      </c>
      <c r="D885" s="80">
        <f t="shared" si="113"/>
        <v>8.1256230789298584E-5</v>
      </c>
      <c r="E885" s="40">
        <f t="shared" si="114"/>
        <v>81.256230789298584</v>
      </c>
      <c r="G885" s="4">
        <f t="shared" si="112"/>
        <v>101000</v>
      </c>
      <c r="H885" s="42">
        <f t="shared" si="109"/>
        <v>2.447389142041434</v>
      </c>
      <c r="I885" s="10">
        <f t="shared" si="110"/>
        <v>0.96063845030663575</v>
      </c>
      <c r="J885" s="4">
        <f t="shared" si="111"/>
        <v>80.455829457058712</v>
      </c>
      <c r="K885" s="4">
        <f t="shared" si="107"/>
        <v>18.087277878031273</v>
      </c>
      <c r="L885" s="42">
        <f>Pressure!Q885</f>
        <v>0.41293129962041963</v>
      </c>
      <c r="M885" s="10">
        <f t="shared" si="108"/>
        <v>3.4765101576433921E-2</v>
      </c>
    </row>
    <row r="886" spans="3:13">
      <c r="C886" s="4">
        <f>Pressure!AB886*1000000</f>
        <v>963249.98329605744</v>
      </c>
      <c r="D886" s="80">
        <f t="shared" si="113"/>
        <v>8.1256230789298584E-5</v>
      </c>
      <c r="E886" s="40">
        <f t="shared" si="114"/>
        <v>81.256230789298584</v>
      </c>
      <c r="G886" s="4">
        <f t="shared" si="112"/>
        <v>101000</v>
      </c>
      <c r="H886" s="42">
        <f t="shared" si="109"/>
        <v>2.335345226248585</v>
      </c>
      <c r="I886" s="10">
        <f t="shared" si="110"/>
        <v>0.94833427575886553</v>
      </c>
      <c r="J886" s="4">
        <f t="shared" si="111"/>
        <v>74.226183461756065</v>
      </c>
      <c r="K886" s="4">
        <f t="shared" si="107"/>
        <v>16.686790940550349</v>
      </c>
      <c r="L886" s="42">
        <f>Pressure!Q886</f>
        <v>0.41334609000018857</v>
      </c>
      <c r="M886" s="10">
        <f t="shared" si="108"/>
        <v>3.2080305441009385E-2</v>
      </c>
    </row>
    <row r="887" spans="3:13">
      <c r="C887" s="4">
        <f>Pressure!AB887*1000000</f>
        <v>900196.13166334108</v>
      </c>
      <c r="D887" s="80">
        <f t="shared" si="113"/>
        <v>8.1256230789298584E-5</v>
      </c>
      <c r="E887" s="40">
        <f t="shared" si="114"/>
        <v>81.256230789298584</v>
      </c>
      <c r="G887" s="4">
        <f t="shared" si="112"/>
        <v>101000</v>
      </c>
      <c r="H887" s="42">
        <f t="shared" si="109"/>
        <v>2.2294297397719851</v>
      </c>
      <c r="I887" s="10">
        <f t="shared" si="110"/>
        <v>0.93576821678217148</v>
      </c>
      <c r="J887" s="4">
        <f t="shared" si="111"/>
        <v>68.448211632258364</v>
      </c>
      <c r="K887" s="4">
        <f t="shared" si="107"/>
        <v>15.387844888327495</v>
      </c>
      <c r="L887" s="42">
        <f>Pressure!Q887</f>
        <v>0.41376088037995751</v>
      </c>
      <c r="M887" s="10">
        <f t="shared" si="108"/>
        <v>2.9589983262174782E-2</v>
      </c>
    </row>
    <row r="888" spans="3:13">
      <c r="C888" s="4">
        <f>Pressure!AB888*1000000</f>
        <v>841269.75293450849</v>
      </c>
      <c r="D888" s="80">
        <f t="shared" si="113"/>
        <v>8.1256230789298584E-5</v>
      </c>
      <c r="E888" s="40">
        <f t="shared" si="114"/>
        <v>81.256230789298584</v>
      </c>
      <c r="G888" s="4">
        <f t="shared" si="112"/>
        <v>101000</v>
      </c>
      <c r="H888" s="42">
        <f t="shared" si="109"/>
        <v>2.1293322949980538</v>
      </c>
      <c r="I888" s="10">
        <f t="shared" si="110"/>
        <v>0.92292876636366872</v>
      </c>
      <c r="J888" s="4">
        <f t="shared" si="111"/>
        <v>63.089942274002752</v>
      </c>
      <c r="K888" s="4">
        <f t="shared" si="107"/>
        <v>14.183252163572401</v>
      </c>
      <c r="L888" s="42">
        <f>Pressure!Q888</f>
        <v>0.41417567075972644</v>
      </c>
      <c r="M888" s="10">
        <f t="shared" si="108"/>
        <v>2.728038040644145E-2</v>
      </c>
    </row>
    <row r="889" spans="3:13">
      <c r="C889" s="4">
        <f>Pressure!AB889*1000000</f>
        <v>786200.66484263667</v>
      </c>
      <c r="D889" s="80">
        <f t="shared" si="113"/>
        <v>8.1256230789298584E-5</v>
      </c>
      <c r="E889" s="40">
        <f t="shared" si="114"/>
        <v>81.256230789298584</v>
      </c>
      <c r="G889" s="4">
        <f t="shared" si="112"/>
        <v>101000</v>
      </c>
      <c r="H889" s="42">
        <f t="shared" si="109"/>
        <v>2.034761693119441</v>
      </c>
      <c r="I889" s="10">
        <f t="shared" si="110"/>
        <v>0.90980352168266021</v>
      </c>
      <c r="J889" s="4">
        <f t="shared" si="111"/>
        <v>58.121617666523605</v>
      </c>
      <c r="K889" s="4">
        <f t="shared" si="107"/>
        <v>13.066322932090195</v>
      </c>
      <c r="L889" s="42">
        <f>Pressure!Q889</f>
        <v>0.41459046113949538</v>
      </c>
      <c r="M889" s="10">
        <f t="shared" si="108"/>
        <v>2.5138694490058084E-2</v>
      </c>
    </row>
    <row r="890" spans="3:13">
      <c r="C890" s="4">
        <f>Pressure!AB890*1000000</f>
        <v>734736.37111391942</v>
      </c>
      <c r="D890" s="80">
        <f t="shared" si="113"/>
        <v>8.1256230789298584E-5</v>
      </c>
      <c r="E890" s="40">
        <f t="shared" si="114"/>
        <v>81.256230789298584</v>
      </c>
      <c r="G890" s="4">
        <f t="shared" si="112"/>
        <v>101000</v>
      </c>
      <c r="H890" s="42">
        <f t="shared" si="109"/>
        <v>1.9454451761925282</v>
      </c>
      <c r="I890" s="10">
        <f t="shared" si="110"/>
        <v>0.89637908115314247</v>
      </c>
      <c r="J890" s="4">
        <f t="shared" si="111"/>
        <v>53.515541562092551</v>
      </c>
      <c r="K890" s="4">
        <f t="shared" si="107"/>
        <v>12.030830799445292</v>
      </c>
      <c r="L890" s="42">
        <f>Pressure!Q890</f>
        <v>0.41500525151926432</v>
      </c>
      <c r="M890" s="10">
        <f t="shared" si="108"/>
        <v>2.3153009836381477E-2</v>
      </c>
    </row>
    <row r="891" spans="3:13">
      <c r="C891" s="4">
        <f>Pressure!AB891*1000000</f>
        <v>686640.9037515925</v>
      </c>
      <c r="D891" s="80">
        <f t="shared" si="113"/>
        <v>8.1256230789298584E-5</v>
      </c>
      <c r="E891" s="40">
        <f t="shared" si="114"/>
        <v>81.256230789298584</v>
      </c>
      <c r="G891" s="4">
        <f t="shared" si="112"/>
        <v>101000</v>
      </c>
      <c r="H891" s="42">
        <f t="shared" si="109"/>
        <v>1.8611277808073208</v>
      </c>
      <c r="I891" s="10">
        <f t="shared" si="110"/>
        <v>0.88264092562230445</v>
      </c>
      <c r="J891" s="4">
        <f t="shared" si="111"/>
        <v>49.245936947897924</v>
      </c>
      <c r="K891" s="4">
        <f t="shared" si="107"/>
        <v>11.070980834471904</v>
      </c>
      <c r="L891" s="42">
        <f>Pressure!Q891</f>
        <v>0.41542004189903325</v>
      </c>
      <c r="M891" s="10">
        <f t="shared" si="108"/>
        <v>2.1312236348388188E-2</v>
      </c>
    </row>
    <row r="892" spans="3:13">
      <c r="C892" s="4">
        <f>Pressure!AB892*1000000</f>
        <v>641693.74110336858</v>
      </c>
      <c r="D892" s="80">
        <f t="shared" si="113"/>
        <v>8.1256230789298584E-5</v>
      </c>
      <c r="E892" s="40">
        <f t="shared" si="114"/>
        <v>81.256230789298584</v>
      </c>
      <c r="G892" s="4">
        <f t="shared" si="112"/>
        <v>101000</v>
      </c>
      <c r="H892" s="42">
        <f t="shared" si="109"/>
        <v>1.7815718014780215</v>
      </c>
      <c r="I892" s="10">
        <f t="shared" si="110"/>
        <v>0.86857328062998207</v>
      </c>
      <c r="J892" s="4">
        <f t="shared" si="111"/>
        <v>45.288813357425525</v>
      </c>
      <c r="K892" s="4">
        <f t="shared" si="107"/>
        <v>10.181379739540832</v>
      </c>
      <c r="L892" s="42">
        <f>Pressure!Q892</f>
        <v>0.41583483227880219</v>
      </c>
      <c r="M892" s="10">
        <f t="shared" si="108"/>
        <v>1.9606052490253361E-2</v>
      </c>
    </row>
    <row r="893" spans="3:13">
      <c r="C893" s="4">
        <f>Pressure!AB893*1000000</f>
        <v>599688.79675161908</v>
      </c>
      <c r="D893" s="80">
        <f t="shared" si="113"/>
        <v>8.1256230789298584E-5</v>
      </c>
      <c r="E893" s="40">
        <f t="shared" si="114"/>
        <v>81.256230789298584</v>
      </c>
      <c r="G893" s="4">
        <f t="shared" si="112"/>
        <v>101000</v>
      </c>
      <c r="H893" s="42">
        <f t="shared" si="109"/>
        <v>1.7065563752569148</v>
      </c>
      <c r="I893" s="10">
        <f t="shared" si="110"/>
        <v>0.8541589558919358</v>
      </c>
      <c r="J893" s="4">
        <f t="shared" si="111"/>
        <v>41.621843059532182</v>
      </c>
      <c r="K893" s="4">
        <f t="shared" si="107"/>
        <v>9.3570080166206964</v>
      </c>
      <c r="L893" s="42">
        <f>Pressure!Q893</f>
        <v>0.41624962265857113</v>
      </c>
      <c r="M893" s="10">
        <f t="shared" si="108"/>
        <v>1.8024852090578733E-2</v>
      </c>
    </row>
    <row r="894" spans="3:13">
      <c r="C894" s="4">
        <f>Pressure!AB894*1000000</f>
        <v>560433.47459029313</v>
      </c>
      <c r="D894" s="80">
        <f t="shared" si="113"/>
        <v>8.1256230789298584E-5</v>
      </c>
      <c r="E894" s="40">
        <f t="shared" si="114"/>
        <v>81.256230789298584</v>
      </c>
      <c r="G894" s="4">
        <f t="shared" si="112"/>
        <v>101000</v>
      </c>
      <c r="H894" s="42">
        <f t="shared" si="109"/>
        <v>1.6358772035432834</v>
      </c>
      <c r="I894" s="10">
        <f t="shared" si="110"/>
        <v>0.8393791572143311</v>
      </c>
      <c r="J894" s="4">
        <f t="shared" si="111"/>
        <v>38.224245492159461</v>
      </c>
      <c r="K894" s="4">
        <f t="shared" si="107"/>
        <v>8.5931939868170186</v>
      </c>
      <c r="L894" s="42">
        <f>Pressure!Q894</f>
        <v>0.41666441303834006</v>
      </c>
      <c r="M894" s="10">
        <f t="shared" si="108"/>
        <v>1.6559694696710165E-2</v>
      </c>
    </row>
    <row r="895" spans="3:13">
      <c r="C895" s="4">
        <f>Pressure!AB895*1000000</f>
        <v>523747.78575601365</v>
      </c>
      <c r="D895" s="80">
        <f t="shared" si="113"/>
        <v>8.1256230789298584E-5</v>
      </c>
      <c r="E895" s="40">
        <f t="shared" si="114"/>
        <v>81.256230789298584</v>
      </c>
      <c r="G895" s="4">
        <f t="shared" si="112"/>
        <v>101000</v>
      </c>
      <c r="H895" s="42">
        <f t="shared" si="109"/>
        <v>1.5693464330275742</v>
      </c>
      <c r="I895" s="10">
        <f t="shared" si="110"/>
        <v>0.8242132648055287</v>
      </c>
      <c r="J895" s="4">
        <f t="shared" si="111"/>
        <v>35.076679341480798</v>
      </c>
      <c r="K895" s="4">
        <f t="shared" si="107"/>
        <v>7.8855895286814439</v>
      </c>
      <c r="L895" s="42">
        <f>Pressure!Q895</f>
        <v>0.417079203418109</v>
      </c>
      <c r="M895" s="10">
        <f t="shared" si="108"/>
        <v>1.5202259224579967E-2</v>
      </c>
    </row>
    <row r="896" spans="3:13">
      <c r="C896" s="4">
        <f>Pressure!AB896*1000000</f>
        <v>489463.52336441691</v>
      </c>
      <c r="D896" s="80">
        <f t="shared" si="113"/>
        <v>8.1256230789298584E-5</v>
      </c>
      <c r="E896" s="40">
        <f t="shared" si="114"/>
        <v>81.256230789298584</v>
      </c>
      <c r="G896" s="4">
        <f t="shared" si="112"/>
        <v>101000</v>
      </c>
      <c r="H896" s="42">
        <f t="shared" si="109"/>
        <v>1.5067927257947895</v>
      </c>
      <c r="I896" s="10">
        <f t="shared" si="110"/>
        <v>0.80863857032326858</v>
      </c>
      <c r="J896" s="4">
        <f t="shared" si="111"/>
        <v>32.16114169609731</v>
      </c>
      <c r="K896" s="4">
        <f t="shared" si="107"/>
        <v>7.230147407062927</v>
      </c>
      <c r="L896" s="42">
        <f>Pressure!Q896</f>
        <v>0.41749399379787794</v>
      </c>
      <c r="M896" s="10">
        <f t="shared" si="108"/>
        <v>1.3944800661506412E-2</v>
      </c>
    </row>
    <row r="897" spans="3:13">
      <c r="C897" s="4">
        <f>Pressure!AB897*1000000</f>
        <v>457423.49126782577</v>
      </c>
      <c r="D897" s="80">
        <f t="shared" si="113"/>
        <v>8.1256230789298584E-5</v>
      </c>
      <c r="E897" s="40">
        <f t="shared" si="114"/>
        <v>81.256230789298584</v>
      </c>
      <c r="G897" s="4">
        <f t="shared" si="112"/>
        <v>101000</v>
      </c>
      <c r="H897" s="42">
        <f t="shared" si="109"/>
        <v>1.4480615597143751</v>
      </c>
      <c r="I897" s="10">
        <f t="shared" si="110"/>
        <v>0.79262996283795784</v>
      </c>
      <c r="J897" s="4">
        <f t="shared" si="111"/>
        <v>29.460873728995381</v>
      </c>
      <c r="K897" s="4">
        <f t="shared" si="107"/>
        <v>6.6231000694652629</v>
      </c>
      <c r="L897" s="42">
        <f>Pressure!Q897</f>
        <v>0.41790878417764687</v>
      </c>
      <c r="M897" s="10">
        <f t="shared" si="108"/>
        <v>1.2780109590150737E-2</v>
      </c>
    </row>
    <row r="898" spans="3:13">
      <c r="C898" s="4">
        <f>Pressure!AB898*1000000</f>
        <v>427480.78329805477</v>
      </c>
      <c r="D898" s="80">
        <f t="shared" si="113"/>
        <v>8.1256230789298584E-5</v>
      </c>
      <c r="E898" s="40">
        <f t="shared" si="114"/>
        <v>81.256230789298584</v>
      </c>
      <c r="G898" s="4">
        <f t="shared" si="112"/>
        <v>101000</v>
      </c>
      <c r="H898" s="42">
        <f t="shared" si="109"/>
        <v>1.3930158157158488</v>
      </c>
      <c r="I898" s="10">
        <f t="shared" si="110"/>
        <v>0.77615955100195522</v>
      </c>
      <c r="J898" s="4">
        <f t="shared" si="111"/>
        <v>26.960272376258096</v>
      </c>
      <c r="K898" s="4">
        <f t="shared" si="107"/>
        <v>6.0609397905350697</v>
      </c>
      <c r="L898" s="42">
        <f>Pressure!Q898</f>
        <v>0.41832357455741581</v>
      </c>
      <c r="M898" s="10">
        <f t="shared" si="108"/>
        <v>1.1701474309998378E-2</v>
      </c>
    </row>
    <row r="899" spans="3:13">
      <c r="C899" s="4">
        <f>Pressure!AB899*1000000</f>
        <v>399498.10968961089</v>
      </c>
      <c r="D899" s="80">
        <f t="shared" si="113"/>
        <v>8.1256230789298584E-5</v>
      </c>
      <c r="E899" s="40">
        <f t="shared" si="114"/>
        <v>81.256230789298584</v>
      </c>
      <c r="G899" s="4">
        <f t="shared" si="112"/>
        <v>101000</v>
      </c>
      <c r="H899" s="42">
        <f t="shared" si="109"/>
        <v>1.3415367304335379</v>
      </c>
      <c r="I899" s="10">
        <f t="shared" si="110"/>
        <v>0.75919620479425565</v>
      </c>
      <c r="J899" s="4">
        <f t="shared" si="111"/>
        <v>24.644807489277724</v>
      </c>
      <c r="K899" s="4">
        <f t="shared" si="107"/>
        <v>5.5404000470477328</v>
      </c>
      <c r="L899" s="42">
        <f>Pressure!Q899</f>
        <v>0.41873836493718475</v>
      </c>
      <c r="M899" s="10">
        <f t="shared" si="108"/>
        <v>1.0702645337715956E-2</v>
      </c>
    </row>
    <row r="900" spans="3:13">
      <c r="C900" s="4">
        <f>Pressure!AB900*1000000</f>
        <v>373347.1675948865</v>
      </c>
      <c r="D900" s="80">
        <f t="shared" si="113"/>
        <v>8.1256230789298584E-5</v>
      </c>
      <c r="E900" s="40">
        <f t="shared" si="114"/>
        <v>81.256230789298584</v>
      </c>
      <c r="G900" s="4">
        <f t="shared" si="112"/>
        <v>101000</v>
      </c>
      <c r="H900" s="42">
        <f t="shared" si="109"/>
        <v>1.2935253241504061</v>
      </c>
      <c r="I900" s="10">
        <f t="shared" si="110"/>
        <v>0.74170499482306695</v>
      </c>
      <c r="J900" s="4">
        <f t="shared" si="111"/>
        <v>22.500943933830996</v>
      </c>
      <c r="K900" s="4">
        <f t="shared" si="107"/>
        <v>5.0584380049977513</v>
      </c>
      <c r="L900" s="42">
        <f>Pressure!Q900</f>
        <v>0.41915315531695369</v>
      </c>
      <c r="M900" s="10">
        <f t="shared" si="108"/>
        <v>9.7778020686415772E-3</v>
      </c>
    </row>
    <row r="901" spans="3:13">
      <c r="C901" s="4">
        <f>Pressure!AB901*1000000</f>
        <v>348908.05280510994</v>
      </c>
      <c r="D901" s="80">
        <f t="shared" si="113"/>
        <v>8.1256230789298584E-5</v>
      </c>
      <c r="E901" s="40">
        <f t="shared" si="114"/>
        <v>81.256230789298584</v>
      </c>
      <c r="G901" s="4">
        <f t="shared" si="112"/>
        <v>101000</v>
      </c>
      <c r="H901" s="42">
        <f t="shared" si="109"/>
        <v>1.2489044599280841</v>
      </c>
      <c r="I901" s="10">
        <f t="shared" si="110"/>
        <v>0.72364649966060135</v>
      </c>
      <c r="J901" s="4">
        <f t="shared" si="111"/>
        <v>20.516068090794459</v>
      </c>
      <c r="K901" s="4">
        <f t="shared" si="107"/>
        <v>4.6122179962219461</v>
      </c>
      <c r="L901" s="42">
        <f>Pressure!Q901</f>
        <v>0.41956794569672262</v>
      </c>
      <c r="M901" s="10">
        <f t="shared" si="108"/>
        <v>8.921521377109656E-3</v>
      </c>
    </row>
    <row r="902" spans="3:13">
      <c r="C902" s="4">
        <f>Pressure!AB902*1000000</f>
        <v>326068.70997973689</v>
      </c>
      <c r="D902" s="80">
        <f t="shared" si="113"/>
        <v>8.1256230789298584E-5</v>
      </c>
      <c r="E902" s="40">
        <f t="shared" si="114"/>
        <v>81.256230789298584</v>
      </c>
      <c r="G902" s="4">
        <f t="shared" si="112"/>
        <v>101000</v>
      </c>
      <c r="H902" s="42">
        <f t="shared" si="109"/>
        <v>1.2076217582097999</v>
      </c>
      <c r="I902" s="10">
        <f t="shared" si="110"/>
        <v>0.70497594105498351</v>
      </c>
      <c r="J902" s="4">
        <f t="shared" si="111"/>
        <v>18.678418173154686</v>
      </c>
      <c r="K902" s="4">
        <f t="shared" si="107"/>
        <v>4.1990958529640494</v>
      </c>
      <c r="L902" s="42">
        <f>Pressure!Q902</f>
        <v>0.41998273607649156</v>
      </c>
      <c r="M902" s="10">
        <f t="shared" si="108"/>
        <v>8.1287479211359197E-3</v>
      </c>
    </row>
    <row r="903" spans="3:13">
      <c r="C903" s="4">
        <f>Pressure!AB903*1000000</f>
        <v>304724.41886354989</v>
      </c>
      <c r="D903" s="80">
        <f t="shared" si="113"/>
        <v>8.1256230789298584E-5</v>
      </c>
      <c r="E903" s="40">
        <f t="shared" si="114"/>
        <v>81.256230789298584</v>
      </c>
      <c r="G903" s="4">
        <f t="shared" si="112"/>
        <v>101000</v>
      </c>
      <c r="H903" s="42">
        <f t="shared" si="109"/>
        <v>1.1696536950299585</v>
      </c>
      <c r="I903" s="10">
        <f t="shared" si="110"/>
        <v>0.68564209155523859</v>
      </c>
      <c r="J903" s="4">
        <f t="shared" si="111"/>
        <v>16.97701770224791</v>
      </c>
      <c r="K903" s="4">
        <f t="shared" si="107"/>
        <v>3.8166039526657771</v>
      </c>
      <c r="L903" s="42">
        <f>Pressure!Q903</f>
        <v>0.4203975264562605</v>
      </c>
      <c r="M903" s="10">
        <f t="shared" si="108"/>
        <v>7.394765893792607E-3</v>
      </c>
    </row>
    <row r="904" spans="3:13">
      <c r="C904" s="4">
        <f>Pressure!AB904*1000000</f>
        <v>284777.31413571892</v>
      </c>
      <c r="D904" s="80">
        <f t="shared" si="113"/>
        <v>8.1256230789298584E-5</v>
      </c>
      <c r="E904" s="40">
        <f t="shared" si="114"/>
        <v>81.256230789298584</v>
      </c>
      <c r="G904" s="4">
        <f t="shared" si="112"/>
        <v>101000</v>
      </c>
      <c r="H904" s="42">
        <f t="shared" si="109"/>
        <v>1.1350113731138629</v>
      </c>
      <c r="I904" s="10">
        <f t="shared" si="110"/>
        <v>0.6655858766141296</v>
      </c>
      <c r="J904" s="4">
        <f t="shared" si="111"/>
        <v>15.401611366563872</v>
      </c>
      <c r="K904" s="4">
        <f t="shared" si="107"/>
        <v>3.4624367983822384</v>
      </c>
      <c r="L904" s="42">
        <f>Pressure!Q904</f>
        <v>0.42081231683602943</v>
      </c>
      <c r="M904" s="10">
        <f t="shared" si="108"/>
        <v>6.7151719239249867E-3</v>
      </c>
    </row>
    <row r="905" spans="3:13">
      <c r="C905" s="4">
        <f>Pressure!AB905*1000000</f>
        <v>266135.93668930151</v>
      </c>
      <c r="D905" s="80">
        <f t="shared" si="113"/>
        <v>8.1256230789298584E-5</v>
      </c>
      <c r="E905" s="40">
        <f t="shared" si="114"/>
        <v>81.256230789298584</v>
      </c>
      <c r="G905" s="4">
        <f t="shared" si="112"/>
        <v>101000</v>
      </c>
      <c r="H905" s="42">
        <f t="shared" si="109"/>
        <v>1.103748711355236</v>
      </c>
      <c r="I905" s="10">
        <f t="shared" si="110"/>
        <v>0.64473855954581039</v>
      </c>
      <c r="J905" s="4">
        <f t="shared" si="111"/>
        <v>13.942602292035502</v>
      </c>
      <c r="K905" s="4">
        <f t="shared" si="107"/>
        <v>3.134436916513534</v>
      </c>
      <c r="L905" s="42">
        <f>Pressure!Q905</f>
        <v>0.42122710721579837</v>
      </c>
      <c r="M905" s="10">
        <f t="shared" si="108"/>
        <v>6.0858487637356273E-3</v>
      </c>
    </row>
    <row r="906" spans="3:13">
      <c r="C906" s="4">
        <f>Pressure!AB906*1000000</f>
        <v>248714.81428375514</v>
      </c>
      <c r="D906" s="80">
        <f t="shared" si="113"/>
        <v>8.1256230789298584E-5</v>
      </c>
      <c r="E906" s="40">
        <f t="shared" si="114"/>
        <v>81.256230789298584</v>
      </c>
      <c r="G906" s="4">
        <f t="shared" si="112"/>
        <v>101000</v>
      </c>
      <c r="H906" s="42">
        <f t="shared" si="109"/>
        <v>1.0759742166510808</v>
      </c>
      <c r="I906" s="10">
        <f t="shared" si="110"/>
        <v>0.62301934600588682</v>
      </c>
      <c r="J906" s="4">
        <f t="shared" si="111"/>
        <v>12.590989437737681</v>
      </c>
      <c r="K906" s="4">
        <f t="shared" si="107"/>
        <v>2.8305807827295717</v>
      </c>
      <c r="L906" s="42">
        <f>Pressure!Q906</f>
        <v>0.42164189759556731</v>
      </c>
      <c r="M906" s="10">
        <f t="shared" si="108"/>
        <v>5.502939295113269E-3</v>
      </c>
    </row>
    <row r="907" spans="3:13">
      <c r="C907" s="4">
        <f>Pressure!AB907*1000000</f>
        <v>232434.06964772177</v>
      </c>
      <c r="D907" s="80">
        <f t="shared" si="113"/>
        <v>8.1256230789298584E-5</v>
      </c>
      <c r="E907" s="40">
        <f t="shared" si="114"/>
        <v>81.256230789298584</v>
      </c>
      <c r="G907" s="4">
        <f t="shared" si="112"/>
        <v>101000</v>
      </c>
      <c r="H907" s="42">
        <f t="shared" si="109"/>
        <v>1.0518682067775462</v>
      </c>
      <c r="I907" s="10">
        <f t="shared" si="110"/>
        <v>0.60033216315147242</v>
      </c>
      <c r="J907" s="4">
        <f t="shared" si="111"/>
        <v>11.338303315197289</v>
      </c>
      <c r="K907" s="4">
        <f t="shared" si="107"/>
        <v>2.5489643710258729</v>
      </c>
      <c r="L907" s="42">
        <f>Pressure!Q907</f>
        <v>0.42205668797533624</v>
      </c>
      <c r="M907" s="10">
        <f t="shared" si="108"/>
        <v>4.9628202142959809E-3</v>
      </c>
    </row>
    <row r="908" spans="3:13">
      <c r="C908" s="4">
        <f>Pressure!AB908*1000000</f>
        <v>217219.0542352052</v>
      </c>
      <c r="D908" s="80">
        <f t="shared" si="113"/>
        <v>8.1256230789298584E-5</v>
      </c>
      <c r="E908" s="40">
        <f t="shared" si="114"/>
        <v>81.256230789298584</v>
      </c>
      <c r="G908" s="4">
        <f t="shared" si="112"/>
        <v>101000</v>
      </c>
      <c r="H908" s="42">
        <f t="shared" si="109"/>
        <v>1.0317085813749498</v>
      </c>
      <c r="I908" s="10">
        <f t="shared" si="110"/>
        <v>0.57656123621700472</v>
      </c>
      <c r="J908" s="4">
        <f t="shared" si="111"/>
        <v>10.176537367819096</v>
      </c>
      <c r="K908" s="4">
        <f t="shared" si="107"/>
        <v>2.2877877271298717</v>
      </c>
      <c r="L908" s="42">
        <f>Pressure!Q908</f>
        <v>0.42247147835510518</v>
      </c>
      <c r="M908" s="10">
        <f t="shared" si="108"/>
        <v>4.4620744687882685E-3</v>
      </c>
    </row>
    <row r="909" spans="3:13">
      <c r="C909" s="4">
        <f>Pressure!AB909*1000000</f>
        <v>203000.00595588022</v>
      </c>
      <c r="D909" s="80">
        <f t="shared" si="113"/>
        <v>8.1256230789298584E-5</v>
      </c>
      <c r="E909" s="40">
        <f t="shared" si="114"/>
        <v>81.256230789298584</v>
      </c>
      <c r="G909" s="4">
        <f t="shared" si="112"/>
        <v>101000</v>
      </c>
      <c r="H909" s="42">
        <f t="shared" si="109"/>
        <v>1.0159104658737894</v>
      </c>
      <c r="I909" s="10">
        <f t="shared" si="110"/>
        <v>0.55156486253805781</v>
      </c>
      <c r="J909" s="4">
        <f t="shared" si="111"/>
        <v>9.0980708653601408</v>
      </c>
      <c r="K909" s="4">
        <f t="shared" si="107"/>
        <v>2.0453376344049596</v>
      </c>
      <c r="L909" s="42">
        <f>Pressure!Q909</f>
        <v>0.42288626873487412</v>
      </c>
      <c r="M909" s="10">
        <f t="shared" si="108"/>
        <v>3.997461034468945E-3</v>
      </c>
    </row>
    <row r="910" spans="3:13">
      <c r="C910" s="4">
        <f>Pressure!AB910*1000000</f>
        <v>0</v>
      </c>
      <c r="D910" s="80">
        <f t="shared" si="113"/>
        <v>8.1256230789298584E-5</v>
      </c>
      <c r="E910" s="40">
        <f t="shared" si="114"/>
        <v>81.256230789298584</v>
      </c>
      <c r="G910" s="4">
        <f t="shared" si="112"/>
        <v>101000</v>
      </c>
      <c r="H910" s="42">
        <v>1</v>
      </c>
      <c r="I910" s="59">
        <f>I909</f>
        <v>0.55156486253805781</v>
      </c>
      <c r="J910" s="4">
        <f t="shared" si="111"/>
        <v>0</v>
      </c>
      <c r="K910" s="4">
        <f t="shared" si="107"/>
        <v>0</v>
      </c>
      <c r="L910" s="42">
        <f>Pressure!Q910</f>
        <v>0.42330105911464305</v>
      </c>
      <c r="M910" s="10">
        <f t="shared" si="108"/>
        <v>1.8868961347037157E-3</v>
      </c>
    </row>
    <row r="911" spans="3:13">
      <c r="L911" s="60">
        <f>SUM(M28:M910)</f>
        <v>196.84854263804402</v>
      </c>
    </row>
  </sheetData>
  <sheetProtection password="C7BC" sheet="1"/>
  <customSheetViews>
    <customSheetView guid="{136183A0-5E83-4B15-A2A6-F3C23DCC406A}" showGridLines="0" printArea="1">
      <selection activeCell="C11" sqref="C11"/>
      <pageMargins left="0.75" right="0.75" top="1" bottom="1" header="0.5" footer="0.5"/>
      <pageSetup orientation="landscape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pageMargins left="0.75" right="0.75" top="1" bottom="1" header="0.5" footer="0.5"/>
  <pageSetup orientation="landscape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5" name="Button 1">
              <controlPr defaultSize="0" print="0" autoFill="0" autoPict="0" macro="[0]!Macro4">
                <anchor moveWithCells="1" sizeWithCells="1">
                  <from>
                    <xdr:col>4</xdr:col>
                    <xdr:colOff>297180</xdr:colOff>
                    <xdr:row>20</xdr:row>
                    <xdr:rowOff>0</xdr:rowOff>
                  </from>
                  <to>
                    <xdr:col>5</xdr:col>
                    <xdr:colOff>746760</xdr:colOff>
                    <xdr:row>22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>
    <tabColor theme="8" tint="0.39997558519241921"/>
  </sheetPr>
  <dimension ref="B2:AB29"/>
  <sheetViews>
    <sheetView showGridLines="0" zoomScale="85" zoomScaleNormal="85" workbookViewId="0">
      <selection activeCell="C10" sqref="C10"/>
    </sheetView>
  </sheetViews>
  <sheetFormatPr baseColWidth="10" defaultColWidth="8.88671875" defaultRowHeight="13.2"/>
  <cols>
    <col min="1" max="1" width="5.6640625" customWidth="1"/>
    <col min="2" max="4" width="8.88671875" customWidth="1"/>
    <col min="5" max="5" width="26.33203125" customWidth="1"/>
    <col min="6" max="6" width="21.44140625" customWidth="1"/>
  </cols>
  <sheetData>
    <row r="2" spans="2:28">
      <c r="B2" s="75" t="s">
        <v>500</v>
      </c>
      <c r="Y2" s="8"/>
    </row>
    <row r="4" spans="2:28">
      <c r="Y4" s="8"/>
      <c r="AB4" s="2"/>
    </row>
    <row r="5" spans="2:28">
      <c r="B5" s="203" t="s">
        <v>506</v>
      </c>
      <c r="C5" s="327">
        <v>30</v>
      </c>
      <c r="D5" s="8" t="s">
        <v>507</v>
      </c>
      <c r="E5" s="8" t="s">
        <v>509</v>
      </c>
      <c r="F5" s="358"/>
      <c r="H5" s="2"/>
    </row>
    <row r="6" spans="2:28">
      <c r="B6" s="203" t="s">
        <v>505</v>
      </c>
      <c r="C6" s="327">
        <v>12</v>
      </c>
      <c r="D6" s="8" t="s">
        <v>507</v>
      </c>
      <c r="E6" s="8" t="s">
        <v>508</v>
      </c>
      <c r="F6" s="358"/>
      <c r="Y6" s="203"/>
      <c r="AA6" s="2"/>
    </row>
    <row r="7" spans="2:28">
      <c r="B7" s="203"/>
      <c r="C7" s="357"/>
      <c r="D7" s="8"/>
      <c r="E7" s="8"/>
      <c r="F7" s="358"/>
      <c r="Y7" s="203"/>
      <c r="AA7" s="2"/>
    </row>
    <row r="8" spans="2:28">
      <c r="F8" s="359" t="s">
        <v>517</v>
      </c>
      <c r="Y8" s="203"/>
    </row>
    <row r="9" spans="2:28">
      <c r="B9" s="203" t="s">
        <v>0</v>
      </c>
      <c r="C9">
        <f>dc</f>
        <v>31.08</v>
      </c>
      <c r="D9" s="8" t="s">
        <v>2</v>
      </c>
      <c r="E9" s="8" t="s">
        <v>501</v>
      </c>
      <c r="F9" s="360" t="s">
        <v>309</v>
      </c>
      <c r="X9" s="328"/>
      <c r="Y9" s="329">
        <f>C6/180*PI()</f>
        <v>0.20943951023931953</v>
      </c>
      <c r="Z9" s="330" t="s">
        <v>505</v>
      </c>
      <c r="AA9" s="331"/>
      <c r="AB9" s="332"/>
    </row>
    <row r="10" spans="2:28">
      <c r="B10" s="203" t="s">
        <v>515</v>
      </c>
      <c r="C10" s="40">
        <f>dto</f>
        <v>10.171462348013772</v>
      </c>
      <c r="D10" s="8" t="s">
        <v>2</v>
      </c>
      <c r="E10" s="8" t="s">
        <v>502</v>
      </c>
      <c r="F10" s="360" t="s">
        <v>309</v>
      </c>
      <c r="X10" s="333"/>
      <c r="Y10" s="334">
        <f>C5/180*PI()</f>
        <v>0.52359877559829882</v>
      </c>
      <c r="Z10" s="335" t="s">
        <v>506</v>
      </c>
      <c r="AA10" s="336"/>
      <c r="AB10" s="332"/>
    </row>
    <row r="11" spans="2:28">
      <c r="B11" s="2" t="s">
        <v>203</v>
      </c>
      <c r="C11" s="40">
        <f>Performance!C11</f>
        <v>21.576930002592544</v>
      </c>
      <c r="D11" s="8" t="s">
        <v>2</v>
      </c>
      <c r="E11" s="8" t="s">
        <v>204</v>
      </c>
      <c r="F11" s="360" t="s">
        <v>306</v>
      </c>
      <c r="X11" s="333"/>
      <c r="AA11" s="336"/>
      <c r="AB11" s="332"/>
    </row>
    <row r="12" spans="2:28">
      <c r="B12" s="203" t="s">
        <v>503</v>
      </c>
      <c r="C12" s="40">
        <f>SQRT(Performance!C13)*C10</f>
        <v>28.152161617134531</v>
      </c>
      <c r="D12" s="8" t="s">
        <v>2</v>
      </c>
      <c r="E12" s="8" t="s">
        <v>504</v>
      </c>
      <c r="F12" s="360" t="s">
        <v>306</v>
      </c>
      <c r="X12" s="333"/>
      <c r="Y12" s="332" t="s">
        <v>510</v>
      </c>
      <c r="Z12" s="332"/>
      <c r="AA12" s="336"/>
      <c r="AB12" s="332"/>
    </row>
    <row r="13" spans="2:28">
      <c r="B13" s="2"/>
      <c r="X13" s="337" t="s">
        <v>495</v>
      </c>
      <c r="Y13" s="338" t="s">
        <v>496</v>
      </c>
      <c r="Z13" s="338" t="s">
        <v>497</v>
      </c>
      <c r="AA13" s="339" t="s">
        <v>498</v>
      </c>
      <c r="AB13" s="338"/>
    </row>
    <row r="14" spans="2:28">
      <c r="B14" s="320" t="s">
        <v>1</v>
      </c>
      <c r="C14" s="361">
        <f>(dcplot-C10)/2/TAN(beta)</f>
        <v>18.107324762603511</v>
      </c>
      <c r="D14" s="8" t="s">
        <v>2</v>
      </c>
      <c r="E14" s="151" t="s">
        <v>512</v>
      </c>
      <c r="X14" s="333">
        <v>1</v>
      </c>
      <c r="Y14" s="332">
        <v>0</v>
      </c>
      <c r="Z14" s="340">
        <f>dcplot/2</f>
        <v>15.54</v>
      </c>
      <c r="AA14" s="341">
        <f>-Z14</f>
        <v>-15.54</v>
      </c>
      <c r="AB14" s="332"/>
    </row>
    <row r="15" spans="2:28">
      <c r="B15" s="320" t="s">
        <v>511</v>
      </c>
      <c r="C15" s="361">
        <f>(C11-C10)/2/TAN(alpha)</f>
        <v>26.829253270206951</v>
      </c>
      <c r="D15" s="8" t="s">
        <v>2</v>
      </c>
      <c r="E15" s="151" t="s">
        <v>513</v>
      </c>
      <c r="X15" s="333">
        <v>2</v>
      </c>
      <c r="Y15" s="340">
        <f>(C9-C10)/2/TAN(beta)</f>
        <v>18.107324762603511</v>
      </c>
      <c r="Z15" s="340">
        <f>C10/2</f>
        <v>5.0857311740068862</v>
      </c>
      <c r="AA15" s="341">
        <f>-Z15</f>
        <v>-5.0857311740068862</v>
      </c>
      <c r="AB15" s="332"/>
    </row>
    <row r="16" spans="2:28">
      <c r="B16" s="320" t="s">
        <v>8</v>
      </c>
      <c r="C16" s="361">
        <f>C15+C14</f>
        <v>44.936578032810459</v>
      </c>
      <c r="D16" s="8" t="s">
        <v>2</v>
      </c>
      <c r="E16" s="151" t="s">
        <v>514</v>
      </c>
      <c r="X16" s="333">
        <v>3</v>
      </c>
      <c r="Y16" s="340">
        <f>((C11-C10)/2/TAN(alpha)+Y15)</f>
        <v>44.936578032810459</v>
      </c>
      <c r="Z16" s="340">
        <f>C11/2</f>
        <v>10.788465001296272</v>
      </c>
      <c r="AA16" s="341">
        <f>-Z16</f>
        <v>-10.788465001296272</v>
      </c>
      <c r="AB16" s="332"/>
    </row>
    <row r="17" spans="2:28">
      <c r="B17" s="2"/>
      <c r="X17" s="333">
        <v>4</v>
      </c>
      <c r="Y17" s="340">
        <f>((C12-C10)/2/TAN(alpha)+Y15)</f>
        <v>60.403594348094899</v>
      </c>
      <c r="Z17" s="340">
        <f>C12/2</f>
        <v>14.076080808567266</v>
      </c>
      <c r="AA17" s="341">
        <f>-Z17</f>
        <v>-14.076080808567266</v>
      </c>
      <c r="AB17" s="332"/>
    </row>
    <row r="18" spans="2:28">
      <c r="X18" s="333"/>
      <c r="Y18" s="340"/>
      <c r="Z18" s="340"/>
      <c r="AA18" s="336"/>
      <c r="AB18" s="332"/>
    </row>
    <row r="19" spans="2:28">
      <c r="B19" s="2"/>
      <c r="X19" s="333"/>
      <c r="Y19" s="340"/>
      <c r="Z19" s="340"/>
      <c r="AA19" s="336"/>
      <c r="AB19" s="332"/>
    </row>
    <row r="20" spans="2:28">
      <c r="B20" s="2"/>
      <c r="X20" s="333">
        <v>1</v>
      </c>
      <c r="Y20" s="340">
        <f t="shared" ref="Y20:AA23" si="0">Y14/dcplot</f>
        <v>0</v>
      </c>
      <c r="Z20" s="340">
        <f t="shared" si="0"/>
        <v>0.5</v>
      </c>
      <c r="AA20" s="341">
        <f t="shared" si="0"/>
        <v>-0.5</v>
      </c>
      <c r="AB20" s="332"/>
    </row>
    <row r="21" spans="2:28">
      <c r="B21" s="2"/>
      <c r="X21" s="333">
        <v>2</v>
      </c>
      <c r="Y21" s="340">
        <f t="shared" si="0"/>
        <v>0.5826037568405249</v>
      </c>
      <c r="Z21" s="340">
        <f t="shared" si="0"/>
        <v>0.16363356415723573</v>
      </c>
      <c r="AA21" s="341">
        <f t="shared" si="0"/>
        <v>-0.16363356415723573</v>
      </c>
      <c r="AB21" s="332"/>
    </row>
    <row r="22" spans="2:28">
      <c r="B22" s="2"/>
      <c r="X22" s="333">
        <v>3</v>
      </c>
      <c r="Y22" s="340">
        <f t="shared" si="0"/>
        <v>1.4458358440415207</v>
      </c>
      <c r="Z22" s="340">
        <f t="shared" si="0"/>
        <v>0.3471192085359161</v>
      </c>
      <c r="AA22" s="341">
        <f t="shared" si="0"/>
        <v>-0.3471192085359161</v>
      </c>
      <c r="AB22" s="332"/>
    </row>
    <row r="23" spans="2:28">
      <c r="B23" s="2"/>
      <c r="X23" s="333">
        <v>4</v>
      </c>
      <c r="Y23" s="340">
        <f t="shared" si="0"/>
        <v>1.9434875916375451</v>
      </c>
      <c r="Z23" s="340">
        <f t="shared" si="0"/>
        <v>0.45289835291400471</v>
      </c>
      <c r="AA23" s="341">
        <f t="shared" si="0"/>
        <v>-0.45289835291400471</v>
      </c>
      <c r="AB23" s="332"/>
    </row>
    <row r="24" spans="2:28">
      <c r="B24" s="2"/>
      <c r="X24" s="333"/>
      <c r="Y24" s="340">
        <f>Y22</f>
        <v>1.4458358440415207</v>
      </c>
      <c r="Z24" s="340">
        <f>Z22</f>
        <v>0.3471192085359161</v>
      </c>
      <c r="AA24" s="336"/>
      <c r="AB24" s="332"/>
    </row>
    <row r="25" spans="2:28">
      <c r="B25" s="2"/>
      <c r="X25" s="333"/>
      <c r="Y25" s="340">
        <f>Y22</f>
        <v>1.4458358440415207</v>
      </c>
      <c r="Z25" s="340">
        <f>-Z22</f>
        <v>-0.3471192085359161</v>
      </c>
      <c r="AA25" s="336"/>
      <c r="AB25" s="332"/>
    </row>
    <row r="26" spans="2:28">
      <c r="X26" s="333"/>
      <c r="Y26" s="340">
        <f>Y23</f>
        <v>1.9434875916375451</v>
      </c>
      <c r="Z26" s="340">
        <f>Z23</f>
        <v>0.45289835291400471</v>
      </c>
      <c r="AA26" s="336"/>
      <c r="AB26" s="332"/>
    </row>
    <row r="27" spans="2:28">
      <c r="X27" s="333"/>
      <c r="Y27" s="340">
        <f>Y23</f>
        <v>1.9434875916375451</v>
      </c>
      <c r="Z27" s="340">
        <f>-Z23</f>
        <v>-0.45289835291400471</v>
      </c>
      <c r="AA27" s="336"/>
      <c r="AB27" s="332"/>
    </row>
    <row r="28" spans="2:28">
      <c r="X28" s="333"/>
      <c r="Y28" s="340">
        <f>Y24</f>
        <v>1.4458358440415207</v>
      </c>
      <c r="Z28" s="332">
        <v>1</v>
      </c>
      <c r="AA28" s="336"/>
      <c r="AB28" s="332"/>
    </row>
    <row r="29" spans="2:28">
      <c r="X29" s="342"/>
      <c r="Y29" s="343">
        <f>Y25</f>
        <v>1.4458358440415207</v>
      </c>
      <c r="Z29" s="344">
        <v>-1</v>
      </c>
      <c r="AA29" s="345"/>
      <c r="AB29" s="332"/>
    </row>
  </sheetData>
  <sheetProtection password="C7BC" sheet="1" objects="1" scenarios="1"/>
  <phoneticPr fontId="0" type="noConversion"/>
  <pageMargins left="0.7" right="0.7" top="0.75" bottom="0.75" header="0.3" footer="0.3"/>
  <drawing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tabColor rgb="FFFF0000"/>
  </sheetPr>
  <dimension ref="B1:S72"/>
  <sheetViews>
    <sheetView topLeftCell="C37" zoomScale="70" zoomScaleNormal="70" workbookViewId="0">
      <selection activeCell="Q18" sqref="Q18"/>
    </sheetView>
  </sheetViews>
  <sheetFormatPr baseColWidth="10" defaultColWidth="11.44140625" defaultRowHeight="13.2"/>
  <cols>
    <col min="2" max="2" width="16.109375" style="40" bestFit="1" customWidth="1"/>
    <col min="3" max="3" width="17.6640625" bestFit="1" customWidth="1"/>
    <col min="4" max="4" width="12.33203125" bestFit="1" customWidth="1"/>
    <col min="5" max="5" width="14.6640625" bestFit="1" customWidth="1"/>
    <col min="6" max="6" width="12" bestFit="1" customWidth="1"/>
    <col min="7" max="7" width="14.88671875" bestFit="1" customWidth="1"/>
    <col min="9" max="9" width="12" bestFit="1" customWidth="1"/>
    <col min="10" max="11" width="13.44140625" customWidth="1"/>
    <col min="12" max="12" width="12.6640625" bestFit="1" customWidth="1"/>
    <col min="13" max="13" width="12" bestFit="1" customWidth="1"/>
    <col min="15" max="15" width="17.6640625" bestFit="1" customWidth="1"/>
  </cols>
  <sheetData>
    <row r="1" spans="2:5">
      <c r="B1"/>
    </row>
    <row r="2" spans="2:5">
      <c r="B2" s="720" t="s">
        <v>1098</v>
      </c>
    </row>
    <row r="3" spans="2:5">
      <c r="B3" s="789" t="s">
        <v>1095</v>
      </c>
      <c r="C3" s="10">
        <f>dc</f>
        <v>31.08</v>
      </c>
      <c r="D3" s="789" t="s">
        <v>2</v>
      </c>
    </row>
    <row r="4" spans="2:5">
      <c r="B4" s="789" t="s">
        <v>1096</v>
      </c>
      <c r="C4" s="10">
        <f>dto</f>
        <v>10.171462348013772</v>
      </c>
      <c r="D4" s="789" t="s">
        <v>2</v>
      </c>
    </row>
    <row r="5" spans="2:5">
      <c r="B5" s="789" t="s">
        <v>1097</v>
      </c>
      <c r="C5" s="10">
        <f>'Nozzle Design'!C11</f>
        <v>21.576930002592544</v>
      </c>
      <c r="D5" s="789" t="s">
        <v>2</v>
      </c>
    </row>
    <row r="6" spans="2:5">
      <c r="B6" s="789" t="s">
        <v>1099</v>
      </c>
      <c r="C6" s="4">
        <f>etac*tothe</f>
        <v>1634</v>
      </c>
      <c r="D6" s="789" t="s">
        <v>73</v>
      </c>
    </row>
    <row r="7" spans="2:5">
      <c r="B7" s="789" t="s">
        <v>1099</v>
      </c>
      <c r="C7">
        <f>CONVERT(C6,"K","C")</f>
        <v>1360.85</v>
      </c>
      <c r="D7" s="789" t="s">
        <v>66</v>
      </c>
    </row>
    <row r="8" spans="2:5">
      <c r="B8" s="789" t="s">
        <v>1100</v>
      </c>
      <c r="C8" s="10">
        <f>pmax</f>
        <v>4.9969130252874665</v>
      </c>
      <c r="D8" s="789" t="s">
        <v>87</v>
      </c>
    </row>
    <row r="9" spans="2:5">
      <c r="B9" s="789" t="s">
        <v>1101</v>
      </c>
    </row>
    <row r="10" spans="2:5">
      <c r="B10" s="789" t="s">
        <v>1102</v>
      </c>
      <c r="E10" s="10">
        <f>C5/2</f>
        <v>10.788465001296272</v>
      </c>
    </row>
    <row r="11" spans="2:5">
      <c r="B11" s="789" t="s">
        <v>1103</v>
      </c>
    </row>
    <row r="12" spans="2:5">
      <c r="B12" s="789" t="s">
        <v>1108</v>
      </c>
      <c r="C12">
        <f>k2ph</f>
        <v>1.133</v>
      </c>
    </row>
    <row r="13" spans="2:5">
      <c r="B13" s="789" t="s">
        <v>1109</v>
      </c>
      <c r="C13" s="10">
        <f>mef</f>
        <v>2.5992897854448858</v>
      </c>
      <c r="D13" s="789" t="s">
        <v>64</v>
      </c>
    </row>
    <row r="14" spans="2:5">
      <c r="B14" s="789" t="s">
        <v>1111</v>
      </c>
      <c r="C14" s="10">
        <f>(C4-C3)/1</f>
        <v>-20.908537651986226</v>
      </c>
      <c r="D14" s="789"/>
    </row>
    <row r="15" spans="2:5">
      <c r="B15" s="789" t="s">
        <v>1112</v>
      </c>
      <c r="C15" s="42">
        <f>(C5-C4)/(C13-1)</f>
        <v>7.1315828803383692</v>
      </c>
      <c r="D15" s="789" t="s">
        <v>441</v>
      </c>
      <c r="E15">
        <f>C4-C15*1</f>
        <v>3.0398794676754033</v>
      </c>
    </row>
    <row r="16" spans="2:5">
      <c r="B16"/>
    </row>
    <row r="17" spans="2:19">
      <c r="B17" s="789" t="s">
        <v>1105</v>
      </c>
      <c r="C17" s="790">
        <v>0.05</v>
      </c>
      <c r="O17" s="789" t="s">
        <v>1126</v>
      </c>
      <c r="P17">
        <f>P18+I31</f>
        <v>1436.6299999999999</v>
      </c>
    </row>
    <row r="18" spans="2:19">
      <c r="B18" s="789" t="s">
        <v>1104</v>
      </c>
      <c r="C18" s="789" t="s">
        <v>1106</v>
      </c>
      <c r="D18" s="789" t="s">
        <v>1107</v>
      </c>
      <c r="E18" s="789" t="s">
        <v>1110</v>
      </c>
      <c r="O18" s="789" t="s">
        <v>1122</v>
      </c>
      <c r="P18">
        <f>P20-91.45</f>
        <v>1324.05</v>
      </c>
      <c r="Q18" s="789" t="s">
        <v>1042</v>
      </c>
    </row>
    <row r="19" spans="2:19">
      <c r="B19" s="40">
        <v>0</v>
      </c>
      <c r="C19" s="791">
        <f>C7</f>
        <v>1360.85</v>
      </c>
      <c r="D19" s="40">
        <f>C8</f>
        <v>4.9969130252874665</v>
      </c>
      <c r="E19" s="40">
        <f>C3/2</f>
        <v>15.54</v>
      </c>
      <c r="O19" s="789" t="s">
        <v>1120</v>
      </c>
      <c r="P19">
        <v>1154.45</v>
      </c>
      <c r="Q19" s="789" t="s">
        <v>1042</v>
      </c>
    </row>
    <row r="20" spans="2:19">
      <c r="B20" s="40">
        <f>C17</f>
        <v>0.05</v>
      </c>
      <c r="C20" s="791">
        <f>$C$7/(1+(($C$12-1)/2)*B20^2)</f>
        <v>1360.6237962938662</v>
      </c>
      <c r="D20" s="791">
        <f>$C$8/(1+(($C$12-1)/2)*B20^2)^($C$12/($C$12-1))</f>
        <v>4.9898417435326543</v>
      </c>
      <c r="E20" s="40">
        <f>IF(B20&gt;1,(B20*$C$15+$C$4)/2,(B20*$C$14+$C$3)/2)</f>
        <v>15.017286558700343</v>
      </c>
      <c r="O20" s="789" t="s">
        <v>1121</v>
      </c>
      <c r="P20">
        <v>1415.5</v>
      </c>
      <c r="Q20" s="789" t="s">
        <v>1042</v>
      </c>
      <c r="S20" s="415"/>
    </row>
    <row r="21" spans="2:19">
      <c r="B21" s="40">
        <f t="shared" ref="B21:B45" si="0">B20+$B$20</f>
        <v>0.1</v>
      </c>
      <c r="C21" s="791">
        <f t="shared" ref="C21:C72" si="1">$C$7/(1+(($C$12-1)/2)*B21^2)</f>
        <v>1359.945636151959</v>
      </c>
      <c r="D21" s="791">
        <f t="shared" ref="D21:D71" si="2">$C$8/(1+(($C$12-1)/2)*B21^2)^($C$12/($C$12-1))</f>
        <v>4.9686948977733341</v>
      </c>
      <c r="E21" s="40">
        <f t="shared" ref="E21:E39" si="3">IF(B21&gt;1,(B21*$C$15+$C$4)/2,(B21*$C$14+$C$3)/2)</f>
        <v>14.494573117400687</v>
      </c>
      <c r="N21" s="789"/>
    </row>
    <row r="22" spans="2:19">
      <c r="B22" s="40">
        <f t="shared" si="0"/>
        <v>0.15000000000000002</v>
      </c>
      <c r="C22" s="791">
        <f t="shared" si="1"/>
        <v>1358.8168702578766</v>
      </c>
      <c r="D22" s="791">
        <f t="shared" si="2"/>
        <v>4.9336723192946845</v>
      </c>
      <c r="E22" s="40">
        <f t="shared" si="3"/>
        <v>13.971859676101031</v>
      </c>
      <c r="F22" s="789"/>
    </row>
    <row r="23" spans="2:19">
      <c r="B23" s="40">
        <f t="shared" si="0"/>
        <v>0.2</v>
      </c>
      <c r="C23" s="791">
        <f t="shared" si="1"/>
        <v>1357.2397422855204</v>
      </c>
      <c r="D23" s="791">
        <f t="shared" si="2"/>
        <v>4.8851032005846831</v>
      </c>
      <c r="E23" s="40">
        <f t="shared" si="3"/>
        <v>13.449146234801375</v>
      </c>
      <c r="G23" s="789" t="s">
        <v>1115</v>
      </c>
      <c r="H23">
        <v>7.66</v>
      </c>
    </row>
    <row r="24" spans="2:19">
      <c r="B24" s="40">
        <f t="shared" si="0"/>
        <v>0.25</v>
      </c>
      <c r="C24" s="791">
        <f t="shared" si="1"/>
        <v>1355.2173777736282</v>
      </c>
      <c r="D24" s="791">
        <f t="shared" si="2"/>
        <v>4.8234404135936071</v>
      </c>
      <c r="E24" s="40">
        <f t="shared" si="3"/>
        <v>12.926432793501721</v>
      </c>
      <c r="G24" s="789" t="s">
        <v>1113</v>
      </c>
      <c r="H24" s="789" t="s">
        <v>1116</v>
      </c>
      <c r="I24" s="789" t="s">
        <v>1125</v>
      </c>
      <c r="J24" s="789" t="s">
        <v>1130</v>
      </c>
      <c r="K24" s="789" t="s">
        <v>1123</v>
      </c>
      <c r="L24" s="789" t="s">
        <v>1114</v>
      </c>
      <c r="M24" s="789" t="s">
        <v>1124</v>
      </c>
      <c r="N24" s="789" t="s">
        <v>1117</v>
      </c>
    </row>
    <row r="25" spans="2:19">
      <c r="B25" s="40">
        <f t="shared" si="0"/>
        <v>0.3</v>
      </c>
      <c r="C25" s="791">
        <f t="shared" si="1"/>
        <v>1352.7537686943642</v>
      </c>
      <c r="D25" s="791">
        <f t="shared" si="2"/>
        <v>4.7492527666725168</v>
      </c>
      <c r="E25" s="40">
        <f t="shared" si="3"/>
        <v>12.403719352202065</v>
      </c>
      <c r="G25" s="40">
        <v>1</v>
      </c>
      <c r="H25">
        <v>434</v>
      </c>
      <c r="I25">
        <v>80.819999999999993</v>
      </c>
      <c r="J25">
        <f>(I25+$P$18)/1000</f>
        <v>1.4048699999999998</v>
      </c>
      <c r="K25">
        <f>(J25)*9.81</f>
        <v>13.7817747</v>
      </c>
      <c r="L25">
        <f>H25/K25</f>
        <v>31.490864525596983</v>
      </c>
      <c r="M25">
        <f t="shared" ref="M25:M38" si="4">(L26-L25)/(G26-G25)</f>
        <v>2.2339919372690105</v>
      </c>
      <c r="N25">
        <v>10.170999999999999</v>
      </c>
    </row>
    <row r="26" spans="2:19">
      <c r="B26" s="40">
        <f t="shared" si="0"/>
        <v>0.35</v>
      </c>
      <c r="C26" s="791">
        <f t="shared" si="1"/>
        <v>1349.853753857637</v>
      </c>
      <c r="D26" s="791">
        <f t="shared" si="2"/>
        <v>4.663215402189774</v>
      </c>
      <c r="E26" s="40">
        <f t="shared" si="3"/>
        <v>11.88100591090241</v>
      </c>
      <c r="G26" s="40">
        <v>1.5</v>
      </c>
      <c r="H26">
        <v>451</v>
      </c>
      <c r="I26">
        <v>85.84</v>
      </c>
      <c r="J26">
        <f t="shared" ref="J26:J39" si="5">(I26+$P$18)/1000</f>
        <v>1.4098899999999999</v>
      </c>
      <c r="K26">
        <f t="shared" ref="K26:K39" si="6">(J26)*9.81</f>
        <v>13.831020899999999</v>
      </c>
      <c r="L26">
        <f t="shared" ref="L26:L39" si="7">H26/K26</f>
        <v>32.607860494231488</v>
      </c>
      <c r="M26">
        <f t="shared" si="4"/>
        <v>2.1900324814750292</v>
      </c>
      <c r="N26">
        <v>12.457000000000001</v>
      </c>
    </row>
    <row r="27" spans="2:19">
      <c r="B27" s="40">
        <f t="shared" si="0"/>
        <v>0.39999999999999997</v>
      </c>
      <c r="C27" s="791">
        <f t="shared" si="1"/>
        <v>1346.5229953296921</v>
      </c>
      <c r="D27" s="791">
        <f t="shared" si="2"/>
        <v>4.5660985816556741</v>
      </c>
      <c r="E27" s="40">
        <f t="shared" si="3"/>
        <v>11.358292469602755</v>
      </c>
      <c r="G27" s="40">
        <v>2</v>
      </c>
      <c r="H27">
        <v>468</v>
      </c>
      <c r="I27">
        <v>91.45</v>
      </c>
      <c r="J27">
        <f t="shared" si="5"/>
        <v>1.4155</v>
      </c>
      <c r="K27">
        <f t="shared" si="6"/>
        <v>13.886055000000001</v>
      </c>
      <c r="L27">
        <f t="shared" si="7"/>
        <v>33.702876734969003</v>
      </c>
      <c r="M27">
        <f t="shared" si="4"/>
        <v>1.1747895499407832</v>
      </c>
      <c r="N27">
        <v>14.385</v>
      </c>
    </row>
    <row r="28" spans="2:19">
      <c r="B28" s="40">
        <f t="shared" si="0"/>
        <v>0.44999999999999996</v>
      </c>
      <c r="C28" s="791">
        <f t="shared" si="1"/>
        <v>1342.7679510787852</v>
      </c>
      <c r="D28" s="791">
        <f t="shared" si="2"/>
        <v>4.4587551412148114</v>
      </c>
      <c r="E28" s="40">
        <f t="shared" si="3"/>
        <v>10.835579028303098</v>
      </c>
      <c r="G28" s="40">
        <v>2.5</v>
      </c>
      <c r="H28">
        <v>478</v>
      </c>
      <c r="I28">
        <v>96.93</v>
      </c>
      <c r="J28">
        <f t="shared" si="5"/>
        <v>1.4209799999999999</v>
      </c>
      <c r="K28">
        <f t="shared" si="6"/>
        <v>13.9398138</v>
      </c>
      <c r="L28">
        <f t="shared" si="7"/>
        <v>34.290271509939394</v>
      </c>
      <c r="M28">
        <f t="shared" si="4"/>
        <v>0.74039670135483959</v>
      </c>
      <c r="N28">
        <v>16.082000000000001</v>
      </c>
    </row>
    <row r="29" spans="2:19">
      <c r="B29" s="40">
        <f t="shared" si="0"/>
        <v>0.49999999999999994</v>
      </c>
      <c r="C29" s="791">
        <f t="shared" si="1"/>
        <v>1338.595844091971</v>
      </c>
      <c r="D29" s="791">
        <f t="shared" si="2"/>
        <v>4.3421069265304908</v>
      </c>
      <c r="E29" s="40">
        <f t="shared" si="3"/>
        <v>10.312865587003444</v>
      </c>
      <c r="G29" s="40">
        <v>3</v>
      </c>
      <c r="H29">
        <v>485</v>
      </c>
      <c r="I29">
        <v>102.34</v>
      </c>
      <c r="J29">
        <f t="shared" si="5"/>
        <v>1.4263899999999998</v>
      </c>
      <c r="K29">
        <f t="shared" si="6"/>
        <v>13.992885899999999</v>
      </c>
      <c r="L29">
        <f t="shared" si="7"/>
        <v>34.660469860616814</v>
      </c>
      <c r="M29">
        <f t="shared" si="4"/>
        <v>0.45343338040949277</v>
      </c>
      <c r="N29">
        <v>17.617000000000001</v>
      </c>
    </row>
    <row r="30" spans="2:19">
      <c r="B30" s="40">
        <f t="shared" si="0"/>
        <v>0.54999999999999993</v>
      </c>
      <c r="C30" s="791">
        <f t="shared" si="1"/>
        <v>1334.0146282347721</v>
      </c>
      <c r="D30" s="791">
        <f t="shared" si="2"/>
        <v>4.2171305317683139</v>
      </c>
      <c r="E30" s="40">
        <f t="shared" si="3"/>
        <v>9.7901521457037877</v>
      </c>
      <c r="G30" s="40">
        <v>3.5</v>
      </c>
      <c r="H30">
        <v>490</v>
      </c>
      <c r="I30">
        <v>107.68</v>
      </c>
      <c r="J30">
        <f t="shared" si="5"/>
        <v>1.4317299999999999</v>
      </c>
      <c r="K30">
        <f t="shared" si="6"/>
        <v>14.0452713</v>
      </c>
      <c r="L30">
        <f t="shared" si="7"/>
        <v>34.887186550821561</v>
      </c>
      <c r="M30">
        <f t="shared" si="4"/>
        <v>0.18774936268140152</v>
      </c>
      <c r="N30">
        <v>19.029</v>
      </c>
    </row>
    <row r="31" spans="2:19">
      <c r="B31" s="40">
        <f t="shared" si="0"/>
        <v>0.6</v>
      </c>
      <c r="C31" s="791">
        <f t="shared" si="1"/>
        <v>1329.0329511494813</v>
      </c>
      <c r="D31" s="791">
        <f t="shared" si="2"/>
        <v>4.0848426724349842</v>
      </c>
      <c r="E31" s="40">
        <f t="shared" si="3"/>
        <v>9.2674387044041318</v>
      </c>
      <c r="G31" s="40">
        <v>4</v>
      </c>
      <c r="H31">
        <v>493</v>
      </c>
      <c r="I31">
        <f>10.51*G31+70.54</f>
        <v>112.58000000000001</v>
      </c>
      <c r="J31">
        <f t="shared" si="5"/>
        <v>1.4366299999999999</v>
      </c>
      <c r="K31">
        <f t="shared" si="6"/>
        <v>14.093340299999999</v>
      </c>
      <c r="L31">
        <f t="shared" si="7"/>
        <v>34.981061232162261</v>
      </c>
      <c r="M31">
        <f t="shared" si="4"/>
        <v>0.15096726362297375</v>
      </c>
      <c r="N31">
        <v>20.343</v>
      </c>
    </row>
    <row r="32" spans="2:19">
      <c r="B32" s="40">
        <f t="shared" si="0"/>
        <v>0.65</v>
      </c>
      <c r="C32" s="791">
        <f t="shared" si="1"/>
        <v>1323.6601145077614</v>
      </c>
      <c r="D32" s="791">
        <f t="shared" si="2"/>
        <v>3.9462855165363617</v>
      </c>
      <c r="E32" s="40">
        <f t="shared" si="3"/>
        <v>8.7447252631044758</v>
      </c>
      <c r="G32" s="40">
        <v>4.5</v>
      </c>
      <c r="H32">
        <v>496</v>
      </c>
      <c r="I32">
        <v>118.21</v>
      </c>
      <c r="J32">
        <f t="shared" si="5"/>
        <v>1.4422600000000001</v>
      </c>
      <c r="K32">
        <f t="shared" si="6"/>
        <v>14.148570600000001</v>
      </c>
      <c r="L32">
        <f t="shared" si="7"/>
        <v>35.056544863973748</v>
      </c>
      <c r="M32">
        <f t="shared" si="4"/>
        <v>-9.5552800353360112E-2</v>
      </c>
      <c r="N32">
        <v>21.577000000000002</v>
      </c>
    </row>
    <row r="33" spans="2:14">
      <c r="B33" s="40">
        <f t="shared" si="0"/>
        <v>0.70000000000000007</v>
      </c>
      <c r="C33" s="791">
        <f t="shared" si="1"/>
        <v>1317.9060319489436</v>
      </c>
      <c r="D33" s="791">
        <f t="shared" si="2"/>
        <v>3.802512283594834</v>
      </c>
      <c r="E33" s="40">
        <f t="shared" si="3"/>
        <v>8.2220118218048199</v>
      </c>
      <c r="G33" s="40">
        <v>5</v>
      </c>
      <c r="H33">
        <v>497</v>
      </c>
      <c r="I33">
        <f>10.51*G33+70.54</f>
        <v>123.09</v>
      </c>
      <c r="J33">
        <f t="shared" si="5"/>
        <v>1.4471399999999999</v>
      </c>
      <c r="K33">
        <f t="shared" si="6"/>
        <v>14.1964434</v>
      </c>
      <c r="L33">
        <f t="shared" si="7"/>
        <v>35.008768463797068</v>
      </c>
      <c r="M33">
        <f t="shared" si="4"/>
        <v>-0.12523528041994325</v>
      </c>
      <c r="N33">
        <v>22.744</v>
      </c>
    </row>
    <row r="34" spans="2:14">
      <c r="B34" s="40">
        <f t="shared" si="0"/>
        <v>0.75000000000000011</v>
      </c>
      <c r="C34" s="791">
        <f t="shared" si="1"/>
        <v>1311.7811850468413</v>
      </c>
      <c r="D34" s="791">
        <f t="shared" si="2"/>
        <v>3.6545733975722929</v>
      </c>
      <c r="E34" s="40">
        <f t="shared" si="3"/>
        <v>7.6992983805051631</v>
      </c>
      <c r="G34" s="40">
        <v>5.5</v>
      </c>
      <c r="H34">
        <v>498</v>
      </c>
      <c r="I34">
        <v>128.6</v>
      </c>
      <c r="J34">
        <f t="shared" si="5"/>
        <v>1.4526499999999998</v>
      </c>
      <c r="K34">
        <f t="shared" si="6"/>
        <v>14.250496499999999</v>
      </c>
      <c r="L34">
        <f t="shared" si="7"/>
        <v>34.946150823587097</v>
      </c>
      <c r="M34">
        <f t="shared" si="4"/>
        <v>-0.23974308526456412</v>
      </c>
      <c r="N34">
        <v>23.853999999999999</v>
      </c>
    </row>
    <row r="35" spans="2:14">
      <c r="B35" s="40">
        <f t="shared" si="0"/>
        <v>0.80000000000000016</v>
      </c>
      <c r="C35" s="791">
        <f t="shared" si="1"/>
        <v>1305.2965776550031</v>
      </c>
      <c r="D35" s="791">
        <f t="shared" si="2"/>
        <v>3.503503449030573</v>
      </c>
      <c r="E35" s="40">
        <f t="shared" si="3"/>
        <v>7.1765849392055063</v>
      </c>
      <c r="G35" s="40">
        <v>6</v>
      </c>
      <c r="H35">
        <v>498</v>
      </c>
      <c r="I35">
        <f>10.51*G35+70.54</f>
        <v>133.60000000000002</v>
      </c>
      <c r="J35">
        <f t="shared" si="5"/>
        <v>1.4576500000000001</v>
      </c>
      <c r="K35">
        <f t="shared" si="6"/>
        <v>14.299546500000002</v>
      </c>
      <c r="L35">
        <f t="shared" si="7"/>
        <v>34.826279280954815</v>
      </c>
      <c r="M35">
        <f t="shared" si="4"/>
        <v>-0.25186407835762736</v>
      </c>
      <c r="N35">
        <v>24.914999999999999</v>
      </c>
    </row>
    <row r="36" spans="2:14">
      <c r="B36" s="40">
        <f t="shared" si="0"/>
        <v>0.8500000000000002</v>
      </c>
      <c r="C36" s="791">
        <f t="shared" si="1"/>
        <v>1298.4636889831911</v>
      </c>
      <c r="D36" s="791">
        <f t="shared" si="2"/>
        <v>3.3503091854781775</v>
      </c>
      <c r="E36" s="40">
        <f t="shared" si="3"/>
        <v>6.6538714979058504</v>
      </c>
      <c r="G36" s="40">
        <v>6.5</v>
      </c>
      <c r="H36">
        <v>498</v>
      </c>
      <c r="I36">
        <v>138.88999999999999</v>
      </c>
      <c r="J36">
        <f t="shared" si="5"/>
        <v>1.4629400000000001</v>
      </c>
      <c r="K36">
        <f t="shared" si="6"/>
        <v>14.351441400000002</v>
      </c>
      <c r="L36">
        <f t="shared" si="7"/>
        <v>34.700347241776001</v>
      </c>
      <c r="M36">
        <f t="shared" si="4"/>
        <v>-0.38561548031081827</v>
      </c>
      <c r="N36">
        <v>25.931999999999999</v>
      </c>
    </row>
    <row r="37" spans="2:14">
      <c r="B37" s="40">
        <f t="shared" si="0"/>
        <v>0.90000000000000024</v>
      </c>
      <c r="C37" s="791">
        <f t="shared" si="1"/>
        <v>1291.2944257566196</v>
      </c>
      <c r="D37" s="791">
        <f t="shared" si="2"/>
        <v>3.1959587084685976</v>
      </c>
      <c r="E37" s="40">
        <f t="shared" si="3"/>
        <v>6.1311580566061945</v>
      </c>
      <c r="G37" s="40">
        <v>7</v>
      </c>
      <c r="H37">
        <v>497</v>
      </c>
      <c r="I37">
        <f>10.51*G37+70.54</f>
        <v>144.11000000000001</v>
      </c>
      <c r="J37">
        <f t="shared" si="5"/>
        <v>1.4681599999999999</v>
      </c>
      <c r="K37">
        <f t="shared" si="6"/>
        <v>14.4026496</v>
      </c>
      <c r="L37">
        <f t="shared" si="7"/>
        <v>34.507539501620592</v>
      </c>
      <c r="M37">
        <f t="shared" si="4"/>
        <v>-0.37216769683683992</v>
      </c>
      <c r="N37">
        <v>26.911000000000001</v>
      </c>
    </row>
    <row r="38" spans="2:14">
      <c r="B38" s="40">
        <f t="shared" si="0"/>
        <v>0.95000000000000029</v>
      </c>
      <c r="C38" s="791">
        <f t="shared" si="1"/>
        <v>1283.8010738042929</v>
      </c>
      <c r="D38" s="791">
        <f t="shared" si="2"/>
        <v>3.0413720133324511</v>
      </c>
      <c r="E38" s="40">
        <f t="shared" si="3"/>
        <v>5.6084446153065386</v>
      </c>
      <c r="G38" s="40">
        <v>7.5</v>
      </c>
      <c r="H38">
        <v>496</v>
      </c>
      <c r="I38">
        <v>149.1</v>
      </c>
      <c r="J38">
        <f t="shared" si="5"/>
        <v>1.47315</v>
      </c>
      <c r="K38">
        <f t="shared" si="6"/>
        <v>14.451601500000001</v>
      </c>
      <c r="L38">
        <f t="shared" si="7"/>
        <v>34.321455653202172</v>
      </c>
      <c r="M38">
        <f t="shared" si="4"/>
        <v>-0.23708609383570312</v>
      </c>
      <c r="N38">
        <v>27.856000000000002</v>
      </c>
    </row>
    <row r="39" spans="2:14">
      <c r="B39" s="40">
        <f t="shared" si="0"/>
        <v>1.0000000000000002</v>
      </c>
      <c r="C39" s="791">
        <f t="shared" si="1"/>
        <v>1275.9962494139709</v>
      </c>
      <c r="D39" s="791">
        <f t="shared" si="2"/>
        <v>2.8874129640955677</v>
      </c>
      <c r="E39" s="40">
        <f t="shared" si="3"/>
        <v>5.0857311740068845</v>
      </c>
      <c r="G39" s="40">
        <v>7.66</v>
      </c>
      <c r="H39">
        <v>496</v>
      </c>
      <c r="I39">
        <v>150.72999999999999</v>
      </c>
      <c r="J39">
        <f t="shared" si="5"/>
        <v>1.47478</v>
      </c>
      <c r="K39">
        <f t="shared" si="6"/>
        <v>14.467591800000001</v>
      </c>
      <c r="L39">
        <f t="shared" si="7"/>
        <v>34.283521878188459</v>
      </c>
      <c r="M39">
        <v>-0.23708609383570312</v>
      </c>
      <c r="N39">
        <v>28.151</v>
      </c>
    </row>
    <row r="40" spans="2:14">
      <c r="B40" s="40">
        <f t="shared" si="0"/>
        <v>1.0500000000000003</v>
      </c>
      <c r="C40" s="791">
        <f t="shared" si="1"/>
        <v>1267.892850779069</v>
      </c>
      <c r="D40" s="791">
        <f t="shared" si="2"/>
        <v>2.7348827536911204</v>
      </c>
      <c r="E40" s="40">
        <f>IF(B40&gt;1,(B40*$C$15+$E$15)/2,(B40*$C$14+$C$3)/2)</f>
        <v>5.2640207460153459</v>
      </c>
      <c r="F40">
        <f>(B40*$C$15+$E$15)</f>
        <v>10.528041492030692</v>
      </c>
    </row>
    <row r="41" spans="2:14">
      <c r="B41" s="40">
        <f t="shared" si="0"/>
        <v>1.1000000000000003</v>
      </c>
      <c r="C41" s="791">
        <f t="shared" si="1"/>
        <v>1259.5040098476118</v>
      </c>
      <c r="D41" s="791">
        <f t="shared" si="2"/>
        <v>2.5845148593748575</v>
      </c>
      <c r="E41" s="40">
        <f t="shared" ref="E41:E72" si="8">IF(B41&gt;1,(B41*$C$15+$E$15)/2,(B41*$C$14+$C$3)/2)</f>
        <v>5.4423103180238055</v>
      </c>
      <c r="F41">
        <f t="shared" ref="F41:F72" si="9">(B41*$C$15+$E$15)</f>
        <v>10.884620636047611</v>
      </c>
    </row>
    <row r="42" spans="2:14">
      <c r="B42" s="40">
        <f t="shared" si="0"/>
        <v>1.1500000000000004</v>
      </c>
      <c r="C42" s="791">
        <f t="shared" si="1"/>
        <v>1250.8430448654974</v>
      </c>
      <c r="D42" s="791">
        <f t="shared" si="2"/>
        <v>2.4369714664371047</v>
      </c>
      <c r="E42" s="40">
        <f t="shared" si="8"/>
        <v>5.6205998900322651</v>
      </c>
      <c r="F42">
        <f t="shared" si="9"/>
        <v>11.24119978006453</v>
      </c>
    </row>
    <row r="43" spans="2:14">
      <c r="B43" s="40">
        <f t="shared" si="0"/>
        <v>1.2000000000000004</v>
      </c>
      <c r="C43" s="791">
        <f t="shared" si="1"/>
        <v>1241.9234138862523</v>
      </c>
      <c r="D43" s="791">
        <f t="shared" si="2"/>
        <v>2.2928413007673574</v>
      </c>
      <c r="E43" s="40">
        <f t="shared" si="8"/>
        <v>5.7988894620407248</v>
      </c>
      <c r="F43">
        <f t="shared" si="9"/>
        <v>11.59777892408145</v>
      </c>
    </row>
    <row r="44" spans="2:14">
      <c r="B44" s="40">
        <f t="shared" si="0"/>
        <v>1.2500000000000004</v>
      </c>
      <c r="C44" s="791">
        <f t="shared" si="1"/>
        <v>1232.7586694975228</v>
      </c>
      <c r="D44" s="791">
        <f t="shared" si="2"/>
        <v>2.1526387832017622</v>
      </c>
      <c r="E44" s="40">
        <f t="shared" si="8"/>
        <v>5.9771790340491844</v>
      </c>
      <c r="F44">
        <f t="shared" si="9"/>
        <v>11.954358068098369</v>
      </c>
    </row>
    <row r="45" spans="2:14">
      <c r="B45" s="40">
        <f t="shared" si="0"/>
        <v>1.3000000000000005</v>
      </c>
      <c r="C45" s="791">
        <f t="shared" si="1"/>
        <v>1223.3624149912123</v>
      </c>
      <c r="D45" s="791">
        <f t="shared" si="2"/>
        <v>2.0168043962498037</v>
      </c>
      <c r="E45" s="40">
        <f t="shared" si="8"/>
        <v>6.1554686060576431</v>
      </c>
      <c r="F45">
        <f t="shared" si="9"/>
        <v>12.310937212115286</v>
      </c>
    </row>
    <row r="46" spans="2:14">
      <c r="B46" s="40">
        <f t="shared" ref="B46:B71" si="10">B45+$B$20</f>
        <v>1.3500000000000005</v>
      </c>
      <c r="C46" s="791">
        <f t="shared" si="1"/>
        <v>1213.7482621797922</v>
      </c>
      <c r="D46" s="791">
        <f t="shared" si="2"/>
        <v>1.8857061368903529</v>
      </c>
      <c r="E46" s="40">
        <f t="shared" si="8"/>
        <v>6.3337581780661028</v>
      </c>
      <c r="F46">
        <f t="shared" si="9"/>
        <v>12.667516356132206</v>
      </c>
    </row>
    <row r="47" spans="2:14">
      <c r="B47" s="40">
        <f t="shared" si="10"/>
        <v>1.4000000000000006</v>
      </c>
      <c r="C47" s="791">
        <f t="shared" si="1"/>
        <v>1203.9297910363252</v>
      </c>
      <c r="D47" s="791">
        <f t="shared" si="2"/>
        <v>1.7596419175677802</v>
      </c>
      <c r="E47" s="40">
        <f t="shared" si="8"/>
        <v>6.5120477500745624</v>
      </c>
      <c r="F47">
        <f t="shared" si="9"/>
        <v>13.024095500149125</v>
      </c>
    </row>
    <row r="48" spans="2:14">
      <c r="B48" s="40">
        <f t="shared" si="10"/>
        <v>1.4500000000000006</v>
      </c>
      <c r="C48" s="791">
        <f t="shared" si="1"/>
        <v>1193.9205113104852</v>
      </c>
      <c r="D48" s="791">
        <f t="shared" si="2"/>
        <v>1.6388427710371949</v>
      </c>
      <c r="E48" s="40">
        <f t="shared" si="8"/>
        <v>6.6903373220830211</v>
      </c>
      <c r="F48">
        <f t="shared" si="9"/>
        <v>13.380674644166042</v>
      </c>
    </row>
    <row r="49" spans="2:6">
      <c r="B49" s="40">
        <f t="shared" si="10"/>
        <v>1.5000000000000007</v>
      </c>
      <c r="C49" s="791">
        <f t="shared" si="1"/>
        <v>1183.7338262476892</v>
      </c>
      <c r="D49" s="791">
        <f t="shared" si="2"/>
        <v>1.5234767128843894</v>
      </c>
      <c r="E49" s="40">
        <f t="shared" si="8"/>
        <v>6.8686268940914808</v>
      </c>
      <c r="F49">
        <f t="shared" si="9"/>
        <v>13.737253788182962</v>
      </c>
    </row>
    <row r="50" spans="2:6">
      <c r="B50" s="40">
        <f t="shared" si="10"/>
        <v>1.5500000000000007</v>
      </c>
      <c r="C50" s="791">
        <f t="shared" si="1"/>
        <v>1173.382998513709</v>
      </c>
      <c r="D50" s="791">
        <f t="shared" si="2"/>
        <v>1.4136531178477463</v>
      </c>
      <c r="E50" s="40">
        <f t="shared" si="8"/>
        <v>7.0469164660999404</v>
      </c>
      <c r="F50">
        <f t="shared" si="9"/>
        <v>14.093832932199881</v>
      </c>
    </row>
    <row r="51" spans="2:6">
      <c r="B51" s="40">
        <f t="shared" si="10"/>
        <v>1.6000000000000008</v>
      </c>
      <c r="C51" s="791">
        <f t="shared" si="1"/>
        <v>1162.8811184030624</v>
      </c>
      <c r="D51" s="791">
        <f t="shared" si="2"/>
        <v>1.3094274718873875</v>
      </c>
      <c r="E51" s="40">
        <f t="shared" si="8"/>
        <v>7.2252060381084</v>
      </c>
      <c r="F51">
        <f t="shared" si="9"/>
        <v>14.4504120762168</v>
      </c>
    </row>
    <row r="52" spans="2:6">
      <c r="B52" s="40">
        <f t="shared" si="10"/>
        <v>1.6500000000000008</v>
      </c>
      <c r="C52" s="791">
        <f t="shared" si="1"/>
        <v>1152.2410743863754</v>
      </c>
      <c r="D52" s="791">
        <f t="shared" si="2"/>
        <v>1.2108063706323227</v>
      </c>
      <c r="E52" s="40">
        <f t="shared" si="8"/>
        <v>7.4034956101168587</v>
      </c>
      <c r="F52">
        <f t="shared" si="9"/>
        <v>14.806991220233717</v>
      </c>
    </row>
    <row r="53" spans="2:6">
      <c r="B53" s="40">
        <f t="shared" si="10"/>
        <v>1.7000000000000008</v>
      </c>
      <c r="C53" s="791">
        <f t="shared" si="1"/>
        <v>1141.4755260299362</v>
      </c>
      <c r="D53" s="791">
        <f t="shared" si="2"/>
        <v>1.1177526457323801</v>
      </c>
      <c r="E53" s="40">
        <f t="shared" si="8"/>
        <v>7.5817851821253184</v>
      </c>
      <c r="F53">
        <f t="shared" si="9"/>
        <v>15.163570364250637</v>
      </c>
    </row>
    <row r="54" spans="2:6">
      <c r="B54" s="40">
        <f t="shared" si="10"/>
        <v>1.7500000000000009</v>
      </c>
      <c r="C54" s="791">
        <f t="shared" si="1"/>
        <v>1130.5968793000491</v>
      </c>
      <c r="D54" s="791">
        <f t="shared" si="2"/>
        <v>1.0301905131102493</v>
      </c>
      <c r="E54" s="40">
        <f t="shared" si="8"/>
        <v>7.760074754133778</v>
      </c>
      <c r="F54">
        <f t="shared" si="9"/>
        <v>15.520149508267556</v>
      </c>
    </row>
    <row r="55" spans="2:6">
      <c r="B55" s="40">
        <f t="shared" si="10"/>
        <v>1.8000000000000009</v>
      </c>
      <c r="C55" s="791">
        <f t="shared" si="1"/>
        <v>1119.6172642456352</v>
      </c>
      <c r="D55" s="791">
        <f t="shared" si="2"/>
        <v>0.94801065055331479</v>
      </c>
      <c r="E55" s="40">
        <f t="shared" si="8"/>
        <v>7.9383643261422376</v>
      </c>
      <c r="F55">
        <f t="shared" si="9"/>
        <v>15.876728652284475</v>
      </c>
    </row>
    <row r="56" spans="2:6">
      <c r="B56" s="40">
        <f t="shared" si="10"/>
        <v>1.850000000000001</v>
      </c>
      <c r="C56" s="791">
        <f t="shared" si="1"/>
        <v>1108.5485150349716</v>
      </c>
      <c r="D56" s="791">
        <f t="shared" si="2"/>
        <v>0.87107512596649694</v>
      </c>
      <c r="E56" s="40">
        <f t="shared" si="8"/>
        <v>8.1166538981506964</v>
      </c>
      <c r="F56">
        <f t="shared" si="9"/>
        <v>16.233307796301393</v>
      </c>
    </row>
    <row r="57" spans="2:6">
      <c r="B57" s="40">
        <f t="shared" si="10"/>
        <v>1.900000000000001</v>
      </c>
      <c r="C57" s="791">
        <f t="shared" si="1"/>
        <v>1097.4021523065321</v>
      </c>
      <c r="D57" s="791">
        <f t="shared" si="2"/>
        <v>0.79922211145618871</v>
      </c>
      <c r="E57" s="40">
        <f t="shared" si="8"/>
        <v>8.294943470159156</v>
      </c>
      <c r="F57">
        <f t="shared" si="9"/>
        <v>16.589886940318312</v>
      </c>
    </row>
    <row r="58" spans="2:6">
      <c r="B58" s="40">
        <f t="shared" si="10"/>
        <v>1.9500000000000011</v>
      </c>
      <c r="C58" s="791">
        <f t="shared" si="1"/>
        <v>1086.1893677796809</v>
      </c>
      <c r="D58" s="791">
        <f t="shared" si="2"/>
        <v>0.73227033183786583</v>
      </c>
      <c r="E58" s="40">
        <f t="shared" si="8"/>
        <v>8.4732330421676156</v>
      </c>
      <c r="F58">
        <f t="shared" si="9"/>
        <v>16.946466084335231</v>
      </c>
    </row>
    <row r="59" spans="2:6">
      <c r="B59" s="40">
        <f t="shared" si="10"/>
        <v>2.0000000000000009</v>
      </c>
      <c r="C59" s="791">
        <f t="shared" si="1"/>
        <v>1074.9210110584515</v>
      </c>
      <c r="D59" s="791">
        <f t="shared" si="2"/>
        <v>0.67002320883983968</v>
      </c>
      <c r="E59" s="40">
        <f t="shared" si="8"/>
        <v>8.6515226141760735</v>
      </c>
      <c r="F59">
        <f t="shared" si="9"/>
        <v>17.303045228352147</v>
      </c>
    </row>
    <row r="60" spans="2:6">
      <c r="B60" s="40">
        <f t="shared" si="10"/>
        <v>2.0500000000000007</v>
      </c>
      <c r="C60" s="791">
        <f t="shared" si="1"/>
        <v>1063.6075785508212</v>
      </c>
      <c r="D60" s="791">
        <f t="shared" si="2"/>
        <v>0.61227267397295071</v>
      </c>
      <c r="E60" s="40">
        <f t="shared" si="8"/>
        <v>8.8298121861845331</v>
      </c>
      <c r="F60">
        <f t="shared" si="9"/>
        <v>17.659624372369066</v>
      </c>
    </row>
    <row r="61" spans="2:6">
      <c r="B61" s="40">
        <f t="shared" si="10"/>
        <v>2.1000000000000005</v>
      </c>
      <c r="C61" s="791">
        <f t="shared" si="1"/>
        <v>1052.2592044167282</v>
      </c>
      <c r="D61" s="791">
        <f t="shared" si="2"/>
        <v>0.55880263358266757</v>
      </c>
      <c r="E61" s="40">
        <f t="shared" si="8"/>
        <v>9.008101758192991</v>
      </c>
      <c r="F61">
        <f t="shared" si="9"/>
        <v>18.016203516385982</v>
      </c>
    </row>
    <row r="62" spans="2:6">
      <c r="B62" s="40">
        <f t="shared" si="10"/>
        <v>2.1500000000000004</v>
      </c>
      <c r="C62" s="791">
        <f t="shared" si="1"/>
        <v>1040.8856534505128</v>
      </c>
      <c r="D62" s="791">
        <f t="shared" si="2"/>
        <v>0.50939207889300142</v>
      </c>
      <c r="E62" s="40">
        <f t="shared" si="8"/>
        <v>9.1863913302014488</v>
      </c>
      <c r="F62">
        <f t="shared" si="9"/>
        <v>18.372782660402898</v>
      </c>
    </row>
    <row r="63" spans="2:6">
      <c r="B63" s="40">
        <f t="shared" si="10"/>
        <v>2.2000000000000002</v>
      </c>
      <c r="C63" s="791">
        <f t="shared" si="1"/>
        <v>1029.4963157974369</v>
      </c>
      <c r="D63" s="791">
        <f t="shared" si="2"/>
        <v>0.4638178418452486</v>
      </c>
      <c r="E63" s="40">
        <f t="shared" si="8"/>
        <v>9.3646809022099085</v>
      </c>
      <c r="F63">
        <f t="shared" si="9"/>
        <v>18.729361804419817</v>
      </c>
    </row>
    <row r="64" spans="2:6">
      <c r="B64" s="40">
        <f t="shared" si="10"/>
        <v>2.25</v>
      </c>
      <c r="C64" s="791">
        <f t="shared" si="1"/>
        <v>1018.1002033993408</v>
      </c>
      <c r="D64" s="791">
        <f t="shared" si="2"/>
        <v>0.4218570042312933</v>
      </c>
      <c r="E64" s="40">
        <f t="shared" si="8"/>
        <v>9.5429704742183681</v>
      </c>
      <c r="F64">
        <f t="shared" si="9"/>
        <v>19.085940948436736</v>
      </c>
    </row>
    <row r="65" spans="2:6">
      <c r="B65" s="40">
        <f t="shared" si="10"/>
        <v>2.2999999999999998</v>
      </c>
      <c r="C65" s="791">
        <f t="shared" si="1"/>
        <v>1006.705948061267</v>
      </c>
      <c r="D65" s="791">
        <f t="shared" si="2"/>
        <v>0.383288973063244</v>
      </c>
      <c r="E65" s="40">
        <f t="shared" si="8"/>
        <v>9.7212600462268242</v>
      </c>
      <c r="F65">
        <f t="shared" si="9"/>
        <v>19.442520092453648</v>
      </c>
    </row>
    <row r="66" spans="2:6">
      <c r="B66" s="40">
        <f t="shared" si="10"/>
        <v>2.3499999999999996</v>
      </c>
      <c r="C66" s="791">
        <f t="shared" si="1"/>
        <v>995.32180102889288</v>
      </c>
      <c r="D66" s="791">
        <f t="shared" si="2"/>
        <v>0.34789723938097861</v>
      </c>
      <c r="E66" s="40">
        <f t="shared" si="8"/>
        <v>9.8995496182352838</v>
      </c>
      <c r="F66">
        <f t="shared" si="9"/>
        <v>19.799099236470568</v>
      </c>
    </row>
    <row r="67" spans="2:6">
      <c r="B67" s="40">
        <f t="shared" si="10"/>
        <v>2.3999999999999995</v>
      </c>
      <c r="C67" s="791">
        <f t="shared" si="1"/>
        <v>983.95563396575665</v>
      </c>
      <c r="D67" s="791">
        <f t="shared" si="2"/>
        <v>0.31547084087168192</v>
      </c>
      <c r="E67" s="40">
        <f t="shared" si="8"/>
        <v>10.077839190243743</v>
      </c>
      <c r="F67">
        <f t="shared" si="9"/>
        <v>20.155678380487487</v>
      </c>
    </row>
    <row r="68" spans="2:6">
      <c r="B68" s="40">
        <f>B67+$B$20</f>
        <v>2.4499999999999993</v>
      </c>
      <c r="C68" s="791">
        <f t="shared" si="1"/>
        <v>972.61494121945839</v>
      </c>
      <c r="D68" s="791">
        <f t="shared" si="2"/>
        <v>0.28580555087035225</v>
      </c>
      <c r="E68" s="40">
        <f t="shared" si="8"/>
        <v>10.256128762252203</v>
      </c>
      <c r="F68">
        <f t="shared" si="9"/>
        <v>20.512257524504406</v>
      </c>
    </row>
    <row r="69" spans="2:6">
      <c r="B69" s="40">
        <f t="shared" si="10"/>
        <v>2.4999999999999991</v>
      </c>
      <c r="C69" s="791">
        <f t="shared" si="1"/>
        <v>961.30684326710832</v>
      </c>
      <c r="D69" s="791">
        <f t="shared" si="2"/>
        <v>0.25870481764546588</v>
      </c>
      <c r="E69" s="40">
        <f t="shared" si="8"/>
        <v>10.434418334260659</v>
      </c>
      <c r="F69">
        <f t="shared" si="9"/>
        <v>20.868836668521318</v>
      </c>
    </row>
    <row r="70" spans="2:6">
      <c r="B70" s="40">
        <f t="shared" si="10"/>
        <v>2.5499999999999989</v>
      </c>
      <c r="C70" s="791">
        <f t="shared" si="1"/>
        <v>950.03809123221004</v>
      </c>
      <c r="D70" s="791">
        <f t="shared" si="2"/>
        <v>0.23398047847022288</v>
      </c>
      <c r="E70" s="40">
        <f t="shared" si="8"/>
        <v>10.612707906269119</v>
      </c>
      <c r="F70">
        <f t="shared" si="9"/>
        <v>21.225415812538238</v>
      </c>
    </row>
    <row r="71" spans="2:6">
      <c r="B71" s="40">
        <f t="shared" si="10"/>
        <v>2.5999999999999988</v>
      </c>
      <c r="C71" s="791">
        <f t="shared" si="1"/>
        <v>938.81507236778589</v>
      </c>
      <c r="D71" s="791">
        <f t="shared" si="2"/>
        <v>0.21145327295611352</v>
      </c>
      <c r="E71" s="40">
        <f t="shared" si="8"/>
        <v>10.790997478277578</v>
      </c>
      <c r="F71">
        <f t="shared" si="9"/>
        <v>21.581994956555157</v>
      </c>
    </row>
    <row r="72" spans="2:6">
      <c r="B72" s="40">
        <f>B71+$B$20</f>
        <v>2.6499999999999986</v>
      </c>
      <c r="C72" s="791">
        <f t="shared" si="1"/>
        <v>927.64381640375723</v>
      </c>
      <c r="D72" s="791">
        <f>$C$8/(1+(($C$12-1)/2)*B72^2)^($C$12/($C$12-1))</f>
        <v>0.19095317959558253</v>
      </c>
      <c r="E72" s="40">
        <f t="shared" si="8"/>
        <v>10.969287050286034</v>
      </c>
      <c r="F72">
        <f t="shared" si="9"/>
        <v>21.938574100572069</v>
      </c>
    </row>
  </sheetData>
  <conditionalFormatting sqref="L25:L39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theme="2" tint="-0.249977111117893"/>
  </sheetPr>
  <dimension ref="B2:I73"/>
  <sheetViews>
    <sheetView zoomScale="85" zoomScaleNormal="85" workbookViewId="0">
      <selection activeCell="H8" sqref="H8"/>
    </sheetView>
  </sheetViews>
  <sheetFormatPr baseColWidth="10" defaultColWidth="11.44140625" defaultRowHeight="13.2"/>
  <cols>
    <col min="3" max="5" width="12" bestFit="1" customWidth="1"/>
    <col min="6" max="6" width="12.88671875" customWidth="1"/>
  </cols>
  <sheetData>
    <row r="2" spans="2:9">
      <c r="B2" s="720" t="s">
        <v>1134</v>
      </c>
      <c r="F2" t="s">
        <v>1180</v>
      </c>
      <c r="I2" t="s">
        <v>1188</v>
      </c>
    </row>
    <row r="3" spans="2:9">
      <c r="F3" t="s">
        <v>1187</v>
      </c>
      <c r="I3" t="s">
        <v>1189</v>
      </c>
    </row>
    <row r="4" spans="2:9">
      <c r="B4" s="789" t="s">
        <v>1135</v>
      </c>
      <c r="I4" t="s">
        <v>1190</v>
      </c>
    </row>
    <row r="5" spans="2:9">
      <c r="B5" s="789" t="s">
        <v>1136</v>
      </c>
      <c r="H5" t="s">
        <v>1192</v>
      </c>
      <c r="I5" t="s">
        <v>1191</v>
      </c>
    </row>
    <row r="6" spans="2:9">
      <c r="B6" s="789" t="s">
        <v>1137</v>
      </c>
      <c r="C6">
        <f>pmax*((PI()*('First iteration &amp; Mechanical'!M60)^2)/4)</f>
        <v>4829.5964216546363</v>
      </c>
      <c r="D6" s="789" t="s">
        <v>1138</v>
      </c>
      <c r="H6" t="s">
        <v>1194</v>
      </c>
      <c r="I6" t="s">
        <v>1193</v>
      </c>
    </row>
    <row r="7" spans="2:9">
      <c r="B7" s="789" t="s">
        <v>1137</v>
      </c>
      <c r="C7">
        <f>pmax*((PI()*('First iteration &amp; Mechanical'!P60)^2)/4)</f>
        <v>3790.9991926570601</v>
      </c>
      <c r="D7" s="789" t="s">
        <v>1139</v>
      </c>
      <c r="H7" t="s">
        <v>1196</v>
      </c>
      <c r="I7" t="s">
        <v>1195</v>
      </c>
    </row>
    <row r="8" spans="2:9">
      <c r="F8" s="789"/>
    </row>
    <row r="9" spans="2:9">
      <c r="B9" s="789" t="s">
        <v>1140</v>
      </c>
    </row>
    <row r="10" spans="2:9">
      <c r="B10" s="789" t="s">
        <v>1141</v>
      </c>
      <c r="C10">
        <f>fmax</f>
        <v>495.59239714220945</v>
      </c>
    </row>
    <row r="12" spans="2:9">
      <c r="B12" s="789" t="s">
        <v>1142</v>
      </c>
    </row>
    <row r="13" spans="2:9">
      <c r="B13" s="789" t="s">
        <v>1143</v>
      </c>
      <c r="C13">
        <v>1.5</v>
      </c>
    </row>
    <row r="15" spans="2:9">
      <c r="B15" s="789" t="s">
        <v>1144</v>
      </c>
      <c r="G15">
        <f>C37</f>
        <v>4</v>
      </c>
    </row>
    <row r="16" spans="2:9">
      <c r="B16" s="789" t="s">
        <v>1145</v>
      </c>
      <c r="D16" s="789" t="str">
        <f>"M" &amp;C17</f>
        <v>M3</v>
      </c>
    </row>
    <row r="17" spans="2:7">
      <c r="B17" s="789" t="s">
        <v>1162</v>
      </c>
      <c r="C17">
        <v>3</v>
      </c>
      <c r="D17" s="789" t="s">
        <v>2</v>
      </c>
    </row>
    <row r="18" spans="2:7">
      <c r="B18" s="789" t="s">
        <v>1166</v>
      </c>
      <c r="D18" s="789" t="str">
        <f>'First iteration &amp; Mechanical'!L57</f>
        <v>ASTM A53</v>
      </c>
    </row>
    <row r="19" spans="2:7">
      <c r="B19" s="789" t="s">
        <v>842</v>
      </c>
      <c r="C19">
        <f>'First iteration &amp; Mechanical'!M65</f>
        <v>240</v>
      </c>
      <c r="D19" s="789" t="s">
        <v>87</v>
      </c>
    </row>
    <row r="20" spans="2:7">
      <c r="B20" s="789" t="s">
        <v>843</v>
      </c>
      <c r="C20">
        <f>'First iteration &amp; Mechanical'!M66</f>
        <v>415</v>
      </c>
      <c r="D20" s="789" t="s">
        <v>87</v>
      </c>
    </row>
    <row r="21" spans="2:7">
      <c r="B21" s="789" t="s">
        <v>67</v>
      </c>
      <c r="C21">
        <f>'First iteration &amp; Mechanical'!M67</f>
        <v>200000</v>
      </c>
      <c r="D21" s="789" t="s">
        <v>87</v>
      </c>
    </row>
    <row r="22" spans="2:7">
      <c r="B22" s="204" t="s">
        <v>1061</v>
      </c>
      <c r="C22">
        <f>'First iteration &amp; Mechanical'!M68</f>
        <v>0.28999999999999998</v>
      </c>
      <c r="D22" s="789" t="s">
        <v>64</v>
      </c>
    </row>
    <row r="23" spans="2:7">
      <c r="B23" s="789" t="s">
        <v>1165</v>
      </c>
      <c r="C23">
        <f>'First iteration &amp; Mechanical'!M61</f>
        <v>3.56</v>
      </c>
      <c r="D23" s="789" t="s">
        <v>2</v>
      </c>
    </row>
    <row r="24" spans="2:7">
      <c r="B24" s="789" t="s">
        <v>1146</v>
      </c>
      <c r="D24" s="789" t="str">
        <f>C25 &amp;"."&amp; C26</f>
        <v>10.9</v>
      </c>
      <c r="E24" s="789" t="s">
        <v>713</v>
      </c>
      <c r="F24" s="789" t="s">
        <v>1185</v>
      </c>
      <c r="G24" s="789" t="s">
        <v>1183</v>
      </c>
    </row>
    <row r="25" spans="2:7">
      <c r="B25" s="789" t="s">
        <v>1181</v>
      </c>
      <c r="C25">
        <v>10</v>
      </c>
      <c r="D25" s="789"/>
    </row>
    <row r="26" spans="2:7">
      <c r="B26" s="789" t="s">
        <v>1182</v>
      </c>
      <c r="C26">
        <v>9</v>
      </c>
      <c r="D26" s="789"/>
    </row>
    <row r="27" spans="2:7">
      <c r="B27" s="789" t="s">
        <v>842</v>
      </c>
      <c r="C27">
        <f>C28*0.9</f>
        <v>900</v>
      </c>
      <c r="D27" s="789" t="s">
        <v>87</v>
      </c>
    </row>
    <row r="28" spans="2:7">
      <c r="B28" s="789" t="s">
        <v>843</v>
      </c>
      <c r="C28">
        <f>C25*100</f>
        <v>1000</v>
      </c>
      <c r="D28" s="789" t="s">
        <v>87</v>
      </c>
    </row>
    <row r="29" spans="2:7">
      <c r="B29" s="789" t="s">
        <v>67</v>
      </c>
      <c r="C29">
        <v>200000</v>
      </c>
      <c r="D29" s="789" t="s">
        <v>87</v>
      </c>
    </row>
    <row r="30" spans="2:7">
      <c r="B30" s="204" t="s">
        <v>1061</v>
      </c>
      <c r="C30">
        <v>0.28999999999999998</v>
      </c>
      <c r="D30" s="789" t="s">
        <v>64</v>
      </c>
    </row>
    <row r="31" spans="2:7">
      <c r="B31" s="789" t="s">
        <v>1147</v>
      </c>
      <c r="C31" s="789" t="s">
        <v>1184</v>
      </c>
    </row>
    <row r="32" spans="2:7">
      <c r="B32" s="789" t="s">
        <v>1186</v>
      </c>
      <c r="C32" s="789">
        <v>0.5</v>
      </c>
      <c r="D32" s="789" t="s">
        <v>2</v>
      </c>
    </row>
    <row r="33" spans="2:4">
      <c r="B33" s="789" t="s">
        <v>1148</v>
      </c>
      <c r="D33">
        <f>Sf_shearFailureBolts</f>
        <v>1.5901949830766202</v>
      </c>
    </row>
    <row r="35" spans="2:4">
      <c r="B35" s="789" t="s">
        <v>1149</v>
      </c>
    </row>
    <row r="36" spans="2:4">
      <c r="B36" s="789" t="s">
        <v>1152</v>
      </c>
      <c r="C36">
        <f>(C6*C13)/C37</f>
        <v>1811.0986581204886</v>
      </c>
      <c r="D36" s="789" t="s">
        <v>1138</v>
      </c>
    </row>
    <row r="37" spans="2:4">
      <c r="B37" s="789" t="s">
        <v>1150</v>
      </c>
      <c r="C37">
        <v>4</v>
      </c>
    </row>
    <row r="38" spans="2:4">
      <c r="B38" s="789" t="s">
        <v>1151</v>
      </c>
    </row>
    <row r="39" spans="2:4">
      <c r="B39" s="789" t="s">
        <v>1152</v>
      </c>
      <c r="C39">
        <f>(C7*C13)/C40</f>
        <v>947.74979816426503</v>
      </c>
      <c r="D39" s="789" t="s">
        <v>1139</v>
      </c>
    </row>
    <row r="40" spans="2:4">
      <c r="B40" s="789" t="s">
        <v>1150</v>
      </c>
      <c r="C40">
        <v>6</v>
      </c>
    </row>
    <row r="42" spans="2:4">
      <c r="B42" s="415" t="s">
        <v>1153</v>
      </c>
    </row>
    <row r="43" spans="2:4">
      <c r="B43" s="789" t="s">
        <v>1154</v>
      </c>
    </row>
    <row r="44" spans="2:4">
      <c r="B44" t="s">
        <v>1155</v>
      </c>
    </row>
    <row r="45" spans="2:4">
      <c r="B45" s="789" t="s">
        <v>1156</v>
      </c>
    </row>
    <row r="46" spans="2:4">
      <c r="B46" s="789" t="s">
        <v>1157</v>
      </c>
    </row>
    <row r="47" spans="2:4">
      <c r="B47" s="789" t="s">
        <v>1158</v>
      </c>
    </row>
    <row r="48" spans="2:4">
      <c r="B48" s="789" t="s">
        <v>1159</v>
      </c>
    </row>
    <row r="50" spans="2:4">
      <c r="B50" s="789" t="s">
        <v>1167</v>
      </c>
    </row>
    <row r="51" spans="2:4">
      <c r="B51" s="789" t="s">
        <v>1152</v>
      </c>
      <c r="C51">
        <f>C52*C19*(C55-C54)*C23</f>
        <v>4323.88110363123</v>
      </c>
    </row>
    <row r="52" spans="2:4">
      <c r="B52" s="789" t="s">
        <v>1160</v>
      </c>
      <c r="C52" s="10">
        <f>IF(C56&lt;0.3,(1-0.9+3*C53*C56),1)</f>
        <v>0.16788599468374679</v>
      </c>
    </row>
    <row r="53" spans="2:4">
      <c r="B53" s="789" t="s">
        <v>1161</v>
      </c>
      <c r="C53" s="793">
        <f>1/C37</f>
        <v>0.25</v>
      </c>
    </row>
    <row r="54" spans="2:4">
      <c r="B54" s="789" t="s">
        <v>1162</v>
      </c>
      <c r="C54" s="10">
        <f>C17</f>
        <v>3</v>
      </c>
      <c r="D54" s="789" t="s">
        <v>2</v>
      </c>
    </row>
    <row r="55" spans="2:4">
      <c r="B55" s="789" t="s">
        <v>1163</v>
      </c>
      <c r="C55" s="10">
        <f>(PI()*'First iteration &amp; Mechanical'!M59)/C37</f>
        <v>33.14380249537232</v>
      </c>
      <c r="D55" s="789" t="s">
        <v>2</v>
      </c>
    </row>
    <row r="56" spans="2:4">
      <c r="B56" s="789" t="s">
        <v>1164</v>
      </c>
      <c r="C56" s="10">
        <f>C54/C55</f>
        <v>9.051465957832909E-2</v>
      </c>
    </row>
    <row r="57" spans="2:4">
      <c r="B57" s="789" t="s">
        <v>1143</v>
      </c>
      <c r="C57">
        <f>C51/C36</f>
        <v>2.3874354300049241</v>
      </c>
    </row>
    <row r="59" spans="2:4">
      <c r="B59" s="789" t="s">
        <v>1159</v>
      </c>
    </row>
    <row r="60" spans="2:4">
      <c r="B60" s="789" t="s">
        <v>1152</v>
      </c>
      <c r="C60">
        <f>0.32*C28*C17^2</f>
        <v>2880</v>
      </c>
    </row>
    <row r="61" spans="2:4">
      <c r="B61" s="789" t="s">
        <v>1143</v>
      </c>
      <c r="C61">
        <f>C60/C36</f>
        <v>1.5901949830766202</v>
      </c>
      <c r="D61" s="720" t="s">
        <v>1171</v>
      </c>
    </row>
    <row r="63" spans="2:4">
      <c r="B63" s="789" t="s">
        <v>1168</v>
      </c>
    </row>
    <row r="64" spans="2:4">
      <c r="B64" s="789" t="s">
        <v>1152</v>
      </c>
      <c r="C64" s="10">
        <f>MAX(C60,C51)</f>
        <v>4323.88110363123</v>
      </c>
    </row>
    <row r="65" spans="2:4">
      <c r="B65" s="789" t="s">
        <v>1170</v>
      </c>
      <c r="C65" s="10">
        <f>(C64*SQRT(3))/(2*C23*C19)</f>
        <v>4.382714043408404</v>
      </c>
      <c r="D65" s="789" t="s">
        <v>2</v>
      </c>
    </row>
    <row r="66" spans="2:4">
      <c r="B66" s="789" t="s">
        <v>1162</v>
      </c>
      <c r="C66" s="10">
        <f>C54</f>
        <v>3</v>
      </c>
      <c r="D66" s="789" t="s">
        <v>2</v>
      </c>
    </row>
    <row r="67" spans="2:4">
      <c r="B67" s="789" t="s">
        <v>1169</v>
      </c>
      <c r="C67">
        <f>C65/C66</f>
        <v>1.4609046811361346</v>
      </c>
    </row>
    <row r="70" spans="2:4">
      <c r="B70" s="789"/>
    </row>
    <row r="71" spans="2:4">
      <c r="B71" s="789"/>
    </row>
    <row r="72" spans="2:4">
      <c r="B72" s="789"/>
    </row>
    <row r="73" spans="2:4">
      <c r="B73" s="789"/>
    </row>
  </sheetData>
  <pageMargins left="0.7" right="0.7" top="0.75" bottom="0.75" header="0.3" footer="0.3"/>
  <cellWatches>
    <cellWatch r="C57"/>
    <cellWatch r="C61"/>
  </cellWatches>
  <drawing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G14"/>
  <sheetViews>
    <sheetView workbookViewId="0">
      <selection activeCell="I10" sqref="I10"/>
    </sheetView>
  </sheetViews>
  <sheetFormatPr baseColWidth="10" defaultColWidth="11.44140625" defaultRowHeight="13.2"/>
  <sheetData>
    <row r="14" spans="7:7">
      <c r="G14" s="789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6"/>
  <dimension ref="B1:X285"/>
  <sheetViews>
    <sheetView topLeftCell="A39" zoomScaleNormal="100" workbookViewId="0">
      <selection activeCell="I235" sqref="I235"/>
    </sheetView>
  </sheetViews>
  <sheetFormatPr baseColWidth="10" defaultColWidth="8.88671875" defaultRowHeight="13.2"/>
  <cols>
    <col min="1" max="1" width="3.44140625" customWidth="1"/>
    <col min="2" max="2" width="12.6640625" customWidth="1"/>
    <col min="3" max="3" width="9.88671875" bestFit="1" customWidth="1"/>
    <col min="4" max="4" width="12.33203125" bestFit="1" customWidth="1"/>
    <col min="5" max="5" width="10.109375" bestFit="1" customWidth="1"/>
    <col min="9" max="9" width="25.33203125" bestFit="1" customWidth="1"/>
    <col min="10" max="10" width="36.5546875" bestFit="1" customWidth="1"/>
  </cols>
  <sheetData>
    <row r="1" spans="2:24" ht="13.8" thickBot="1"/>
    <row r="2" spans="2:24" ht="13.8" thickBot="1">
      <c r="B2" s="451" t="s">
        <v>709</v>
      </c>
      <c r="C2" s="452"/>
      <c r="D2" s="452"/>
      <c r="E2" s="452"/>
      <c r="F2" s="452"/>
      <c r="G2" s="452"/>
      <c r="H2" s="452"/>
      <c r="I2" s="452"/>
      <c r="J2" s="452"/>
      <c r="K2" s="452"/>
      <c r="L2" s="452"/>
      <c r="M2" s="452"/>
      <c r="N2" s="452"/>
      <c r="O2" s="452"/>
      <c r="P2" s="452"/>
      <c r="Q2" s="452"/>
      <c r="R2" s="452"/>
      <c r="S2" s="452"/>
      <c r="T2" s="452"/>
      <c r="U2" s="452"/>
      <c r="V2" s="452"/>
      <c r="W2" s="452"/>
      <c r="X2" s="453"/>
    </row>
    <row r="3" spans="2:24">
      <c r="B3" s="454"/>
      <c r="C3" s="118"/>
      <c r="D3" s="276"/>
      <c r="E3" s="455"/>
      <c r="F3" s="455" t="s">
        <v>710</v>
      </c>
      <c r="G3" s="455" t="s">
        <v>710</v>
      </c>
      <c r="H3" s="455" t="s">
        <v>710</v>
      </c>
      <c r="I3" s="455" t="s">
        <v>711</v>
      </c>
      <c r="J3" s="455" t="s">
        <v>712</v>
      </c>
      <c r="K3" s="455" t="s">
        <v>713</v>
      </c>
      <c r="L3" s="456" t="s">
        <v>714</v>
      </c>
      <c r="M3" s="457" t="s">
        <v>715</v>
      </c>
      <c r="N3" s="456" t="s">
        <v>716</v>
      </c>
      <c r="O3" s="455" t="s">
        <v>717</v>
      </c>
      <c r="P3" s="455" t="s">
        <v>718</v>
      </c>
      <c r="Q3" s="39" t="s">
        <v>719</v>
      </c>
      <c r="R3" s="455" t="s">
        <v>720</v>
      </c>
      <c r="S3" s="39" t="s">
        <v>721</v>
      </c>
      <c r="T3" s="458" t="s">
        <v>722</v>
      </c>
      <c r="U3" s="458" t="s">
        <v>723</v>
      </c>
      <c r="V3" s="459" t="s">
        <v>717</v>
      </c>
      <c r="W3" s="459" t="s">
        <v>724</v>
      </c>
      <c r="X3" s="460" t="s">
        <v>724</v>
      </c>
    </row>
    <row r="4" spans="2:24" ht="15">
      <c r="B4" s="454"/>
      <c r="C4" s="118"/>
      <c r="D4" s="276"/>
      <c r="E4" s="455" t="s">
        <v>725</v>
      </c>
      <c r="F4" s="455" t="s">
        <v>726</v>
      </c>
      <c r="G4" s="455" t="s">
        <v>727</v>
      </c>
      <c r="H4" s="455" t="s">
        <v>728</v>
      </c>
      <c r="I4" s="455" t="s">
        <v>729</v>
      </c>
      <c r="J4" s="455" t="s">
        <v>730</v>
      </c>
      <c r="K4" s="455">
        <v>4130</v>
      </c>
      <c r="L4" s="456" t="s">
        <v>731</v>
      </c>
      <c r="M4" s="461" t="s">
        <v>732</v>
      </c>
      <c r="N4" s="456" t="s">
        <v>733</v>
      </c>
      <c r="O4" s="455"/>
      <c r="P4" s="455" t="s">
        <v>734</v>
      </c>
      <c r="Q4" s="39"/>
      <c r="R4" s="455"/>
      <c r="S4" s="39" t="s">
        <v>735</v>
      </c>
      <c r="T4" s="48" t="s">
        <v>736</v>
      </c>
      <c r="U4" s="48" t="s">
        <v>737</v>
      </c>
      <c r="V4" s="459" t="s">
        <v>738</v>
      </c>
      <c r="W4" s="459"/>
      <c r="X4" s="460"/>
    </row>
    <row r="5" spans="2:24" ht="13.8" thickBot="1">
      <c r="B5" s="462" t="s">
        <v>739</v>
      </c>
      <c r="C5" s="61" t="s">
        <v>740</v>
      </c>
      <c r="D5" s="12" t="s">
        <v>741</v>
      </c>
      <c r="E5" s="463" t="s">
        <v>742</v>
      </c>
      <c r="F5" s="464" t="s">
        <v>142</v>
      </c>
      <c r="G5" s="464" t="s">
        <v>142</v>
      </c>
      <c r="H5" s="464" t="s">
        <v>141</v>
      </c>
      <c r="I5" s="464" t="s">
        <v>142</v>
      </c>
      <c r="J5" s="464" t="s">
        <v>743</v>
      </c>
      <c r="K5" s="464" t="s">
        <v>744</v>
      </c>
      <c r="L5" s="465" t="s">
        <v>142</v>
      </c>
      <c r="M5" s="466" t="s">
        <v>745</v>
      </c>
      <c r="N5" s="465" t="s">
        <v>746</v>
      </c>
      <c r="O5" s="464" t="s">
        <v>142</v>
      </c>
      <c r="P5" s="464" t="s">
        <v>142</v>
      </c>
      <c r="Q5" s="467" t="s">
        <v>747</v>
      </c>
      <c r="R5" s="464" t="s">
        <v>748</v>
      </c>
      <c r="S5" s="467" t="s">
        <v>749</v>
      </c>
      <c r="T5" s="468" t="s">
        <v>750</v>
      </c>
      <c r="U5" s="468" t="s">
        <v>751</v>
      </c>
      <c r="V5" s="469" t="s">
        <v>141</v>
      </c>
      <c r="W5" s="469" t="s">
        <v>752</v>
      </c>
      <c r="X5" s="470" t="s">
        <v>753</v>
      </c>
    </row>
    <row r="6" spans="2:24" ht="13.8" thickTop="1">
      <c r="B6" s="471" t="s">
        <v>754</v>
      </c>
      <c r="C6" s="472" t="s">
        <v>755</v>
      </c>
      <c r="D6" s="473" t="s">
        <v>756</v>
      </c>
      <c r="E6" s="473" t="s">
        <v>64</v>
      </c>
      <c r="F6" s="510">
        <f>933-273</f>
        <v>660</v>
      </c>
      <c r="G6" s="511">
        <f>775-273</f>
        <v>502</v>
      </c>
      <c r="H6" s="511">
        <v>582</v>
      </c>
      <c r="I6" s="511">
        <f>1188-273</f>
        <v>915</v>
      </c>
      <c r="J6" s="512">
        <f>(2780-32)/9*5</f>
        <v>1526.6666666666665</v>
      </c>
      <c r="K6" s="512">
        <f>(2700-32)/9*5</f>
        <v>1482.2222222222222</v>
      </c>
      <c r="L6" s="511">
        <v>1400</v>
      </c>
      <c r="M6" s="512">
        <v>1604</v>
      </c>
      <c r="N6" s="513">
        <f>450-273</f>
        <v>177</v>
      </c>
      <c r="O6" s="511"/>
      <c r="P6" s="511"/>
      <c r="Q6" s="514">
        <f>(425-32)/9*5</f>
        <v>218.33333333333331</v>
      </c>
      <c r="R6" s="514"/>
      <c r="S6" s="514">
        <v>3300</v>
      </c>
      <c r="T6" s="515">
        <v>1260</v>
      </c>
      <c r="U6" s="515">
        <v>1480</v>
      </c>
      <c r="V6" s="514"/>
      <c r="W6" s="514">
        <v>3300</v>
      </c>
      <c r="X6" s="516">
        <v>3300</v>
      </c>
    </row>
    <row r="7" spans="2:24" ht="15.6">
      <c r="B7" s="474" t="s">
        <v>216</v>
      </c>
      <c r="C7" s="443" t="s">
        <v>88</v>
      </c>
      <c r="D7" s="444" t="s">
        <v>706</v>
      </c>
      <c r="E7" s="517">
        <v>27</v>
      </c>
      <c r="F7" s="518">
        <v>2.702</v>
      </c>
      <c r="G7" s="519">
        <v>2.77</v>
      </c>
      <c r="H7" s="519">
        <v>2.7</v>
      </c>
      <c r="I7" s="519">
        <v>8.5299999999999994</v>
      </c>
      <c r="J7" s="519">
        <v>7.8319999999999999</v>
      </c>
      <c r="K7" s="519">
        <v>7.84</v>
      </c>
      <c r="L7" s="519">
        <v>7.9</v>
      </c>
      <c r="M7" s="519">
        <v>4.43</v>
      </c>
      <c r="N7" s="520">
        <v>1.4</v>
      </c>
      <c r="O7" s="519">
        <v>0.93</v>
      </c>
      <c r="P7" s="519">
        <v>1.19</v>
      </c>
      <c r="Q7" s="521">
        <v>1.4</v>
      </c>
      <c r="R7" s="521">
        <v>1.26</v>
      </c>
      <c r="S7" s="521">
        <v>1.47</v>
      </c>
      <c r="T7" s="521">
        <v>0.64100000000000001</v>
      </c>
      <c r="U7" s="521">
        <v>1.76</v>
      </c>
      <c r="V7" s="521">
        <v>1.4</v>
      </c>
      <c r="W7" s="522">
        <v>1.1000000000000001</v>
      </c>
      <c r="X7" s="523">
        <v>1.1000000000000001</v>
      </c>
    </row>
    <row r="8" spans="2:24">
      <c r="B8" s="475" t="s">
        <v>757</v>
      </c>
      <c r="C8" s="445" t="s">
        <v>707</v>
      </c>
      <c r="D8" s="446" t="s">
        <v>708</v>
      </c>
      <c r="E8" s="524">
        <v>27</v>
      </c>
      <c r="F8" s="525">
        <f>903/1000</f>
        <v>0.90300000000000002</v>
      </c>
      <c r="G8" s="526">
        <f>875/1000</f>
        <v>0.875</v>
      </c>
      <c r="H8" s="526">
        <v>0.89600000000000002</v>
      </c>
      <c r="I8" s="526">
        <v>0.38</v>
      </c>
      <c r="J8" s="526">
        <v>0.434</v>
      </c>
      <c r="K8" s="527">
        <v>0.434</v>
      </c>
      <c r="L8" s="528">
        <v>0.47699999999999998</v>
      </c>
      <c r="M8" s="526">
        <v>0.54500000000000004</v>
      </c>
      <c r="N8" s="525">
        <v>0.93500000000000005</v>
      </c>
      <c r="O8" s="526">
        <v>1.34</v>
      </c>
      <c r="P8" s="526">
        <v>2.0099999999999998</v>
      </c>
      <c r="Q8" s="529">
        <v>1.05</v>
      </c>
      <c r="R8" s="529"/>
      <c r="S8" s="529">
        <v>0.83799999999999997</v>
      </c>
      <c r="T8" s="529"/>
      <c r="U8" s="529"/>
      <c r="V8" s="529">
        <v>1.0014099999999999</v>
      </c>
      <c r="W8" s="529">
        <v>0.71099999999999997</v>
      </c>
      <c r="X8" s="530">
        <v>0.71099999999999997</v>
      </c>
    </row>
    <row r="9" spans="2:24">
      <c r="B9" s="476"/>
      <c r="C9" s="447"/>
      <c r="D9" s="448"/>
      <c r="E9" s="531">
        <f>400-273</f>
        <v>127</v>
      </c>
      <c r="F9" s="532">
        <v>0.94899999999999995</v>
      </c>
      <c r="G9" s="533">
        <v>0.92500000000000004</v>
      </c>
      <c r="H9" s="533"/>
      <c r="I9" s="533">
        <v>0.39500000000000002</v>
      </c>
      <c r="J9" s="533">
        <v>0.48699999999999999</v>
      </c>
      <c r="K9" s="533">
        <v>0.49</v>
      </c>
      <c r="L9" s="534">
        <v>0.51500000000000001</v>
      </c>
      <c r="M9" s="533">
        <v>0.56599999999999995</v>
      </c>
      <c r="N9" s="532">
        <v>1.216</v>
      </c>
      <c r="O9" s="533"/>
      <c r="P9" s="533"/>
      <c r="Q9" s="535"/>
      <c r="R9" s="535"/>
      <c r="S9" s="535">
        <v>0.83799999999999997</v>
      </c>
      <c r="T9" s="535"/>
      <c r="U9" s="535"/>
      <c r="V9" s="535"/>
      <c r="W9" s="535"/>
      <c r="X9" s="536"/>
    </row>
    <row r="10" spans="2:24">
      <c r="B10" s="476"/>
      <c r="C10" s="449"/>
      <c r="D10" s="448"/>
      <c r="E10" s="531">
        <f>600-273</f>
        <v>327</v>
      </c>
      <c r="F10" s="532">
        <v>1.0329999999999999</v>
      </c>
      <c r="G10" s="533">
        <v>1.042</v>
      </c>
      <c r="H10" s="533"/>
      <c r="I10" s="533">
        <v>0.42499999999999999</v>
      </c>
      <c r="J10" s="533">
        <v>0.55900000000000005</v>
      </c>
      <c r="K10" s="533">
        <v>0.56999999999999995</v>
      </c>
      <c r="L10" s="534">
        <v>0.55700000000000005</v>
      </c>
      <c r="M10" s="533">
        <v>0.60799999999999998</v>
      </c>
      <c r="N10" s="532"/>
      <c r="O10" s="533"/>
      <c r="P10" s="533"/>
      <c r="Q10" s="535"/>
      <c r="R10" s="535"/>
      <c r="S10" s="535">
        <v>0.92179999999999995</v>
      </c>
      <c r="T10" s="535"/>
      <c r="U10" s="535"/>
      <c r="V10" s="535"/>
      <c r="W10" s="535"/>
      <c r="X10" s="536"/>
    </row>
    <row r="11" spans="2:24">
      <c r="B11" s="476"/>
      <c r="C11" s="449"/>
      <c r="D11" s="450"/>
      <c r="E11" s="531">
        <f>800-273</f>
        <v>527</v>
      </c>
      <c r="F11" s="532">
        <v>1.1459999999999999</v>
      </c>
      <c r="G11" s="533"/>
      <c r="H11" s="533"/>
      <c r="I11" s="533"/>
      <c r="J11" s="533">
        <v>0.68500000000000005</v>
      </c>
      <c r="K11" s="533">
        <v>0.67</v>
      </c>
      <c r="L11" s="534">
        <v>0.58199999999999996</v>
      </c>
      <c r="M11" s="533">
        <v>0.72499999999999998</v>
      </c>
      <c r="N11" s="532"/>
      <c r="O11" s="533"/>
      <c r="P11" s="533"/>
      <c r="Q11" s="535"/>
      <c r="R11" s="535"/>
      <c r="S11" s="535">
        <v>1.6759999999999999</v>
      </c>
      <c r="T11" s="535"/>
      <c r="U11" s="535"/>
      <c r="V11" s="535"/>
      <c r="W11" s="535"/>
      <c r="X11" s="536"/>
    </row>
    <row r="12" spans="2:24">
      <c r="B12" s="476"/>
      <c r="C12" s="449"/>
      <c r="D12" s="450"/>
      <c r="E12" s="531">
        <v>727</v>
      </c>
      <c r="F12" s="532"/>
      <c r="G12" s="533"/>
      <c r="H12" s="533"/>
      <c r="I12" s="533"/>
      <c r="J12" s="533">
        <v>1.1679999999999999</v>
      </c>
      <c r="K12" s="533">
        <v>1.26</v>
      </c>
      <c r="L12" s="534">
        <v>0.61099999999999999</v>
      </c>
      <c r="M12" s="533">
        <v>0.85899999999999999</v>
      </c>
      <c r="N12" s="532"/>
      <c r="O12" s="533"/>
      <c r="P12" s="533"/>
      <c r="Q12" s="535"/>
      <c r="R12" s="535"/>
      <c r="S12" s="535">
        <v>1.9274</v>
      </c>
      <c r="T12" s="535"/>
      <c r="U12" s="535"/>
      <c r="V12" s="535"/>
      <c r="W12" s="535"/>
      <c r="X12" s="536"/>
    </row>
    <row r="13" spans="2:24" ht="13.8" thickBot="1">
      <c r="B13" s="477"/>
      <c r="C13" s="478"/>
      <c r="D13" s="479"/>
      <c r="E13" s="537">
        <v>927</v>
      </c>
      <c r="F13" s="538"/>
      <c r="G13" s="539"/>
      <c r="H13" s="539"/>
      <c r="I13" s="539"/>
      <c r="J13" s="539"/>
      <c r="K13" s="539">
        <v>0.64</v>
      </c>
      <c r="L13" s="540">
        <v>0.64</v>
      </c>
      <c r="M13" s="539">
        <v>0.96399999999999997</v>
      </c>
      <c r="N13" s="538"/>
      <c r="O13" s="539"/>
      <c r="P13" s="539"/>
      <c r="Q13" s="541"/>
      <c r="R13" s="541"/>
      <c r="S13" s="541"/>
      <c r="T13" s="541"/>
      <c r="U13" s="541"/>
      <c r="V13" s="541"/>
      <c r="W13" s="541"/>
      <c r="X13" s="542"/>
    </row>
    <row r="14" spans="2:24">
      <c r="B14" s="480" t="s">
        <v>758</v>
      </c>
      <c r="C14" s="481" t="s">
        <v>110</v>
      </c>
      <c r="D14" s="482" t="s">
        <v>759</v>
      </c>
      <c r="E14" s="543">
        <v>27</v>
      </c>
      <c r="F14" s="544">
        <v>237</v>
      </c>
      <c r="G14" s="545">
        <v>177</v>
      </c>
      <c r="H14" s="545">
        <v>167</v>
      </c>
      <c r="I14" s="545">
        <v>110</v>
      </c>
      <c r="J14" s="545">
        <v>63.9</v>
      </c>
      <c r="K14" s="545">
        <v>41.5</v>
      </c>
      <c r="L14" s="546">
        <v>14.9</v>
      </c>
      <c r="M14" s="546">
        <v>7.3</v>
      </c>
      <c r="N14" s="544">
        <v>0.87</v>
      </c>
      <c r="O14" s="545">
        <v>0.18</v>
      </c>
      <c r="P14" s="545">
        <v>0.16</v>
      </c>
      <c r="Q14" s="547">
        <v>0.5</v>
      </c>
      <c r="R14" s="547">
        <v>1.5</v>
      </c>
      <c r="S14" s="547">
        <v>0.35</v>
      </c>
      <c r="T14" s="548">
        <v>0.14399999999999999</v>
      </c>
      <c r="U14" s="548">
        <v>0.57599999999999996</v>
      </c>
      <c r="V14" s="547">
        <v>0.37</v>
      </c>
      <c r="W14" s="549">
        <v>140</v>
      </c>
      <c r="X14" s="550">
        <v>5</v>
      </c>
    </row>
    <row r="15" spans="2:24">
      <c r="B15" s="483"/>
      <c r="C15" s="484"/>
      <c r="D15" s="485"/>
      <c r="E15" s="551">
        <f>400-273</f>
        <v>127</v>
      </c>
      <c r="F15" s="552">
        <v>240</v>
      </c>
      <c r="G15" s="553">
        <v>186</v>
      </c>
      <c r="H15" s="553"/>
      <c r="I15" s="553">
        <v>137</v>
      </c>
      <c r="J15" s="553">
        <v>58.7</v>
      </c>
      <c r="K15" s="553">
        <v>43.1</v>
      </c>
      <c r="L15" s="554">
        <v>16.600000000000001</v>
      </c>
      <c r="M15" s="553">
        <v>7.9</v>
      </c>
      <c r="N15" s="552">
        <v>1.1000000000000001</v>
      </c>
      <c r="O15" s="553"/>
      <c r="P15" s="553"/>
      <c r="Q15" s="555"/>
      <c r="R15" s="555"/>
      <c r="S15" s="555">
        <v>0.35</v>
      </c>
      <c r="T15" s="555"/>
      <c r="U15" s="555"/>
      <c r="V15" s="555"/>
      <c r="W15" s="555"/>
      <c r="X15" s="556"/>
    </row>
    <row r="16" spans="2:24">
      <c r="B16" s="483"/>
      <c r="C16" s="484"/>
      <c r="D16" s="485"/>
      <c r="E16" s="551">
        <f>600-273</f>
        <v>327</v>
      </c>
      <c r="F16" s="552">
        <v>231</v>
      </c>
      <c r="G16" s="553">
        <v>186</v>
      </c>
      <c r="H16" s="553"/>
      <c r="I16" s="553">
        <v>149</v>
      </c>
      <c r="J16" s="553">
        <v>48.8</v>
      </c>
      <c r="K16" s="553">
        <v>40.299999999999997</v>
      </c>
      <c r="L16" s="554">
        <v>19.8</v>
      </c>
      <c r="M16" s="553">
        <v>10.6</v>
      </c>
      <c r="N16" s="552"/>
      <c r="O16" s="553"/>
      <c r="P16" s="553"/>
      <c r="Q16" s="555"/>
      <c r="R16" s="555"/>
      <c r="S16" s="555">
        <v>0.35</v>
      </c>
      <c r="T16" s="555"/>
      <c r="U16" s="555"/>
      <c r="V16" s="555"/>
      <c r="W16" s="555"/>
      <c r="X16" s="556"/>
    </row>
    <row r="17" spans="2:24">
      <c r="B17" s="483"/>
      <c r="C17" s="484"/>
      <c r="D17" s="485"/>
      <c r="E17" s="551">
        <f>800-273</f>
        <v>527</v>
      </c>
      <c r="F17" s="552">
        <v>218</v>
      </c>
      <c r="G17" s="553"/>
      <c r="H17" s="553"/>
      <c r="I17" s="553"/>
      <c r="J17" s="553">
        <v>39.200000000000003</v>
      </c>
      <c r="K17" s="553">
        <v>35</v>
      </c>
      <c r="L17" s="554">
        <v>22.6</v>
      </c>
      <c r="M17" s="553">
        <v>13.4</v>
      </c>
      <c r="N17" s="552"/>
      <c r="O17" s="553"/>
      <c r="P17" s="553"/>
      <c r="Q17" s="555"/>
      <c r="R17" s="555"/>
      <c r="S17" s="555"/>
      <c r="T17" s="555"/>
      <c r="U17" s="555"/>
      <c r="V17" s="555"/>
      <c r="W17" s="555"/>
      <c r="X17" s="556"/>
    </row>
    <row r="18" spans="2:24">
      <c r="B18" s="483"/>
      <c r="C18" s="484"/>
      <c r="D18" s="485"/>
      <c r="E18" s="551">
        <f>1000-273</f>
        <v>727</v>
      </c>
      <c r="F18" s="552"/>
      <c r="G18" s="553"/>
      <c r="H18" s="553"/>
      <c r="I18" s="553"/>
      <c r="J18" s="553">
        <v>31.1</v>
      </c>
      <c r="K18" s="553">
        <v>28.5</v>
      </c>
      <c r="L18" s="554">
        <v>25.4</v>
      </c>
      <c r="M18" s="553">
        <v>16.2</v>
      </c>
      <c r="N18" s="552"/>
      <c r="O18" s="553"/>
      <c r="P18" s="553"/>
      <c r="Q18" s="555"/>
      <c r="R18" s="555"/>
      <c r="S18" s="555"/>
      <c r="T18" s="555"/>
      <c r="U18" s="555"/>
      <c r="V18" s="555"/>
      <c r="W18" s="555"/>
      <c r="X18" s="556"/>
    </row>
    <row r="19" spans="2:24" ht="13.8" thickBot="1">
      <c r="B19" s="486"/>
      <c r="C19" s="487"/>
      <c r="D19" s="488"/>
      <c r="E19" s="557">
        <f>1200-273</f>
        <v>927</v>
      </c>
      <c r="F19" s="558"/>
      <c r="G19" s="559"/>
      <c r="H19" s="559"/>
      <c r="I19" s="559"/>
      <c r="J19" s="560">
        <v>26.59</v>
      </c>
      <c r="K19" s="559">
        <v>27.7</v>
      </c>
      <c r="L19" s="560">
        <v>28</v>
      </c>
      <c r="M19" s="559">
        <v>18.8</v>
      </c>
      <c r="N19" s="561"/>
      <c r="O19" s="559"/>
      <c r="P19" s="559"/>
      <c r="Q19" s="562"/>
      <c r="R19" s="562"/>
      <c r="S19" s="562"/>
      <c r="T19" s="562"/>
      <c r="U19" s="562"/>
      <c r="V19" s="562"/>
      <c r="W19" s="562"/>
      <c r="X19" s="563"/>
    </row>
    <row r="20" spans="2:24" ht="16.2" thickBot="1">
      <c r="B20" s="486" t="s">
        <v>760</v>
      </c>
      <c r="C20" s="489" t="s">
        <v>80</v>
      </c>
      <c r="D20" s="488" t="s">
        <v>761</v>
      </c>
      <c r="E20" s="557">
        <v>27</v>
      </c>
      <c r="F20" s="564">
        <f>F14/(F7*1000)/(F8*1000)*10000000</f>
        <v>971.34889622796936</v>
      </c>
      <c r="G20" s="564">
        <f t="shared" ref="G20:Q20" si="0">G14/(G7*1000)/(G8*1000)*10000000</f>
        <v>730.27333677153172</v>
      </c>
      <c r="H20" s="564">
        <f t="shared" si="0"/>
        <v>690.31084656084658</v>
      </c>
      <c r="I20" s="564">
        <f t="shared" si="0"/>
        <v>339.35953600296165</v>
      </c>
      <c r="J20" s="564">
        <f t="shared" si="0"/>
        <v>187.99160245336395</v>
      </c>
      <c r="K20" s="564">
        <f t="shared" si="0"/>
        <v>121.9669895608013</v>
      </c>
      <c r="L20" s="564">
        <f t="shared" si="0"/>
        <v>39.540376297003952</v>
      </c>
      <c r="M20" s="565">
        <f>M14/(M7*1000)/(M8*1000)*10000000</f>
        <v>30.235881293101659</v>
      </c>
      <c r="N20" s="566">
        <f t="shared" si="0"/>
        <v>6.6462948815889984</v>
      </c>
      <c r="O20" s="567">
        <f t="shared" si="0"/>
        <v>1.4443909484833894</v>
      </c>
      <c r="P20" s="568">
        <f t="shared" si="0"/>
        <v>0.66892428613236343</v>
      </c>
      <c r="Q20" s="569">
        <f t="shared" si="0"/>
        <v>3.4013605442176873</v>
      </c>
      <c r="R20" s="569"/>
      <c r="S20" s="569">
        <f>S14/(S7*1000)/(S8*1000)*10000000</f>
        <v>2.8412319581770653</v>
      </c>
      <c r="T20" s="569"/>
      <c r="U20" s="569"/>
      <c r="V20" s="569">
        <f>V14/(V7*1000)/(V8*1000)*10000000</f>
        <v>2.6391359611519194</v>
      </c>
      <c r="W20" s="570">
        <f>W14/(W7*1000)/(W8*1000)*10000000</f>
        <v>1790.0524229638152</v>
      </c>
      <c r="X20" s="569">
        <f>X14/(X7*1000)/(X8*1000)*10000000</f>
        <v>63.930443677279115</v>
      </c>
    </row>
    <row r="22" spans="2:24">
      <c r="E22" s="22" t="s">
        <v>314</v>
      </c>
      <c r="F22" s="490" t="s">
        <v>142</v>
      </c>
      <c r="G22" s="22" t="s">
        <v>762</v>
      </c>
      <c r="H22" s="22"/>
    </row>
    <row r="23" spans="2:24">
      <c r="E23" s="22"/>
      <c r="F23" s="490" t="s">
        <v>139</v>
      </c>
      <c r="G23" s="22" t="s">
        <v>763</v>
      </c>
      <c r="H23" s="22"/>
    </row>
    <row r="24" spans="2:24">
      <c r="B24" s="491" t="s">
        <v>764</v>
      </c>
      <c r="C24" s="492"/>
      <c r="D24" s="493"/>
      <c r="F24" s="490" t="s">
        <v>140</v>
      </c>
      <c r="G24" s="22" t="s">
        <v>765</v>
      </c>
      <c r="H24" s="22"/>
    </row>
    <row r="25" spans="2:24">
      <c r="B25" s="494" t="s">
        <v>766</v>
      </c>
      <c r="C25" s="495"/>
      <c r="D25" s="496"/>
      <c r="F25" s="490" t="s">
        <v>141</v>
      </c>
      <c r="G25" s="22" t="s">
        <v>767</v>
      </c>
      <c r="H25" s="22"/>
    </row>
    <row r="26" spans="2:24">
      <c r="B26" s="494" t="s">
        <v>768</v>
      </c>
      <c r="C26" s="495"/>
      <c r="D26" s="496"/>
      <c r="F26" s="490" t="s">
        <v>769</v>
      </c>
      <c r="G26" s="22" t="s">
        <v>770</v>
      </c>
      <c r="H26" s="22"/>
    </row>
    <row r="27" spans="2:24">
      <c r="B27" s="494" t="s">
        <v>771</v>
      </c>
      <c r="C27" s="495"/>
      <c r="D27" s="496"/>
      <c r="F27" s="490" t="s">
        <v>772</v>
      </c>
      <c r="G27" s="22" t="s">
        <v>773</v>
      </c>
      <c r="H27" s="22"/>
    </row>
    <row r="28" spans="2:24">
      <c r="B28" s="494" t="s">
        <v>774</v>
      </c>
      <c r="C28" s="495"/>
      <c r="D28" s="496"/>
      <c r="F28" s="490" t="s">
        <v>775</v>
      </c>
      <c r="G28" s="22" t="s">
        <v>776</v>
      </c>
      <c r="H28" s="22"/>
    </row>
    <row r="29" spans="2:24">
      <c r="B29" s="497" t="s">
        <v>777</v>
      </c>
      <c r="C29" s="495"/>
      <c r="D29" s="496"/>
      <c r="F29" s="490" t="s">
        <v>749</v>
      </c>
      <c r="G29" s="22" t="s">
        <v>778</v>
      </c>
      <c r="H29" s="22"/>
    </row>
    <row r="30" spans="2:24">
      <c r="B30" s="498" t="s">
        <v>779</v>
      </c>
      <c r="C30" s="499"/>
      <c r="D30" s="500"/>
      <c r="F30" s="490" t="s">
        <v>745</v>
      </c>
      <c r="G30" s="22" t="s">
        <v>780</v>
      </c>
      <c r="H30" s="22"/>
    </row>
    <row r="31" spans="2:24" ht="13.8" thickBot="1">
      <c r="F31" s="490" t="s">
        <v>781</v>
      </c>
      <c r="G31" s="22" t="s">
        <v>782</v>
      </c>
    </row>
    <row r="32" spans="2:24">
      <c r="B32" s="501" t="s">
        <v>783</v>
      </c>
      <c r="C32" s="436"/>
      <c r="D32" s="436"/>
      <c r="E32" s="502"/>
      <c r="F32" s="490" t="s">
        <v>750</v>
      </c>
      <c r="G32" s="22" t="s">
        <v>784</v>
      </c>
    </row>
    <row r="33" spans="2:12" ht="16.2">
      <c r="B33" s="503">
        <v>1</v>
      </c>
      <c r="C33" t="s">
        <v>785</v>
      </c>
      <c r="D33">
        <f>B33*27.68</f>
        <v>27.68</v>
      </c>
      <c r="E33" s="215" t="s">
        <v>27</v>
      </c>
      <c r="F33" s="490" t="s">
        <v>751</v>
      </c>
      <c r="G33" s="22" t="s">
        <v>786</v>
      </c>
    </row>
    <row r="34" spans="2:12">
      <c r="B34" s="503">
        <v>0.153</v>
      </c>
      <c r="C34" s="103" t="s">
        <v>787</v>
      </c>
      <c r="D34">
        <f>B34*4.19</f>
        <v>0.64107000000000003</v>
      </c>
      <c r="E34" s="215" t="s">
        <v>788</v>
      </c>
      <c r="F34" s="490" t="s">
        <v>752</v>
      </c>
      <c r="G34" s="22" t="s">
        <v>789</v>
      </c>
    </row>
    <row r="35" spans="2:12" ht="13.8" thickBot="1">
      <c r="B35" s="571">
        <f>4/12</f>
        <v>0.33333333333333331</v>
      </c>
      <c r="C35" s="103" t="s">
        <v>790</v>
      </c>
      <c r="D35">
        <f>B35*1.73</f>
        <v>0.57666666666666666</v>
      </c>
      <c r="E35" s="215" t="s">
        <v>759</v>
      </c>
      <c r="G35" s="504" t="s">
        <v>791</v>
      </c>
    </row>
    <row r="36" spans="2:12">
      <c r="B36" s="505"/>
      <c r="C36" s="436"/>
      <c r="D36" s="436"/>
      <c r="E36" s="502"/>
      <c r="F36" s="490" t="s">
        <v>753</v>
      </c>
      <c r="G36" s="22" t="s">
        <v>789</v>
      </c>
    </row>
    <row r="37" spans="2:12" ht="15.6">
      <c r="B37" s="503">
        <v>1</v>
      </c>
      <c r="C37" t="s">
        <v>27</v>
      </c>
      <c r="D37" s="10">
        <f>B37/27.68</f>
        <v>3.6127167630057806E-2</v>
      </c>
      <c r="E37" s="215" t="s">
        <v>785</v>
      </c>
      <c r="G37" s="504" t="s">
        <v>792</v>
      </c>
    </row>
    <row r="38" spans="2:12">
      <c r="B38" s="503">
        <v>1</v>
      </c>
      <c r="C38" t="s">
        <v>788</v>
      </c>
      <c r="D38" s="10">
        <f>B38/4.19</f>
        <v>0.2386634844868735</v>
      </c>
      <c r="E38" s="506" t="s">
        <v>787</v>
      </c>
    </row>
    <row r="39" spans="2:12" ht="13.8" thickBot="1">
      <c r="B39" s="507">
        <v>1</v>
      </c>
      <c r="C39" s="220" t="s">
        <v>759</v>
      </c>
      <c r="D39" s="508">
        <f>B39/1.73</f>
        <v>0.5780346820809249</v>
      </c>
      <c r="E39" s="509" t="s">
        <v>790</v>
      </c>
    </row>
    <row r="43" spans="2:12">
      <c r="B43" s="603" t="s">
        <v>836</v>
      </c>
    </row>
    <row r="46" spans="2:12">
      <c r="B46" s="604" t="s">
        <v>837</v>
      </c>
    </row>
    <row r="47" spans="2:12" ht="15">
      <c r="B47" s="605" t="s">
        <v>838</v>
      </c>
      <c r="C47" s="606"/>
      <c r="D47" s="605" t="s">
        <v>839</v>
      </c>
      <c r="E47" s="606"/>
      <c r="F47" s="607" t="s">
        <v>67</v>
      </c>
      <c r="G47" s="608" t="s">
        <v>67</v>
      </c>
      <c r="H47" s="609" t="s">
        <v>81</v>
      </c>
      <c r="I47" s="610" t="s">
        <v>803</v>
      </c>
      <c r="J47" s="611" t="s">
        <v>840</v>
      </c>
      <c r="K47" s="116" t="s">
        <v>841</v>
      </c>
      <c r="L47" s="270"/>
    </row>
    <row r="48" spans="2:12">
      <c r="B48" s="612" t="s">
        <v>842</v>
      </c>
      <c r="C48" s="613"/>
      <c r="D48" s="612" t="s">
        <v>843</v>
      </c>
      <c r="E48" s="613"/>
      <c r="F48" s="614"/>
      <c r="G48" s="615"/>
      <c r="H48" s="616"/>
      <c r="I48" s="617"/>
      <c r="J48" s="118"/>
      <c r="K48" s="118"/>
      <c r="L48" s="271"/>
    </row>
    <row r="49" spans="2:12">
      <c r="B49" s="14" t="s">
        <v>844</v>
      </c>
      <c r="C49" s="618" t="s">
        <v>87</v>
      </c>
      <c r="D49" s="14" t="s">
        <v>844</v>
      </c>
      <c r="E49" s="618" t="s">
        <v>87</v>
      </c>
      <c r="F49" s="619" t="s">
        <v>845</v>
      </c>
      <c r="G49" s="620" t="s">
        <v>127</v>
      </c>
      <c r="H49" s="455"/>
      <c r="I49" s="617"/>
      <c r="J49" s="118"/>
      <c r="K49" s="118"/>
      <c r="L49" s="271"/>
    </row>
    <row r="50" spans="2:12">
      <c r="B50" s="12"/>
      <c r="C50" s="621"/>
      <c r="D50" s="12"/>
      <c r="E50" s="621"/>
      <c r="F50" s="12"/>
      <c r="G50" s="621"/>
      <c r="H50" s="12"/>
      <c r="I50" s="622"/>
      <c r="J50" s="26"/>
      <c r="K50" s="26"/>
      <c r="L50" s="28"/>
    </row>
    <row r="51" spans="2:12">
      <c r="B51" s="13">
        <v>24</v>
      </c>
      <c r="C51" s="623">
        <f t="shared" ref="C51:C74" si="1">6.895*B51</f>
        <v>165.48</v>
      </c>
      <c r="D51" s="13">
        <v>43</v>
      </c>
      <c r="E51" s="623">
        <f t="shared" ref="E51:E74" si="2">6.895*D51</f>
        <v>296.48499999999996</v>
      </c>
      <c r="F51" s="624">
        <v>29</v>
      </c>
      <c r="G51" s="623">
        <f>6900*F51</f>
        <v>200100</v>
      </c>
      <c r="H51" s="625">
        <v>0.32</v>
      </c>
      <c r="I51" s="623" t="s">
        <v>846</v>
      </c>
      <c r="J51" s="626" t="s">
        <v>847</v>
      </c>
      <c r="K51" s="626" t="s">
        <v>848</v>
      </c>
      <c r="L51" s="28"/>
    </row>
    <row r="52" spans="2:12">
      <c r="B52" s="13">
        <v>60</v>
      </c>
      <c r="C52" s="623">
        <f t="shared" si="1"/>
        <v>413.7</v>
      </c>
      <c r="D52" s="13">
        <v>72</v>
      </c>
      <c r="E52" s="623">
        <f t="shared" si="2"/>
        <v>496.43999999999994</v>
      </c>
      <c r="F52" s="624">
        <v>29</v>
      </c>
      <c r="G52" s="623">
        <f t="shared" ref="G52:G74" si="3">6900*F52</f>
        <v>200100</v>
      </c>
      <c r="H52" s="625">
        <v>0.32</v>
      </c>
      <c r="I52" s="623" t="s">
        <v>846</v>
      </c>
      <c r="J52" s="626" t="s">
        <v>849</v>
      </c>
      <c r="K52" s="626" t="s">
        <v>848</v>
      </c>
      <c r="L52" s="28"/>
    </row>
    <row r="53" spans="2:12">
      <c r="B53" s="13">
        <v>33</v>
      </c>
      <c r="C53" s="623">
        <f t="shared" si="1"/>
        <v>227.535</v>
      </c>
      <c r="D53" s="13">
        <v>55</v>
      </c>
      <c r="E53" s="623">
        <f t="shared" si="2"/>
        <v>379.22499999999997</v>
      </c>
      <c r="F53" s="624">
        <v>29</v>
      </c>
      <c r="G53" s="623">
        <f t="shared" si="3"/>
        <v>200100</v>
      </c>
      <c r="H53" s="625">
        <v>0.32</v>
      </c>
      <c r="I53" s="623" t="s">
        <v>846</v>
      </c>
      <c r="J53" s="626" t="s">
        <v>850</v>
      </c>
      <c r="K53" s="626" t="s">
        <v>848</v>
      </c>
      <c r="L53" s="28"/>
    </row>
    <row r="54" spans="2:12">
      <c r="B54" s="13">
        <v>35</v>
      </c>
      <c r="C54" s="623">
        <f t="shared" si="1"/>
        <v>241.32499999999999</v>
      </c>
      <c r="D54" s="13">
        <v>50</v>
      </c>
      <c r="E54" s="623">
        <f t="shared" si="2"/>
        <v>344.75</v>
      </c>
      <c r="F54" s="624">
        <v>29</v>
      </c>
      <c r="G54" s="623">
        <f t="shared" si="3"/>
        <v>200100</v>
      </c>
      <c r="H54" s="625">
        <v>0.32</v>
      </c>
      <c r="I54" s="623" t="s">
        <v>846</v>
      </c>
      <c r="J54" s="626" t="s">
        <v>851</v>
      </c>
      <c r="K54" s="626" t="s">
        <v>848</v>
      </c>
      <c r="L54" s="28"/>
    </row>
    <row r="55" spans="2:12">
      <c r="B55" s="13">
        <v>65</v>
      </c>
      <c r="C55" s="623">
        <f t="shared" si="1"/>
        <v>448.17499999999995</v>
      </c>
      <c r="D55" s="13">
        <v>80</v>
      </c>
      <c r="E55" s="623">
        <f t="shared" si="2"/>
        <v>551.59999999999991</v>
      </c>
      <c r="F55" s="624">
        <v>29</v>
      </c>
      <c r="G55" s="623">
        <f>6900*F55</f>
        <v>200100</v>
      </c>
      <c r="H55" s="625">
        <v>0.32</v>
      </c>
      <c r="I55" s="623" t="s">
        <v>846</v>
      </c>
      <c r="J55" s="626" t="s">
        <v>852</v>
      </c>
      <c r="K55" s="626" t="s">
        <v>848</v>
      </c>
      <c r="L55" s="28"/>
    </row>
    <row r="56" spans="2:12" s="417" customFormat="1">
      <c r="B56" s="773">
        <v>45</v>
      </c>
      <c r="C56" s="774">
        <f t="shared" si="1"/>
        <v>310.27499999999998</v>
      </c>
      <c r="D56" s="773">
        <v>67</v>
      </c>
      <c r="E56" s="774">
        <f t="shared" si="2"/>
        <v>461.96499999999997</v>
      </c>
      <c r="F56" s="775">
        <v>29</v>
      </c>
      <c r="G56" s="774">
        <f t="shared" si="3"/>
        <v>200100</v>
      </c>
      <c r="H56" s="776">
        <v>0.32</v>
      </c>
      <c r="I56" s="774" t="s">
        <v>846</v>
      </c>
      <c r="J56" s="777" t="s">
        <v>853</v>
      </c>
      <c r="K56" s="777" t="s">
        <v>848</v>
      </c>
      <c r="L56" s="778"/>
    </row>
    <row r="57" spans="2:12">
      <c r="B57" s="13">
        <v>48</v>
      </c>
      <c r="C57" s="623">
        <f t="shared" si="1"/>
        <v>330.96</v>
      </c>
      <c r="D57" s="13">
        <v>65</v>
      </c>
      <c r="E57" s="623">
        <f t="shared" si="2"/>
        <v>448.17499999999995</v>
      </c>
      <c r="F57" s="624">
        <v>29</v>
      </c>
      <c r="G57" s="623">
        <f t="shared" si="3"/>
        <v>200100</v>
      </c>
      <c r="H57" s="625">
        <v>0.32</v>
      </c>
      <c r="I57" s="623" t="s">
        <v>846</v>
      </c>
      <c r="J57" s="626" t="s">
        <v>854</v>
      </c>
      <c r="K57" s="626" t="s">
        <v>848</v>
      </c>
      <c r="L57" s="28"/>
    </row>
    <row r="58" spans="2:12">
      <c r="B58" s="13">
        <v>70</v>
      </c>
      <c r="C58" s="623">
        <f t="shared" si="1"/>
        <v>482.65</v>
      </c>
      <c r="D58" s="13">
        <v>85</v>
      </c>
      <c r="E58" s="623">
        <f t="shared" si="2"/>
        <v>586.07499999999993</v>
      </c>
      <c r="F58" s="624">
        <v>29</v>
      </c>
      <c r="G58" s="623">
        <f t="shared" si="3"/>
        <v>200100</v>
      </c>
      <c r="H58" s="625">
        <v>0.32</v>
      </c>
      <c r="I58" s="623" t="s">
        <v>846</v>
      </c>
      <c r="J58" s="626" t="s">
        <v>855</v>
      </c>
      <c r="K58" s="626" t="s">
        <v>848</v>
      </c>
      <c r="L58" s="28"/>
    </row>
    <row r="59" spans="2:12">
      <c r="B59" s="13">
        <v>75</v>
      </c>
      <c r="C59" s="623">
        <f t="shared" si="1"/>
        <v>517.125</v>
      </c>
      <c r="D59" s="13">
        <v>105</v>
      </c>
      <c r="E59" s="623">
        <f t="shared" si="2"/>
        <v>723.97499999999991</v>
      </c>
      <c r="F59" s="624">
        <v>27</v>
      </c>
      <c r="G59" s="623">
        <f t="shared" si="3"/>
        <v>186300</v>
      </c>
      <c r="H59" s="625">
        <v>0.27</v>
      </c>
      <c r="I59" s="623" t="s">
        <v>856</v>
      </c>
      <c r="J59" s="626" t="s">
        <v>857</v>
      </c>
      <c r="K59" s="626" t="s">
        <v>858</v>
      </c>
      <c r="L59" s="28"/>
    </row>
    <row r="60" spans="2:12">
      <c r="B60" s="13">
        <v>75</v>
      </c>
      <c r="C60" s="623">
        <f t="shared" si="1"/>
        <v>517.125</v>
      </c>
      <c r="D60" s="13">
        <v>125</v>
      </c>
      <c r="E60" s="623">
        <f t="shared" si="2"/>
        <v>861.875</v>
      </c>
      <c r="F60" s="624">
        <v>27</v>
      </c>
      <c r="G60" s="623">
        <f t="shared" si="3"/>
        <v>186300</v>
      </c>
      <c r="H60" s="625">
        <v>0.27</v>
      </c>
      <c r="I60" s="623" t="s">
        <v>856</v>
      </c>
      <c r="J60" s="627" t="s">
        <v>859</v>
      </c>
      <c r="K60" s="626" t="s">
        <v>848</v>
      </c>
      <c r="L60" s="28"/>
    </row>
    <row r="61" spans="2:12">
      <c r="B61" s="13">
        <v>75</v>
      </c>
      <c r="C61" s="623">
        <f t="shared" si="1"/>
        <v>517.125</v>
      </c>
      <c r="D61" s="13">
        <v>95</v>
      </c>
      <c r="E61" s="623">
        <f t="shared" si="2"/>
        <v>655.02499999999998</v>
      </c>
      <c r="F61" s="624">
        <v>29</v>
      </c>
      <c r="G61" s="623">
        <f t="shared" si="3"/>
        <v>200100</v>
      </c>
      <c r="H61" s="625">
        <v>0.32</v>
      </c>
      <c r="I61" s="623" t="s">
        <v>860</v>
      </c>
      <c r="J61" s="626" t="s">
        <v>861</v>
      </c>
      <c r="K61" s="626" t="s">
        <v>862</v>
      </c>
      <c r="L61" s="28"/>
    </row>
    <row r="62" spans="2:12">
      <c r="B62" s="13">
        <v>90</v>
      </c>
      <c r="C62" s="623">
        <f t="shared" si="1"/>
        <v>620.54999999999995</v>
      </c>
      <c r="D62" s="13">
        <v>100</v>
      </c>
      <c r="E62" s="623">
        <f t="shared" si="2"/>
        <v>689.5</v>
      </c>
      <c r="F62" s="624">
        <v>29</v>
      </c>
      <c r="G62" s="623">
        <f t="shared" si="3"/>
        <v>200100</v>
      </c>
      <c r="H62" s="625">
        <v>0.32</v>
      </c>
      <c r="I62" s="623" t="s">
        <v>860</v>
      </c>
      <c r="J62" s="626" t="s">
        <v>863</v>
      </c>
      <c r="K62" s="626" t="s">
        <v>862</v>
      </c>
      <c r="L62" s="28"/>
    </row>
    <row r="63" spans="2:12">
      <c r="B63" s="13">
        <v>16</v>
      </c>
      <c r="C63" s="623">
        <f t="shared" si="1"/>
        <v>110.32</v>
      </c>
      <c r="D63" s="13">
        <v>30</v>
      </c>
      <c r="E63" s="623">
        <f t="shared" si="2"/>
        <v>206.85</v>
      </c>
      <c r="F63" s="628">
        <v>9.9</v>
      </c>
      <c r="G63" s="623">
        <f t="shared" si="3"/>
        <v>68310</v>
      </c>
      <c r="H63" s="625">
        <v>0.33</v>
      </c>
      <c r="I63" s="629" t="s">
        <v>864</v>
      </c>
      <c r="J63" s="626" t="s">
        <v>865</v>
      </c>
      <c r="K63" s="626" t="s">
        <v>862</v>
      </c>
      <c r="L63" s="28"/>
    </row>
    <row r="64" spans="2:12">
      <c r="B64" s="13">
        <v>35</v>
      </c>
      <c r="C64" s="623">
        <f t="shared" si="1"/>
        <v>241.32499999999999</v>
      </c>
      <c r="D64" s="13">
        <v>42</v>
      </c>
      <c r="E64" s="623">
        <f t="shared" si="2"/>
        <v>289.58999999999997</v>
      </c>
      <c r="F64" s="628">
        <v>9.9</v>
      </c>
      <c r="G64" s="623">
        <f t="shared" si="3"/>
        <v>68310</v>
      </c>
      <c r="H64" s="625">
        <v>0.33</v>
      </c>
      <c r="I64" s="629" t="s">
        <v>864</v>
      </c>
      <c r="J64" s="626" t="s">
        <v>866</v>
      </c>
      <c r="K64" s="626" t="s">
        <v>862</v>
      </c>
      <c r="L64" s="28"/>
    </row>
    <row r="65" spans="2:12">
      <c r="B65" s="13">
        <v>35</v>
      </c>
      <c r="C65" s="623">
        <f t="shared" si="1"/>
        <v>241.32499999999999</v>
      </c>
      <c r="D65" s="13">
        <v>38</v>
      </c>
      <c r="E65" s="623">
        <f t="shared" si="2"/>
        <v>262.01</v>
      </c>
      <c r="F65" s="628">
        <v>9.9</v>
      </c>
      <c r="G65" s="623">
        <f t="shared" si="3"/>
        <v>68310</v>
      </c>
      <c r="H65" s="625">
        <v>0.33</v>
      </c>
      <c r="I65" s="629" t="s">
        <v>864</v>
      </c>
      <c r="J65" s="627" t="s">
        <v>867</v>
      </c>
      <c r="K65" s="626" t="s">
        <v>862</v>
      </c>
      <c r="L65" s="28"/>
    </row>
    <row r="66" spans="2:12">
      <c r="B66" s="13">
        <v>45</v>
      </c>
      <c r="C66" s="623">
        <f t="shared" si="1"/>
        <v>310.27499999999998</v>
      </c>
      <c r="D66" s="13">
        <v>66</v>
      </c>
      <c r="E66" s="623">
        <f t="shared" si="2"/>
        <v>455.07</v>
      </c>
      <c r="F66" s="628">
        <v>10.5</v>
      </c>
      <c r="G66" s="623">
        <f t="shared" si="3"/>
        <v>72450</v>
      </c>
      <c r="H66" s="625">
        <v>0.33</v>
      </c>
      <c r="I66" s="629" t="s">
        <v>864</v>
      </c>
      <c r="J66" s="626" t="s">
        <v>868</v>
      </c>
      <c r="K66" s="626" t="s">
        <v>862</v>
      </c>
      <c r="L66" s="28"/>
    </row>
    <row r="67" spans="2:12">
      <c r="B67" s="13">
        <v>38</v>
      </c>
      <c r="C67" s="623">
        <f t="shared" si="1"/>
        <v>262.01</v>
      </c>
      <c r="D67" s="13">
        <v>62</v>
      </c>
      <c r="E67" s="623">
        <f t="shared" si="2"/>
        <v>427.48999999999995</v>
      </c>
      <c r="F67" s="628">
        <v>10.5</v>
      </c>
      <c r="G67" s="623">
        <f t="shared" si="3"/>
        <v>72450</v>
      </c>
      <c r="H67" s="625">
        <v>0.33</v>
      </c>
      <c r="I67" s="629" t="s">
        <v>864</v>
      </c>
      <c r="J67" s="626" t="s">
        <v>869</v>
      </c>
      <c r="K67" s="626" t="s">
        <v>862</v>
      </c>
      <c r="L67" s="28"/>
    </row>
    <row r="68" spans="2:12">
      <c r="B68" s="13">
        <v>66</v>
      </c>
      <c r="C68" s="623">
        <f t="shared" si="1"/>
        <v>455.07</v>
      </c>
      <c r="D68" s="13">
        <v>77</v>
      </c>
      <c r="E68" s="623">
        <f t="shared" si="2"/>
        <v>530.91499999999996</v>
      </c>
      <c r="F68" s="628">
        <v>10.4</v>
      </c>
      <c r="G68" s="623">
        <f t="shared" si="3"/>
        <v>71760</v>
      </c>
      <c r="H68" s="625">
        <v>0.33</v>
      </c>
      <c r="I68" s="629" t="s">
        <v>864</v>
      </c>
      <c r="J68" s="626" t="s">
        <v>870</v>
      </c>
      <c r="K68" s="26" t="s">
        <v>862</v>
      </c>
      <c r="L68" s="28"/>
    </row>
    <row r="69" spans="2:12">
      <c r="B69" s="13">
        <v>56</v>
      </c>
      <c r="C69" s="623">
        <f t="shared" si="1"/>
        <v>386.12</v>
      </c>
      <c r="D69" s="13">
        <v>66</v>
      </c>
      <c r="E69" s="623">
        <f t="shared" si="2"/>
        <v>455.07</v>
      </c>
      <c r="F69" s="628">
        <v>10.4</v>
      </c>
      <c r="G69" s="623">
        <f t="shared" si="3"/>
        <v>71760</v>
      </c>
      <c r="H69" s="625">
        <v>0.33</v>
      </c>
      <c r="I69" s="629" t="s">
        <v>864</v>
      </c>
      <c r="J69" s="626" t="s">
        <v>871</v>
      </c>
      <c r="K69" s="626" t="s">
        <v>862</v>
      </c>
      <c r="L69" s="28"/>
    </row>
    <row r="70" spans="2:12">
      <c r="B70" s="13">
        <v>6</v>
      </c>
      <c r="C70" s="623">
        <f t="shared" si="1"/>
        <v>41.37</v>
      </c>
      <c r="D70" s="13">
        <v>7.45</v>
      </c>
      <c r="E70" s="623">
        <f t="shared" si="2"/>
        <v>51.367750000000001</v>
      </c>
      <c r="F70" s="625">
        <v>0.42</v>
      </c>
      <c r="G70" s="623">
        <f t="shared" si="3"/>
        <v>2898</v>
      </c>
      <c r="H70" s="625">
        <v>0.41</v>
      </c>
      <c r="I70" s="623" t="s">
        <v>872</v>
      </c>
      <c r="J70" s="626" t="s">
        <v>873</v>
      </c>
      <c r="K70" s="627" t="s">
        <v>874</v>
      </c>
      <c r="L70" s="28"/>
    </row>
    <row r="71" spans="2:12">
      <c r="B71" s="13">
        <v>5.0999999999999996</v>
      </c>
      <c r="C71" s="623">
        <f t="shared" si="1"/>
        <v>35.164499999999997</v>
      </c>
      <c r="D71" s="13">
        <v>5.9</v>
      </c>
      <c r="E71" s="623">
        <f t="shared" si="2"/>
        <v>40.680500000000002</v>
      </c>
      <c r="F71" s="625">
        <v>0.28999999999999998</v>
      </c>
      <c r="G71" s="623">
        <f t="shared" si="3"/>
        <v>2000.9999999999998</v>
      </c>
      <c r="H71" s="630" t="s">
        <v>64</v>
      </c>
      <c r="I71" s="631" t="s">
        <v>875</v>
      </c>
      <c r="J71" s="627" t="s">
        <v>876</v>
      </c>
      <c r="K71" s="627" t="s">
        <v>877</v>
      </c>
      <c r="L71" s="28"/>
    </row>
    <row r="72" spans="2:12">
      <c r="B72" s="44" t="s">
        <v>64</v>
      </c>
      <c r="C72" s="629" t="s">
        <v>64</v>
      </c>
      <c r="D72" s="632">
        <v>2</v>
      </c>
      <c r="E72" s="623">
        <f t="shared" si="2"/>
        <v>13.79</v>
      </c>
      <c r="F72" s="630" t="s">
        <v>64</v>
      </c>
      <c r="G72" s="629" t="s">
        <v>64</v>
      </c>
      <c r="H72" s="630" t="s">
        <v>64</v>
      </c>
      <c r="I72" s="623" t="s">
        <v>878</v>
      </c>
      <c r="J72" s="627" t="s">
        <v>879</v>
      </c>
      <c r="K72" s="633" t="s">
        <v>880</v>
      </c>
      <c r="L72" s="34"/>
    </row>
    <row r="73" spans="2:12">
      <c r="B73" s="13">
        <v>43</v>
      </c>
      <c r="C73" s="623">
        <f t="shared" si="1"/>
        <v>296.48499999999996</v>
      </c>
      <c r="D73" s="13">
        <v>57</v>
      </c>
      <c r="E73" s="623">
        <f t="shared" si="2"/>
        <v>393.01499999999999</v>
      </c>
      <c r="F73" s="624">
        <v>29</v>
      </c>
      <c r="G73" s="623">
        <f t="shared" si="3"/>
        <v>200100</v>
      </c>
      <c r="H73" s="625">
        <v>0.32</v>
      </c>
      <c r="I73" s="623" t="s">
        <v>881</v>
      </c>
      <c r="J73" s="627" t="s">
        <v>882</v>
      </c>
      <c r="K73" s="627" t="s">
        <v>883</v>
      </c>
      <c r="L73" s="28"/>
    </row>
    <row r="74" spans="2:12">
      <c r="B74" s="13">
        <v>45</v>
      </c>
      <c r="C74" s="623">
        <f t="shared" si="1"/>
        <v>310.27499999999998</v>
      </c>
      <c r="D74" s="13">
        <v>60</v>
      </c>
      <c r="E74" s="623">
        <f t="shared" si="2"/>
        <v>413.7</v>
      </c>
      <c r="F74" s="624">
        <v>29</v>
      </c>
      <c r="G74" s="623">
        <f t="shared" si="3"/>
        <v>200100</v>
      </c>
      <c r="H74" s="625">
        <v>0.32</v>
      </c>
      <c r="I74" s="623" t="s">
        <v>884</v>
      </c>
      <c r="J74" s="627" t="s">
        <v>885</v>
      </c>
      <c r="K74" s="633" t="s">
        <v>883</v>
      </c>
      <c r="L74" s="34"/>
    </row>
    <row r="76" spans="2:12">
      <c r="B76" s="634" t="s">
        <v>314</v>
      </c>
    </row>
    <row r="77" spans="2:12" ht="13.8">
      <c r="B77" s="635" t="s">
        <v>886</v>
      </c>
      <c r="C77" s="39"/>
      <c r="D77" s="39"/>
      <c r="E77" s="39"/>
      <c r="F77" s="39"/>
      <c r="G77" s="39"/>
      <c r="H77" s="39"/>
      <c r="L77" s="636"/>
    </row>
    <row r="78" spans="2:12" ht="13.8">
      <c r="B78" s="129" t="s">
        <v>887</v>
      </c>
    </row>
    <row r="79" spans="2:12" ht="13.8">
      <c r="B79" s="635" t="s">
        <v>888</v>
      </c>
    </row>
    <row r="80" spans="2:12">
      <c r="B80" s="129" t="s">
        <v>889</v>
      </c>
    </row>
    <row r="81" spans="2:3">
      <c r="B81" s="129" t="s">
        <v>890</v>
      </c>
    </row>
    <row r="82" spans="2:3">
      <c r="B82" s="129"/>
    </row>
    <row r="83" spans="2:3">
      <c r="B83" s="635" t="s">
        <v>891</v>
      </c>
    </row>
    <row r="85" spans="2:3">
      <c r="B85" s="104"/>
      <c r="C85" s="104"/>
    </row>
    <row r="86" spans="2:3">
      <c r="B86" t="s">
        <v>892</v>
      </c>
    </row>
    <row r="87" spans="2:3">
      <c r="B87" t="s">
        <v>893</v>
      </c>
    </row>
    <row r="88" spans="2:3">
      <c r="B88" t="s">
        <v>894</v>
      </c>
    </row>
    <row r="92" spans="2:3">
      <c r="B92" s="603" t="s">
        <v>895</v>
      </c>
    </row>
    <row r="94" spans="2:3">
      <c r="B94" t="s">
        <v>896</v>
      </c>
    </row>
    <row r="95" spans="2:3">
      <c r="B95" s="636" t="s">
        <v>897</v>
      </c>
    </row>
    <row r="96" spans="2:3">
      <c r="B96" s="636" t="s">
        <v>898</v>
      </c>
    </row>
    <row r="97" spans="2:8">
      <c r="B97" s="636" t="s">
        <v>899</v>
      </c>
    </row>
    <row r="98" spans="2:8">
      <c r="B98" s="636" t="s">
        <v>900</v>
      </c>
      <c r="F98" s="39"/>
      <c r="G98" s="39"/>
      <c r="H98" s="39"/>
    </row>
    <row r="99" spans="2:8">
      <c r="B99" s="636" t="s">
        <v>901</v>
      </c>
    </row>
    <row r="100" spans="2:8">
      <c r="B100" t="s">
        <v>902</v>
      </c>
    </row>
    <row r="101" spans="2:8">
      <c r="B101" t="s">
        <v>903</v>
      </c>
    </row>
    <row r="102" spans="2:8">
      <c r="B102" t="s">
        <v>904</v>
      </c>
    </row>
    <row r="103" spans="2:8">
      <c r="B103" t="s">
        <v>905</v>
      </c>
    </row>
    <row r="104" spans="2:8">
      <c r="B104" s="636" t="s">
        <v>906</v>
      </c>
    </row>
    <row r="105" spans="2:8">
      <c r="B105" s="636" t="s">
        <v>907</v>
      </c>
    </row>
    <row r="106" spans="2:8">
      <c r="B106" s="55" t="s">
        <v>908</v>
      </c>
    </row>
    <row r="107" spans="2:8">
      <c r="B107" s="636" t="s">
        <v>909</v>
      </c>
    </row>
    <row r="108" spans="2:8">
      <c r="B108" s="636" t="s">
        <v>910</v>
      </c>
    </row>
    <row r="110" spans="2:8">
      <c r="B110" s="637" t="s">
        <v>911</v>
      </c>
      <c r="C110" s="638"/>
      <c r="D110" s="639" t="s">
        <v>912</v>
      </c>
      <c r="E110" s="638"/>
      <c r="F110" s="638"/>
      <c r="G110" s="638"/>
      <c r="H110" s="640"/>
    </row>
    <row r="111" spans="2:8">
      <c r="B111" s="641"/>
      <c r="C111" s="22"/>
      <c r="D111" s="22"/>
      <c r="E111" s="642"/>
      <c r="F111" s="642"/>
      <c r="G111" s="642"/>
      <c r="H111" s="643"/>
    </row>
    <row r="112" spans="2:8">
      <c r="B112" s="641"/>
      <c r="C112" s="22"/>
      <c r="D112" s="22"/>
      <c r="E112" s="642"/>
      <c r="F112" s="642"/>
      <c r="G112" s="642"/>
      <c r="H112" s="643"/>
    </row>
    <row r="113" spans="2:8">
      <c r="B113" s="641"/>
      <c r="C113" s="22"/>
      <c r="D113" s="22"/>
      <c r="E113" s="642"/>
      <c r="F113" s="642"/>
      <c r="G113" s="642"/>
      <c r="H113" s="643"/>
    </row>
    <row r="114" spans="2:8">
      <c r="B114" s="641"/>
      <c r="C114" s="22"/>
      <c r="D114" s="22"/>
      <c r="E114" s="642"/>
      <c r="F114" s="642"/>
      <c r="G114" s="642"/>
      <c r="H114" s="643"/>
    </row>
    <row r="115" spans="2:8">
      <c r="B115" s="641"/>
      <c r="C115" s="22"/>
      <c r="D115" s="22"/>
      <c r="E115" s="642"/>
      <c r="F115" s="642"/>
      <c r="G115" s="642"/>
      <c r="H115" s="643"/>
    </row>
    <row r="116" spans="2:8">
      <c r="B116" s="641"/>
      <c r="C116" s="22"/>
      <c r="D116" s="22"/>
      <c r="E116" s="642"/>
      <c r="F116" s="642"/>
      <c r="G116" s="642"/>
      <c r="H116" s="643"/>
    </row>
    <row r="117" spans="2:8">
      <c r="B117" s="641"/>
      <c r="C117" s="22"/>
      <c r="D117" s="22"/>
      <c r="E117" s="642"/>
      <c r="F117" s="642"/>
      <c r="G117" s="642"/>
      <c r="H117" s="643"/>
    </row>
    <row r="118" spans="2:8">
      <c r="B118" s="641"/>
      <c r="C118" s="22"/>
      <c r="D118" s="22"/>
      <c r="E118" s="642"/>
      <c r="F118" s="642"/>
      <c r="G118" s="642"/>
      <c r="H118" s="643"/>
    </row>
    <row r="119" spans="2:8">
      <c r="B119" s="641"/>
      <c r="C119" s="22"/>
      <c r="D119" s="22"/>
      <c r="E119" s="642"/>
      <c r="F119" s="642"/>
      <c r="G119" s="642"/>
      <c r="H119" s="643"/>
    </row>
    <row r="120" spans="2:8">
      <c r="B120" s="641"/>
      <c r="C120" s="22"/>
      <c r="D120" s="22"/>
      <c r="E120" s="642"/>
      <c r="F120" s="642"/>
      <c r="G120" s="642"/>
      <c r="H120" s="643"/>
    </row>
    <row r="121" spans="2:8">
      <c r="B121" s="644"/>
      <c r="C121" s="645" t="s">
        <v>913</v>
      </c>
      <c r="D121" s="646" t="s">
        <v>914</v>
      </c>
      <c r="E121" s="646"/>
      <c r="F121" s="646"/>
      <c r="G121" s="646" t="s">
        <v>915</v>
      </c>
      <c r="H121" s="647" t="s">
        <v>915</v>
      </c>
    </row>
    <row r="122" spans="2:8">
      <c r="B122" s="648"/>
      <c r="C122" s="642" t="s">
        <v>916</v>
      </c>
      <c r="D122" s="22" t="s">
        <v>917</v>
      </c>
      <c r="E122" s="642"/>
      <c r="F122" s="642"/>
      <c r="G122" s="642" t="s">
        <v>918</v>
      </c>
      <c r="H122" s="649" t="s">
        <v>728</v>
      </c>
    </row>
    <row r="123" spans="2:8">
      <c r="B123" s="648" t="s">
        <v>919</v>
      </c>
      <c r="C123" s="642" t="s">
        <v>842</v>
      </c>
      <c r="D123" s="642" t="s">
        <v>842</v>
      </c>
      <c r="E123" s="642"/>
      <c r="F123" s="642" t="s">
        <v>919</v>
      </c>
      <c r="G123" s="642" t="s">
        <v>842</v>
      </c>
      <c r="H123" s="649" t="s">
        <v>842</v>
      </c>
    </row>
    <row r="124" spans="2:8">
      <c r="B124" s="648">
        <v>80</v>
      </c>
      <c r="C124" s="642">
        <v>100</v>
      </c>
      <c r="D124" s="642">
        <v>100</v>
      </c>
      <c r="E124" s="642"/>
      <c r="F124" s="642">
        <v>80</v>
      </c>
      <c r="G124" s="642">
        <v>100</v>
      </c>
      <c r="H124" s="649">
        <v>100</v>
      </c>
    </row>
    <row r="125" spans="2:8">
      <c r="B125" s="648">
        <v>200</v>
      </c>
      <c r="C125" s="642">
        <v>95</v>
      </c>
      <c r="D125" s="642">
        <v>92.5</v>
      </c>
      <c r="E125" s="642"/>
      <c r="F125" s="642">
        <v>200</v>
      </c>
      <c r="G125" s="642">
        <v>94.2</v>
      </c>
      <c r="H125" s="649">
        <v>92.2</v>
      </c>
    </row>
    <row r="126" spans="2:8">
      <c r="B126" s="648">
        <v>400</v>
      </c>
      <c r="C126" s="642">
        <v>87</v>
      </c>
      <c r="D126" s="642">
        <v>86</v>
      </c>
      <c r="E126" s="642"/>
      <c r="F126" s="642">
        <v>300</v>
      </c>
      <c r="G126" s="642">
        <v>87</v>
      </c>
      <c r="H126" s="649">
        <v>83.3</v>
      </c>
    </row>
    <row r="127" spans="2:8">
      <c r="B127" s="648">
        <v>600</v>
      </c>
      <c r="C127" s="642">
        <v>79</v>
      </c>
      <c r="D127" s="642">
        <v>84</v>
      </c>
      <c r="E127" s="642"/>
      <c r="F127" s="642">
        <v>400</v>
      </c>
      <c r="G127" s="642">
        <v>77</v>
      </c>
      <c r="H127" s="649">
        <v>69.5</v>
      </c>
    </row>
    <row r="128" spans="2:8">
      <c r="B128" s="650">
        <v>800</v>
      </c>
      <c r="C128" s="651">
        <v>68.5</v>
      </c>
      <c r="D128" s="651">
        <v>80</v>
      </c>
      <c r="E128" s="651"/>
      <c r="F128" s="651">
        <v>500</v>
      </c>
      <c r="G128" s="651">
        <v>50</v>
      </c>
      <c r="H128" s="652">
        <v>44</v>
      </c>
    </row>
    <row r="129" spans="2:13">
      <c r="B129" s="648"/>
      <c r="C129" s="642"/>
      <c r="D129" s="642"/>
      <c r="E129" s="642"/>
      <c r="F129" s="22"/>
      <c r="G129" s="22"/>
      <c r="H129" s="649"/>
    </row>
    <row r="130" spans="2:13">
      <c r="B130" s="648"/>
      <c r="C130" s="642"/>
      <c r="D130" s="642"/>
      <c r="E130" s="642"/>
      <c r="F130" s="642"/>
      <c r="G130" s="642"/>
      <c r="H130" s="649"/>
    </row>
    <row r="131" spans="2:13">
      <c r="B131" s="648"/>
      <c r="C131" s="653" t="s">
        <v>913</v>
      </c>
      <c r="D131" s="642" t="s">
        <v>914</v>
      </c>
      <c r="E131" s="642"/>
      <c r="F131" s="642"/>
      <c r="G131" s="642" t="s">
        <v>915</v>
      </c>
      <c r="H131" s="649" t="s">
        <v>915</v>
      </c>
    </row>
    <row r="132" spans="2:13">
      <c r="B132" s="648"/>
      <c r="C132" s="642" t="s">
        <v>916</v>
      </c>
      <c r="D132" s="22" t="s">
        <v>917</v>
      </c>
      <c r="E132" s="642"/>
      <c r="F132" s="642"/>
      <c r="G132" s="642" t="s">
        <v>918</v>
      </c>
      <c r="H132" s="649" t="s">
        <v>728</v>
      </c>
    </row>
    <row r="133" spans="2:13">
      <c r="B133" s="648" t="s">
        <v>919</v>
      </c>
      <c r="C133" s="653" t="s">
        <v>843</v>
      </c>
      <c r="D133" s="490" t="s">
        <v>843</v>
      </c>
      <c r="E133" s="642"/>
      <c r="F133" s="642" t="s">
        <v>919</v>
      </c>
      <c r="G133" s="653" t="s">
        <v>843</v>
      </c>
      <c r="H133" s="649" t="s">
        <v>843</v>
      </c>
    </row>
    <row r="134" spans="2:13">
      <c r="B134" s="648">
        <v>80</v>
      </c>
      <c r="C134" s="642">
        <v>100</v>
      </c>
      <c r="D134" s="22">
        <v>100</v>
      </c>
      <c r="E134" s="642"/>
      <c r="F134" s="642">
        <v>80</v>
      </c>
      <c r="G134" s="642">
        <v>100</v>
      </c>
      <c r="H134" s="649">
        <v>100</v>
      </c>
    </row>
    <row r="135" spans="2:13">
      <c r="B135" s="648">
        <v>200</v>
      </c>
      <c r="C135" s="642">
        <v>98</v>
      </c>
      <c r="D135" s="22">
        <v>89.5</v>
      </c>
      <c r="E135" s="642"/>
      <c r="F135" s="642">
        <v>200</v>
      </c>
      <c r="G135" s="642">
        <v>92</v>
      </c>
      <c r="H135" s="649">
        <v>91</v>
      </c>
    </row>
    <row r="136" spans="2:13">
      <c r="B136" s="648">
        <v>400</v>
      </c>
      <c r="C136" s="642">
        <v>95</v>
      </c>
      <c r="D136" s="22">
        <v>79.5</v>
      </c>
      <c r="E136" s="642"/>
      <c r="F136" s="642">
        <v>300</v>
      </c>
      <c r="G136" s="642">
        <v>84</v>
      </c>
      <c r="H136" s="649">
        <v>80</v>
      </c>
    </row>
    <row r="137" spans="2:13">
      <c r="B137" s="648">
        <v>600</v>
      </c>
      <c r="C137" s="642">
        <v>89</v>
      </c>
      <c r="D137" s="22">
        <v>72.5</v>
      </c>
      <c r="E137" s="642"/>
      <c r="F137" s="642">
        <v>400</v>
      </c>
      <c r="G137" s="642">
        <v>75</v>
      </c>
      <c r="H137" s="649">
        <v>64</v>
      </c>
    </row>
    <row r="138" spans="2:13">
      <c r="B138" s="648">
        <v>800</v>
      </c>
      <c r="C138" s="642">
        <v>77</v>
      </c>
      <c r="D138" s="22">
        <v>67.5</v>
      </c>
      <c r="E138" s="642"/>
      <c r="F138" s="642">
        <v>500</v>
      </c>
      <c r="G138" s="642">
        <v>50</v>
      </c>
      <c r="H138" s="649">
        <v>42</v>
      </c>
    </row>
    <row r="139" spans="2:13">
      <c r="B139" s="641"/>
      <c r="C139" s="22"/>
      <c r="D139" s="22"/>
      <c r="E139" s="642"/>
      <c r="F139" s="22"/>
      <c r="G139" s="22"/>
      <c r="H139" s="649"/>
    </row>
    <row r="140" spans="2:13">
      <c r="B140" s="654"/>
      <c r="C140" s="655"/>
      <c r="D140" s="655"/>
      <c r="E140" s="651"/>
      <c r="F140" s="651"/>
      <c r="G140" s="651"/>
      <c r="H140" s="652"/>
    </row>
    <row r="141" spans="2:13">
      <c r="E141" s="39"/>
      <c r="F141" s="39"/>
      <c r="G141" s="39"/>
      <c r="H141" s="39"/>
    </row>
    <row r="142" spans="2:13">
      <c r="B142" s="656"/>
      <c r="C142" s="657"/>
      <c r="D142" s="657" t="s">
        <v>920</v>
      </c>
      <c r="E142" s="657"/>
      <c r="F142" s="658"/>
      <c r="I142" s="656"/>
      <c r="J142" s="657"/>
      <c r="K142" s="659" t="s">
        <v>920</v>
      </c>
      <c r="L142" s="657"/>
      <c r="M142" s="658"/>
    </row>
    <row r="143" spans="2:13">
      <c r="B143" s="660"/>
      <c r="C143" s="661" t="s">
        <v>842</v>
      </c>
      <c r="D143" s="662" t="s">
        <v>921</v>
      </c>
      <c r="E143" s="661" t="s">
        <v>842</v>
      </c>
      <c r="F143" s="662" t="s">
        <v>842</v>
      </c>
      <c r="I143" s="663"/>
      <c r="J143" s="661" t="s">
        <v>843</v>
      </c>
      <c r="K143" s="662" t="s">
        <v>843</v>
      </c>
      <c r="L143" s="661" t="s">
        <v>843</v>
      </c>
      <c r="M143" s="662" t="s">
        <v>843</v>
      </c>
    </row>
    <row r="144" spans="2:13">
      <c r="B144" s="664" t="s">
        <v>919</v>
      </c>
      <c r="C144" s="665" t="s">
        <v>922</v>
      </c>
      <c r="D144" s="666" t="s">
        <v>923</v>
      </c>
      <c r="E144" s="667" t="s">
        <v>924</v>
      </c>
      <c r="F144" s="666" t="s">
        <v>923</v>
      </c>
      <c r="I144" s="668" t="s">
        <v>919</v>
      </c>
      <c r="J144" s="665" t="s">
        <v>922</v>
      </c>
      <c r="K144" s="666" t="s">
        <v>923</v>
      </c>
      <c r="L144" s="667" t="s">
        <v>924</v>
      </c>
      <c r="M144" s="666" t="s">
        <v>923</v>
      </c>
    </row>
    <row r="145" spans="2:13">
      <c r="B145" s="669">
        <v>80</v>
      </c>
      <c r="C145" s="648">
        <v>52.5</v>
      </c>
      <c r="D145" s="643" t="e">
        <f>C145/$S$43*100</f>
        <v>#DIV/0!</v>
      </c>
      <c r="E145" s="648"/>
      <c r="F145" s="643"/>
      <c r="I145" s="669">
        <v>80</v>
      </c>
      <c r="J145" s="648">
        <v>71.3</v>
      </c>
      <c r="K145" s="643" t="e">
        <f>J145/$Z$43*100</f>
        <v>#DIV/0!</v>
      </c>
      <c r="L145" s="648"/>
      <c r="M145" s="643"/>
    </row>
    <row r="146" spans="2:13">
      <c r="B146" s="669">
        <v>100</v>
      </c>
      <c r="C146" s="648">
        <v>52.3</v>
      </c>
      <c r="D146" s="670" t="e">
        <f t="shared" ref="D146:D152" si="4">C146/$S$43*100</f>
        <v>#DIV/0!</v>
      </c>
      <c r="E146" s="648"/>
      <c r="F146" s="643"/>
      <c r="I146" s="669">
        <v>100</v>
      </c>
      <c r="J146" s="648">
        <v>70.3</v>
      </c>
      <c r="K146" s="670" t="e">
        <f t="shared" ref="K146:K153" si="5">J146/$Z$43*100</f>
        <v>#DIV/0!</v>
      </c>
      <c r="L146" s="648"/>
      <c r="M146" s="643"/>
    </row>
    <row r="147" spans="2:13">
      <c r="B147" s="669">
        <v>200</v>
      </c>
      <c r="C147" s="648">
        <v>50.2</v>
      </c>
      <c r="D147" s="670" t="e">
        <f t="shared" si="4"/>
        <v>#DIV/0!</v>
      </c>
      <c r="E147" s="648"/>
      <c r="F147" s="643"/>
      <c r="I147" s="669">
        <v>200</v>
      </c>
      <c r="J147" s="648">
        <v>66.400000000000006</v>
      </c>
      <c r="K147" s="670" t="e">
        <f t="shared" si="5"/>
        <v>#DIV/0!</v>
      </c>
      <c r="L147" s="648"/>
      <c r="M147" s="643"/>
    </row>
    <row r="148" spans="2:13">
      <c r="B148" s="669">
        <v>300</v>
      </c>
      <c r="C148" s="648">
        <v>47.4</v>
      </c>
      <c r="D148" s="670" t="e">
        <f t="shared" si="4"/>
        <v>#DIV/0!</v>
      </c>
      <c r="E148" s="648">
        <v>49.9</v>
      </c>
      <c r="F148" s="670" t="e">
        <f>E148/$S$43*100</f>
        <v>#DIV/0!</v>
      </c>
      <c r="I148" s="669">
        <v>300</v>
      </c>
      <c r="J148" s="648">
        <v>62.2</v>
      </c>
      <c r="K148" s="670" t="e">
        <f t="shared" si="5"/>
        <v>#DIV/0!</v>
      </c>
      <c r="L148" s="648"/>
      <c r="M148" s="643"/>
    </row>
    <row r="149" spans="2:13">
      <c r="B149" s="669">
        <v>400</v>
      </c>
      <c r="C149" s="648">
        <v>44.1</v>
      </c>
      <c r="D149" s="670" t="e">
        <f t="shared" si="4"/>
        <v>#DIV/0!</v>
      </c>
      <c r="E149" s="648">
        <v>45.7</v>
      </c>
      <c r="F149" s="670" t="e">
        <f>E149/$S$43*100</f>
        <v>#DIV/0!</v>
      </c>
      <c r="I149" s="669">
        <v>400</v>
      </c>
      <c r="J149" s="648">
        <v>56.8</v>
      </c>
      <c r="K149" s="670" t="e">
        <f t="shared" si="5"/>
        <v>#DIV/0!</v>
      </c>
      <c r="L149" s="648"/>
      <c r="M149" s="643"/>
    </row>
    <row r="150" spans="2:13">
      <c r="B150" s="669">
        <v>500</v>
      </c>
      <c r="C150" s="648">
        <v>32</v>
      </c>
      <c r="D150" s="670" t="e">
        <f t="shared" si="4"/>
        <v>#DIV/0!</v>
      </c>
      <c r="E150" s="648">
        <v>38.1</v>
      </c>
      <c r="F150" s="670" t="e">
        <f>E150/$S$43*100</f>
        <v>#DIV/0!</v>
      </c>
      <c r="I150" s="669">
        <v>475</v>
      </c>
      <c r="J150" s="648">
        <v>46.2</v>
      </c>
      <c r="K150" s="670" t="e">
        <f t="shared" si="5"/>
        <v>#DIV/0!</v>
      </c>
      <c r="L150" s="648">
        <v>50.1</v>
      </c>
      <c r="M150" s="670" t="e">
        <f>L150/$Z$43*100</f>
        <v>#DIV/0!</v>
      </c>
    </row>
    <row r="151" spans="2:13">
      <c r="B151" s="669">
        <v>600</v>
      </c>
      <c r="C151" s="648">
        <v>17.899999999999999</v>
      </c>
      <c r="D151" s="670" t="e">
        <f t="shared" si="4"/>
        <v>#DIV/0!</v>
      </c>
      <c r="E151" s="648">
        <v>28.8</v>
      </c>
      <c r="F151" s="670" t="e">
        <f>E151/$S$43*100</f>
        <v>#DIV/0!</v>
      </c>
      <c r="I151" s="669">
        <v>500</v>
      </c>
      <c r="J151" s="648">
        <v>36.9</v>
      </c>
      <c r="K151" s="670" t="e">
        <f t="shared" si="5"/>
        <v>#DIV/0!</v>
      </c>
      <c r="L151" s="648">
        <v>46.2</v>
      </c>
      <c r="M151" s="670" t="e">
        <f>L151/$Z$43*100</f>
        <v>#DIV/0!</v>
      </c>
    </row>
    <row r="152" spans="2:13">
      <c r="B152" s="664">
        <v>700</v>
      </c>
      <c r="C152" s="650">
        <v>7.6</v>
      </c>
      <c r="D152" s="671" t="e">
        <f t="shared" si="4"/>
        <v>#DIV/0!</v>
      </c>
      <c r="E152" s="650">
        <v>18.399999999999999</v>
      </c>
      <c r="F152" s="671" t="e">
        <f>E152/$S$43*100</f>
        <v>#DIV/0!</v>
      </c>
      <c r="I152" s="669">
        <v>600</v>
      </c>
      <c r="J152" s="648">
        <v>18.8</v>
      </c>
      <c r="K152" s="670" t="e">
        <f t="shared" si="5"/>
        <v>#DIV/0!</v>
      </c>
      <c r="L152" s="648">
        <v>34.200000000000003</v>
      </c>
      <c r="M152" s="670" t="e">
        <f>L152/$Z$43*100</f>
        <v>#DIV/0!</v>
      </c>
    </row>
    <row r="153" spans="2:13">
      <c r="I153" s="664">
        <v>700</v>
      </c>
      <c r="J153" s="650">
        <v>8.4</v>
      </c>
      <c r="K153" s="671" t="e">
        <f t="shared" si="5"/>
        <v>#DIV/0!</v>
      </c>
      <c r="L153" s="650">
        <v>23.5</v>
      </c>
      <c r="M153" s="671" t="e">
        <f>L153/$Z$43*100</f>
        <v>#DIV/0!</v>
      </c>
    </row>
    <row r="154" spans="2:13">
      <c r="B154" s="672" t="s">
        <v>925</v>
      </c>
      <c r="C154" s="673"/>
      <c r="D154" s="673"/>
      <c r="E154" s="674"/>
    </row>
    <row r="155" spans="2:13">
      <c r="B155" s="675" t="s">
        <v>926</v>
      </c>
      <c r="C155" s="676"/>
      <c r="D155" s="676"/>
      <c r="E155" s="677"/>
    </row>
    <row r="156" spans="2:13">
      <c r="B156" s="678" t="s">
        <v>919</v>
      </c>
      <c r="C156" s="490" t="s">
        <v>842</v>
      </c>
      <c r="D156" s="490" t="s">
        <v>919</v>
      </c>
      <c r="E156" s="679" t="s">
        <v>927</v>
      </c>
    </row>
    <row r="157" spans="2:13">
      <c r="B157" s="641">
        <v>85</v>
      </c>
      <c r="C157" s="22">
        <v>42000</v>
      </c>
      <c r="D157" s="22">
        <v>85</v>
      </c>
      <c r="E157" s="643">
        <v>100</v>
      </c>
    </row>
    <row r="158" spans="2:13">
      <c r="B158" s="641">
        <v>900</v>
      </c>
      <c r="C158" s="22">
        <v>23500</v>
      </c>
      <c r="D158" s="22">
        <v>900</v>
      </c>
      <c r="E158" s="670">
        <v>55.952380952380956</v>
      </c>
    </row>
    <row r="159" spans="2:13">
      <c r="B159" s="641">
        <v>1000</v>
      </c>
      <c r="C159" s="22">
        <v>20100</v>
      </c>
      <c r="D159" s="22">
        <v>1000</v>
      </c>
      <c r="E159" s="670">
        <v>47.857142857142861</v>
      </c>
    </row>
    <row r="160" spans="2:13">
      <c r="B160" s="641">
        <v>1300</v>
      </c>
      <c r="C160" s="22">
        <v>7375</v>
      </c>
      <c r="D160" s="22">
        <v>1300</v>
      </c>
      <c r="E160" s="670">
        <v>17.559523809523807</v>
      </c>
    </row>
    <row r="161" spans="2:12">
      <c r="B161" s="641">
        <v>1400</v>
      </c>
      <c r="C161" s="22">
        <v>3750</v>
      </c>
      <c r="D161" s="22">
        <v>1400</v>
      </c>
      <c r="E161" s="670">
        <v>8.9285714285714288</v>
      </c>
    </row>
    <row r="162" spans="2:12">
      <c r="B162" s="654"/>
      <c r="C162" s="104"/>
      <c r="D162" s="655"/>
      <c r="E162" s="680"/>
    </row>
    <row r="163" spans="2:12">
      <c r="B163" s="116"/>
      <c r="C163" s="269"/>
      <c r="D163" s="269"/>
      <c r="E163" s="270"/>
    </row>
    <row r="164" spans="2:12">
      <c r="B164" s="118"/>
      <c r="C164" s="642" t="s">
        <v>925</v>
      </c>
      <c r="E164" s="271"/>
    </row>
    <row r="165" spans="2:12">
      <c r="B165" s="118"/>
      <c r="C165" s="642" t="s">
        <v>926</v>
      </c>
      <c r="E165" s="271"/>
    </row>
    <row r="166" spans="2:12">
      <c r="B166" s="678" t="s">
        <v>919</v>
      </c>
      <c r="C166" s="490" t="s">
        <v>843</v>
      </c>
      <c r="D166" s="490" t="s">
        <v>919</v>
      </c>
      <c r="E166" s="679" t="s">
        <v>928</v>
      </c>
    </row>
    <row r="167" spans="2:12">
      <c r="B167" s="641">
        <v>85</v>
      </c>
      <c r="C167" s="22">
        <v>62400</v>
      </c>
      <c r="D167" s="22">
        <v>85</v>
      </c>
      <c r="E167" s="643">
        <v>100</v>
      </c>
    </row>
    <row r="168" spans="2:12">
      <c r="B168" s="641">
        <v>900</v>
      </c>
      <c r="C168" s="22">
        <v>45500</v>
      </c>
      <c r="D168" s="22">
        <v>900</v>
      </c>
      <c r="E168" s="670">
        <v>72.916666666666657</v>
      </c>
    </row>
    <row r="169" spans="2:12">
      <c r="B169" s="641">
        <v>1000</v>
      </c>
      <c r="C169" s="22">
        <v>36500</v>
      </c>
      <c r="D169" s="22">
        <v>1000</v>
      </c>
      <c r="E169" s="670">
        <v>58.493589743589745</v>
      </c>
    </row>
    <row r="170" spans="2:12">
      <c r="B170" s="641">
        <v>1200</v>
      </c>
      <c r="C170" s="22">
        <v>20000</v>
      </c>
      <c r="D170" s="22">
        <v>1200</v>
      </c>
      <c r="E170" s="670">
        <v>32.051282051282051</v>
      </c>
    </row>
    <row r="171" spans="2:12">
      <c r="B171" s="641">
        <v>1300</v>
      </c>
      <c r="C171" s="22">
        <v>13500</v>
      </c>
      <c r="D171" s="22">
        <v>1300</v>
      </c>
      <c r="E171" s="670">
        <v>21.634615384615387</v>
      </c>
    </row>
    <row r="172" spans="2:12">
      <c r="B172" s="641">
        <v>1400</v>
      </c>
      <c r="C172" s="22">
        <v>9025</v>
      </c>
      <c r="D172" s="22">
        <v>1400</v>
      </c>
      <c r="E172" s="670">
        <v>14.463141025641027</v>
      </c>
    </row>
    <row r="173" spans="2:12" ht="13.8" thickBot="1">
      <c r="B173" s="681"/>
      <c r="C173" s="220"/>
      <c r="D173" s="220"/>
      <c r="E173" s="682"/>
    </row>
    <row r="175" spans="2:12">
      <c r="K175" s="39"/>
      <c r="L175" s="39"/>
    </row>
    <row r="176" spans="2:12">
      <c r="K176" s="39"/>
      <c r="L176" s="39"/>
    </row>
    <row r="177" spans="11:12">
      <c r="K177" s="39"/>
      <c r="L177" s="39"/>
    </row>
    <row r="178" spans="11:12">
      <c r="K178" s="39"/>
      <c r="L178" s="39"/>
    </row>
    <row r="179" spans="11:12">
      <c r="K179" s="39"/>
      <c r="L179" s="39"/>
    </row>
    <row r="180" spans="11:12">
      <c r="K180" s="39"/>
      <c r="L180" s="39"/>
    </row>
    <row r="181" spans="11:12">
      <c r="K181" s="39"/>
      <c r="L181" s="39"/>
    </row>
    <row r="182" spans="11:12">
      <c r="K182" s="39"/>
      <c r="L182" s="39"/>
    </row>
    <row r="183" spans="11:12">
      <c r="K183" s="39"/>
      <c r="L183" s="39"/>
    </row>
    <row r="184" spans="11:12">
      <c r="K184" s="39"/>
      <c r="L184" s="39"/>
    </row>
    <row r="185" spans="11:12">
      <c r="K185" s="39"/>
      <c r="L185" s="39"/>
    </row>
    <row r="186" spans="11:12">
      <c r="K186" s="39"/>
      <c r="L186" s="39"/>
    </row>
    <row r="187" spans="11:12">
      <c r="K187" s="39"/>
      <c r="L187" s="39"/>
    </row>
    <row r="188" spans="11:12">
      <c r="K188" s="39"/>
      <c r="L188" s="39"/>
    </row>
    <row r="189" spans="11:12">
      <c r="K189" s="39"/>
      <c r="L189" s="39"/>
    </row>
    <row r="190" spans="11:12">
      <c r="K190" s="39"/>
      <c r="L190" s="39"/>
    </row>
    <row r="191" spans="11:12">
      <c r="K191" s="39"/>
      <c r="L191" s="39"/>
    </row>
    <row r="192" spans="11:12">
      <c r="K192" s="39"/>
      <c r="L192" s="39"/>
    </row>
    <row r="193" spans="7:12">
      <c r="K193" s="39"/>
      <c r="L193" s="39"/>
    </row>
    <row r="194" spans="7:12">
      <c r="K194" s="39"/>
      <c r="L194" s="39"/>
    </row>
    <row r="195" spans="7:12">
      <c r="G195" s="39"/>
      <c r="H195" s="39"/>
      <c r="I195" s="39"/>
      <c r="J195" s="39"/>
      <c r="K195" s="39"/>
      <c r="L195" s="39"/>
    </row>
    <row r="196" spans="7:12">
      <c r="G196" s="39"/>
      <c r="H196" s="39"/>
      <c r="I196" s="39"/>
      <c r="J196" s="39"/>
      <c r="K196" s="39"/>
      <c r="L196" s="39"/>
    </row>
    <row r="197" spans="7:12">
      <c r="G197" s="39"/>
      <c r="H197" s="39"/>
      <c r="I197" s="39"/>
      <c r="J197" s="39"/>
      <c r="K197" s="39"/>
      <c r="L197" s="39"/>
    </row>
    <row r="198" spans="7:12">
      <c r="G198" s="39"/>
      <c r="H198" s="39"/>
      <c r="I198" s="39"/>
      <c r="J198" s="39"/>
      <c r="K198" s="39"/>
      <c r="L198" s="39"/>
    </row>
    <row r="199" spans="7:12">
      <c r="G199" s="39"/>
      <c r="H199" s="39"/>
      <c r="I199" s="39"/>
      <c r="J199" s="39"/>
      <c r="K199" s="39"/>
      <c r="L199" s="39"/>
    </row>
    <row r="244" spans="2:8">
      <c r="C244" s="104"/>
      <c r="D244" s="104"/>
    </row>
    <row r="245" spans="2:8">
      <c r="C245" t="s">
        <v>892</v>
      </c>
    </row>
    <row r="246" spans="2:8">
      <c r="C246" t="s">
        <v>893</v>
      </c>
    </row>
    <row r="247" spans="2:8">
      <c r="C247" t="s">
        <v>993</v>
      </c>
    </row>
    <row r="250" spans="2:8" ht="15.6">
      <c r="B250" s="747" t="s">
        <v>994</v>
      </c>
      <c r="C250" s="748"/>
      <c r="D250" s="748"/>
      <c r="E250" s="748"/>
      <c r="F250" s="749"/>
      <c r="H250" s="22" t="s">
        <v>995</v>
      </c>
    </row>
    <row r="251" spans="2:8">
      <c r="B251" s="612" t="s">
        <v>996</v>
      </c>
      <c r="C251" s="750"/>
      <c r="D251" s="750"/>
      <c r="E251" s="750"/>
      <c r="F251" s="751"/>
      <c r="H251" s="752" t="s">
        <v>997</v>
      </c>
    </row>
    <row r="252" spans="2:8">
      <c r="B252" s="753" t="s">
        <v>998</v>
      </c>
      <c r="C252" s="753"/>
      <c r="F252" s="636"/>
      <c r="H252" s="753" t="s">
        <v>999</v>
      </c>
    </row>
    <row r="253" spans="2:8">
      <c r="B253" s="754"/>
      <c r="C253" s="753"/>
      <c r="F253" s="636"/>
    </row>
    <row r="254" spans="2:8">
      <c r="F254" s="636"/>
    </row>
    <row r="255" spans="2:8">
      <c r="B255" s="720" t="s">
        <v>193</v>
      </c>
    </row>
    <row r="257" spans="2:2">
      <c r="B257" s="636" t="s">
        <v>1000</v>
      </c>
    </row>
    <row r="258" spans="2:2">
      <c r="B258" s="636" t="s">
        <v>1001</v>
      </c>
    </row>
    <row r="259" spans="2:2">
      <c r="B259" s="636" t="s">
        <v>1002</v>
      </c>
    </row>
    <row r="260" spans="2:2">
      <c r="B260" s="636" t="s">
        <v>1003</v>
      </c>
    </row>
    <row r="262" spans="2:2">
      <c r="B262" s="636" t="s">
        <v>1004</v>
      </c>
    </row>
    <row r="263" spans="2:2">
      <c r="B263" s="636" t="s">
        <v>1005</v>
      </c>
    </row>
    <row r="264" spans="2:2">
      <c r="B264" s="636" t="s">
        <v>1006</v>
      </c>
    </row>
    <row r="265" spans="2:2">
      <c r="B265" s="636" t="s">
        <v>1007</v>
      </c>
    </row>
    <row r="266" spans="2:2">
      <c r="B266" s="636" t="s">
        <v>1008</v>
      </c>
    </row>
    <row r="268" spans="2:2">
      <c r="B268" s="636" t="s">
        <v>1009</v>
      </c>
    </row>
    <row r="269" spans="2:2">
      <c r="B269" s="636" t="s">
        <v>1010</v>
      </c>
    </row>
    <row r="270" spans="2:2">
      <c r="B270" s="636" t="s">
        <v>1011</v>
      </c>
    </row>
    <row r="271" spans="2:2">
      <c r="B271" s="55" t="s">
        <v>1012</v>
      </c>
    </row>
    <row r="273" spans="2:2">
      <c r="B273" s="636" t="s">
        <v>1013</v>
      </c>
    </row>
    <row r="274" spans="2:2">
      <c r="B274" s="636" t="s">
        <v>1014</v>
      </c>
    </row>
    <row r="275" spans="2:2">
      <c r="B275" s="636" t="s">
        <v>1015</v>
      </c>
    </row>
    <row r="276" spans="2:2">
      <c r="B276" s="636" t="s">
        <v>1016</v>
      </c>
    </row>
    <row r="277" spans="2:2">
      <c r="B277" s="55" t="s">
        <v>1017</v>
      </c>
    </row>
    <row r="278" spans="2:2">
      <c r="B278" s="636" t="s">
        <v>1018</v>
      </c>
    </row>
    <row r="280" spans="2:2">
      <c r="B280" s="636" t="s">
        <v>1019</v>
      </c>
    </row>
    <row r="281" spans="2:2">
      <c r="B281" s="636" t="s">
        <v>1020</v>
      </c>
    </row>
    <row r="282" spans="2:2">
      <c r="B282" s="636" t="s">
        <v>1021</v>
      </c>
    </row>
    <row r="284" spans="2:2">
      <c r="B284" s="636" t="s">
        <v>1022</v>
      </c>
    </row>
    <row r="285" spans="2:2">
      <c r="B285" s="636" t="s">
        <v>1023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theme="8" tint="0.39997558519241921"/>
  </sheetPr>
  <dimension ref="B2:U45"/>
  <sheetViews>
    <sheetView zoomScale="55" zoomScaleNormal="55" workbookViewId="0">
      <selection activeCell="G40" sqref="G40"/>
    </sheetView>
  </sheetViews>
  <sheetFormatPr baseColWidth="10" defaultColWidth="8.88671875" defaultRowHeight="13.2"/>
  <sheetData>
    <row r="2" spans="2:21">
      <c r="Q2" s="720" t="s">
        <v>943</v>
      </c>
    </row>
    <row r="3" spans="2:21">
      <c r="D3" s="721"/>
    </row>
    <row r="4" spans="2:21">
      <c r="B4" s="604" t="s">
        <v>952</v>
      </c>
      <c r="D4" s="604"/>
    </row>
    <row r="5" spans="2:21">
      <c r="U5" s="636" t="s">
        <v>944</v>
      </c>
    </row>
    <row r="6" spans="2:21">
      <c r="B6" s="415" t="s">
        <v>953</v>
      </c>
    </row>
    <row r="7" spans="2:21">
      <c r="B7" s="415"/>
    </row>
    <row r="8" spans="2:21">
      <c r="B8" s="722" t="s">
        <v>954</v>
      </c>
      <c r="C8" s="723">
        <f>2.368+2*0.065</f>
        <v>2.4979999999999998</v>
      </c>
      <c r="D8" s="636" t="s">
        <v>955</v>
      </c>
      <c r="E8" t="s">
        <v>956</v>
      </c>
    </row>
    <row r="9" spans="2:21">
      <c r="B9" s="2" t="s">
        <v>957</v>
      </c>
      <c r="C9" s="723">
        <v>6.5000000000000002E-2</v>
      </c>
      <c r="D9" s="636" t="s">
        <v>955</v>
      </c>
      <c r="E9" t="s">
        <v>958</v>
      </c>
      <c r="U9" t="s">
        <v>945</v>
      </c>
    </row>
    <row r="10" spans="2:21" ht="15.6">
      <c r="B10" s="722" t="s">
        <v>959</v>
      </c>
      <c r="C10" s="723">
        <v>1.5</v>
      </c>
      <c r="E10" s="636" t="s">
        <v>960</v>
      </c>
      <c r="F10" s="772"/>
    </row>
    <row r="11" spans="2:21">
      <c r="B11" s="2"/>
      <c r="C11" s="8"/>
    </row>
    <row r="12" spans="2:21">
      <c r="B12" s="724" t="s">
        <v>961</v>
      </c>
      <c r="C12" s="8"/>
    </row>
    <row r="13" spans="2:21">
      <c r="C13" s="8"/>
      <c r="U13" t="s">
        <v>946</v>
      </c>
    </row>
    <row r="14" spans="2:21">
      <c r="B14" s="722" t="s">
        <v>962</v>
      </c>
      <c r="C14" s="723">
        <v>310</v>
      </c>
      <c r="D14" s="636" t="s">
        <v>963</v>
      </c>
      <c r="E14" t="s">
        <v>838</v>
      </c>
    </row>
    <row r="15" spans="2:21">
      <c r="B15" s="722" t="s">
        <v>964</v>
      </c>
      <c r="C15" s="723">
        <v>462</v>
      </c>
      <c r="D15" s="636" t="s">
        <v>963</v>
      </c>
      <c r="E15" s="636" t="s">
        <v>839</v>
      </c>
    </row>
    <row r="16" spans="2:21">
      <c r="B16" s="2" t="s">
        <v>965</v>
      </c>
      <c r="C16" s="723">
        <v>9.9</v>
      </c>
      <c r="D16" s="636" t="s">
        <v>966</v>
      </c>
      <c r="E16" t="s">
        <v>967</v>
      </c>
    </row>
    <row r="17" spans="2:21">
      <c r="B17" s="725" t="s">
        <v>968</v>
      </c>
      <c r="C17" s="723">
        <v>0.32</v>
      </c>
      <c r="E17" t="s">
        <v>969</v>
      </c>
    </row>
    <row r="18" spans="2:21">
      <c r="B18" s="725"/>
      <c r="U18" t="s">
        <v>947</v>
      </c>
    </row>
    <row r="19" spans="2:21">
      <c r="B19" s="725" t="s">
        <v>970</v>
      </c>
      <c r="C19" s="10">
        <f>fty/ftu</f>
        <v>0.67099567099567103</v>
      </c>
      <c r="E19" t="s">
        <v>971</v>
      </c>
    </row>
    <row r="20" spans="2:21">
      <c r="B20" s="722" t="s">
        <v>972</v>
      </c>
      <c r="C20" s="10">
        <f>ca*betaMechanical^4+cb*betaMechanical^3+cc*betaMechanical^2+cd*betaMechanical+ce</f>
        <v>1.5804730506428193</v>
      </c>
      <c r="E20" t="s">
        <v>973</v>
      </c>
    </row>
    <row r="21" spans="2:21">
      <c r="I21" s="726" t="s">
        <v>911</v>
      </c>
      <c r="J21" s="727"/>
      <c r="K21" s="727"/>
      <c r="L21" s="727"/>
      <c r="M21" s="727"/>
      <c r="N21" s="728"/>
    </row>
    <row r="22" spans="2:21">
      <c r="B22" s="415" t="s">
        <v>974</v>
      </c>
      <c r="I22" s="729"/>
      <c r="J22" s="730"/>
      <c r="K22" s="730"/>
      <c r="L22" s="731" t="s">
        <v>975</v>
      </c>
      <c r="M22" s="730"/>
      <c r="N22" s="732"/>
      <c r="U22" t="s">
        <v>948</v>
      </c>
    </row>
    <row r="23" spans="2:21">
      <c r="B23" s="415"/>
      <c r="I23" s="729"/>
      <c r="J23" s="730"/>
      <c r="K23" s="730"/>
      <c r="L23" s="731"/>
      <c r="M23" s="730"/>
      <c r="N23" s="732"/>
    </row>
    <row r="24" spans="2:21" ht="15.6">
      <c r="B24" s="733" t="s">
        <v>976</v>
      </c>
      <c r="C24" s="734">
        <f>2*t*fty*1000/do/s</f>
        <v>864.43586443586457</v>
      </c>
      <c r="D24" s="721" t="s">
        <v>977</v>
      </c>
      <c r="E24" s="735" t="s">
        <v>978</v>
      </c>
      <c r="I24" s="736" t="s">
        <v>441</v>
      </c>
      <c r="J24" s="737" t="s">
        <v>65</v>
      </c>
      <c r="K24" s="730"/>
      <c r="L24" s="737" t="s">
        <v>63</v>
      </c>
      <c r="M24" s="738">
        <v>9.5832999999999995</v>
      </c>
      <c r="N24" s="732"/>
    </row>
    <row r="25" spans="2:21" ht="15.6">
      <c r="B25" s="733" t="s">
        <v>979</v>
      </c>
      <c r="C25" s="734">
        <f>2*t*fty*1000/do*b</f>
        <v>2049.3263816250201</v>
      </c>
      <c r="D25" s="721" t="s">
        <v>977</v>
      </c>
      <c r="E25" s="735" t="s">
        <v>980</v>
      </c>
      <c r="I25" s="729">
        <v>0.5</v>
      </c>
      <c r="J25" s="730">
        <v>2.048</v>
      </c>
      <c r="K25" s="730"/>
      <c r="L25" s="737" t="s">
        <v>65</v>
      </c>
      <c r="M25" s="738">
        <v>-33.527999999999999</v>
      </c>
      <c r="N25" s="732"/>
    </row>
    <row r="26" spans="2:21" ht="15.6">
      <c r="B26" s="733" t="s">
        <v>981</v>
      </c>
      <c r="C26" s="739">
        <f>C25/C24</f>
        <v>2.3707095759642289</v>
      </c>
      <c r="E26" s="735" t="s">
        <v>947</v>
      </c>
      <c r="I26" s="729">
        <f>0.1+I25</f>
        <v>0.6</v>
      </c>
      <c r="J26" s="730">
        <v>1.7350000000000001</v>
      </c>
      <c r="K26" s="730"/>
      <c r="L26" s="737" t="s">
        <v>66</v>
      </c>
      <c r="M26" s="738">
        <v>44.929000000000002</v>
      </c>
      <c r="N26" s="732"/>
      <c r="U26" t="s">
        <v>949</v>
      </c>
    </row>
    <row r="27" spans="2:21">
      <c r="B27" s="733"/>
      <c r="C27" s="739"/>
      <c r="E27" s="735"/>
      <c r="I27" s="729"/>
      <c r="J27" s="730"/>
      <c r="K27" s="730"/>
      <c r="L27" s="737"/>
      <c r="M27" s="738"/>
      <c r="N27" s="732"/>
    </row>
    <row r="28" spans="2:21">
      <c r="B28" s="740" t="s">
        <v>982</v>
      </c>
      <c r="C28" s="739"/>
      <c r="E28" s="735"/>
      <c r="I28" s="729"/>
      <c r="J28" s="730"/>
      <c r="K28" s="730"/>
      <c r="L28" s="737"/>
      <c r="M28" s="738"/>
      <c r="N28" s="732"/>
    </row>
    <row r="29" spans="2:21">
      <c r="B29" s="733"/>
      <c r="C29" s="739"/>
      <c r="E29" s="735"/>
      <c r="I29" s="729"/>
      <c r="J29" s="730"/>
      <c r="K29" s="730"/>
      <c r="L29" s="737"/>
      <c r="M29" s="738"/>
      <c r="N29" s="732"/>
    </row>
    <row r="30" spans="2:21" ht="15.6">
      <c r="B30" s="741" t="s">
        <v>983</v>
      </c>
      <c r="C30" s="742">
        <f>2*py*(do/2)^2/e/10^6/t*(1-nu/2)</f>
        <v>0.54499878787878786</v>
      </c>
      <c r="D30" s="636" t="s">
        <v>984</v>
      </c>
      <c r="E30" s="743" t="s">
        <v>985</v>
      </c>
      <c r="I30" s="729"/>
      <c r="J30" s="730"/>
      <c r="K30" s="730"/>
      <c r="L30" s="737"/>
      <c r="M30" s="738"/>
      <c r="N30" s="732"/>
    </row>
    <row r="31" spans="2:21" ht="15.6">
      <c r="B31" s="741" t="s">
        <v>986</v>
      </c>
      <c r="C31" s="742">
        <f>PI()*deltad</f>
        <v>1.712164188215342</v>
      </c>
      <c r="D31" s="636" t="s">
        <v>984</v>
      </c>
      <c r="E31" s="743" t="s">
        <v>987</v>
      </c>
      <c r="I31" s="729"/>
      <c r="J31" s="730"/>
      <c r="K31" s="730"/>
      <c r="L31" s="737"/>
      <c r="M31" s="738"/>
      <c r="N31" s="732"/>
      <c r="Q31" s="104"/>
      <c r="R31" s="104"/>
    </row>
    <row r="32" spans="2:21">
      <c r="I32" s="729">
        <f>0.1+I26</f>
        <v>0.7</v>
      </c>
      <c r="J32" s="730">
        <v>1.5269999999999999</v>
      </c>
      <c r="K32" s="730"/>
      <c r="L32" s="737" t="s">
        <v>53</v>
      </c>
      <c r="M32" s="738">
        <v>-28.478999999999999</v>
      </c>
      <c r="N32" s="732"/>
      <c r="Q32" s="636" t="s">
        <v>892</v>
      </c>
    </row>
    <row r="33" spans="2:17">
      <c r="I33" s="729">
        <f>0.1+I32</f>
        <v>0.79999999999999993</v>
      </c>
      <c r="J33" s="730">
        <v>1.379</v>
      </c>
      <c r="K33" s="730"/>
      <c r="L33" s="737" t="s">
        <v>67</v>
      </c>
      <c r="M33" s="738">
        <v>8.6475000000000009</v>
      </c>
      <c r="N33" s="732"/>
      <c r="Q33" s="636" t="s">
        <v>950</v>
      </c>
    </row>
    <row r="34" spans="2:17">
      <c r="B34" s="634" t="s">
        <v>314</v>
      </c>
      <c r="I34" s="729">
        <f>0.1+I33</f>
        <v>0.89999999999999991</v>
      </c>
      <c r="J34" s="730">
        <v>1.254</v>
      </c>
      <c r="K34" s="730"/>
      <c r="L34" s="730"/>
      <c r="M34" s="730"/>
      <c r="N34" s="732"/>
      <c r="Q34" s="636" t="s">
        <v>951</v>
      </c>
    </row>
    <row r="35" spans="2:17">
      <c r="B35" s="635" t="s">
        <v>988</v>
      </c>
      <c r="I35" s="744">
        <f>0.1+I34</f>
        <v>0.99999999999999989</v>
      </c>
      <c r="J35" s="745">
        <v>1.153</v>
      </c>
      <c r="K35" s="745"/>
      <c r="L35" s="745"/>
      <c r="M35" s="745"/>
      <c r="N35" s="746"/>
    </row>
    <row r="36" spans="2:17" ht="13.8">
      <c r="B36" s="635" t="s">
        <v>886</v>
      </c>
    </row>
    <row r="37" spans="2:17" ht="13.8">
      <c r="B37" s="129" t="s">
        <v>887</v>
      </c>
    </row>
    <row r="38" spans="2:17" ht="13.8">
      <c r="B38" s="635" t="s">
        <v>888</v>
      </c>
    </row>
    <row r="39" spans="2:17">
      <c r="B39" s="635"/>
    </row>
    <row r="40" spans="2:17">
      <c r="B40" s="116"/>
      <c r="C40" s="269"/>
      <c r="D40" s="269"/>
      <c r="E40" s="269"/>
      <c r="F40" s="269"/>
      <c r="G40" s="270"/>
    </row>
    <row r="41" spans="2:17">
      <c r="B41" s="118"/>
      <c r="C41" s="636" t="s">
        <v>989</v>
      </c>
      <c r="G41" s="271"/>
    </row>
    <row r="42" spans="2:17">
      <c r="B42" s="118"/>
      <c r="C42" s="636" t="s">
        <v>990</v>
      </c>
      <c r="G42" s="271"/>
    </row>
    <row r="43" spans="2:17">
      <c r="B43" s="118"/>
      <c r="C43" s="636" t="s">
        <v>991</v>
      </c>
      <c r="G43" s="271"/>
    </row>
    <row r="44" spans="2:17">
      <c r="B44" s="118"/>
      <c r="C44" t="s">
        <v>992</v>
      </c>
      <c r="G44" s="271"/>
    </row>
    <row r="45" spans="2:17">
      <c r="B45" s="26"/>
      <c r="C45" s="104"/>
      <c r="D45" s="104"/>
      <c r="E45" s="104"/>
      <c r="F45" s="104"/>
      <c r="G45" s="28"/>
    </row>
  </sheetData>
  <pageMargins left="0.7" right="0.7" top="0.75" bottom="0.75" header="0.3" footer="0.3"/>
  <drawing r:id="rId1"/>
  <legacyDrawing r:id="rId2"/>
  <oleObjects>
    <mc:AlternateContent xmlns:mc="http://schemas.openxmlformats.org/markup-compatibility/2006">
      <mc:Choice Requires="x14">
        <oleObject progId="Equation.2" shapeId="7426056" r:id="rId3">
          <objectPr defaultSize="0" autoPict="0" r:id="rId4">
            <anchor moveWithCells="1">
              <from>
                <xdr:col>16</xdr:col>
                <xdr:colOff>60960</xdr:colOff>
                <xdr:row>20</xdr:row>
                <xdr:rowOff>30480</xdr:rowOff>
              </from>
              <to>
                <xdr:col>19</xdr:col>
                <xdr:colOff>365760</xdr:colOff>
                <xdr:row>23</xdr:row>
                <xdr:rowOff>175260</xdr:rowOff>
              </to>
            </anchor>
          </objectPr>
        </oleObject>
      </mc:Choice>
      <mc:Fallback>
        <oleObject progId="Equation.2" shapeId="7426056" r:id="rId3"/>
      </mc:Fallback>
    </mc:AlternateContent>
    <mc:AlternateContent xmlns:mc="http://schemas.openxmlformats.org/markup-compatibility/2006">
      <mc:Choice Requires="x14">
        <oleObject progId="Equation.2" shapeId="7426057" r:id="rId5">
          <objectPr defaultSize="0" autoPict="0" r:id="rId6">
            <anchor moveWithCells="1">
              <from>
                <xdr:col>16</xdr:col>
                <xdr:colOff>38100</xdr:colOff>
                <xdr:row>3</xdr:row>
                <xdr:rowOff>30480</xdr:rowOff>
              </from>
              <to>
                <xdr:col>19</xdr:col>
                <xdr:colOff>342900</xdr:colOff>
                <xdr:row>6</xdr:row>
                <xdr:rowOff>160020</xdr:rowOff>
              </to>
            </anchor>
          </objectPr>
        </oleObject>
      </mc:Choice>
      <mc:Fallback>
        <oleObject progId="Equation.2" shapeId="7426057" r:id="rId5"/>
      </mc:Fallback>
    </mc:AlternateContent>
    <mc:AlternateContent xmlns:mc="http://schemas.openxmlformats.org/markup-compatibility/2006">
      <mc:Choice Requires="x14">
        <oleObject progId="Equation.2" shapeId="7426058" r:id="rId7">
          <objectPr defaultSize="0" autoPict="0" r:id="rId8">
            <anchor moveWithCells="1">
              <from>
                <xdr:col>16</xdr:col>
                <xdr:colOff>38100</xdr:colOff>
                <xdr:row>7</xdr:row>
                <xdr:rowOff>68580</xdr:rowOff>
              </from>
              <to>
                <xdr:col>19</xdr:col>
                <xdr:colOff>342900</xdr:colOff>
                <xdr:row>10</xdr:row>
                <xdr:rowOff>160020</xdr:rowOff>
              </to>
            </anchor>
          </objectPr>
        </oleObject>
      </mc:Choice>
      <mc:Fallback>
        <oleObject progId="Equation.2" shapeId="7426058" r:id="rId7"/>
      </mc:Fallback>
    </mc:AlternateContent>
    <mc:AlternateContent xmlns:mc="http://schemas.openxmlformats.org/markup-compatibility/2006">
      <mc:Choice Requires="x14">
        <oleObject progId="Equation.2" shapeId="7426059" r:id="rId9">
          <objectPr defaultSize="0" autoPict="0" r:id="rId10">
            <anchor moveWithCells="1">
              <from>
                <xdr:col>16</xdr:col>
                <xdr:colOff>45720</xdr:colOff>
                <xdr:row>11</xdr:row>
                <xdr:rowOff>106680</xdr:rowOff>
              </from>
              <to>
                <xdr:col>19</xdr:col>
                <xdr:colOff>350520</xdr:colOff>
                <xdr:row>15</xdr:row>
                <xdr:rowOff>68580</xdr:rowOff>
              </to>
            </anchor>
          </objectPr>
        </oleObject>
      </mc:Choice>
      <mc:Fallback>
        <oleObject progId="Equation.2" shapeId="7426059" r:id="rId9"/>
      </mc:Fallback>
    </mc:AlternateContent>
    <mc:AlternateContent xmlns:mc="http://schemas.openxmlformats.org/markup-compatibility/2006">
      <mc:Choice Requires="x14">
        <oleObject progId="Equation.2" shapeId="7426060" r:id="rId11">
          <objectPr defaultSize="0" autoPict="0" r:id="rId12">
            <anchor moveWithCells="1">
              <from>
                <xdr:col>16</xdr:col>
                <xdr:colOff>45720</xdr:colOff>
                <xdr:row>15</xdr:row>
                <xdr:rowOff>144780</xdr:rowOff>
              </from>
              <to>
                <xdr:col>19</xdr:col>
                <xdr:colOff>350520</xdr:colOff>
                <xdr:row>19</xdr:row>
                <xdr:rowOff>106680</xdr:rowOff>
              </to>
            </anchor>
          </objectPr>
        </oleObject>
      </mc:Choice>
      <mc:Fallback>
        <oleObject progId="Equation.2" shapeId="7426060" r:id="rId11"/>
      </mc:Fallback>
    </mc:AlternateContent>
    <mc:AlternateContent xmlns:mc="http://schemas.openxmlformats.org/markup-compatibility/2006">
      <mc:Choice Requires="x14">
        <oleObject progId="Equation.2" shapeId="7426061" r:id="rId13">
          <objectPr defaultSize="0" autoPict="0" r:id="rId14">
            <anchor moveWithCells="1">
              <from>
                <xdr:col>16</xdr:col>
                <xdr:colOff>60960</xdr:colOff>
                <xdr:row>24</xdr:row>
                <xdr:rowOff>76200</xdr:rowOff>
              </from>
              <to>
                <xdr:col>19</xdr:col>
                <xdr:colOff>365760</xdr:colOff>
                <xdr:row>27</xdr:row>
                <xdr:rowOff>160020</xdr:rowOff>
              </to>
            </anchor>
          </objectPr>
        </oleObject>
      </mc:Choice>
      <mc:Fallback>
        <oleObject progId="Equation.2" shapeId="7426061" r:id="rId13"/>
      </mc:Fallback>
    </mc:AlternateContent>
  </oleObjec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>
    <tabColor theme="8" tint="0.39997558519241921"/>
    <pageSetUpPr autoPageBreaks="0"/>
  </sheetPr>
  <dimension ref="B2:N53"/>
  <sheetViews>
    <sheetView showGridLines="0" topLeftCell="A22" zoomScale="110" zoomScaleNormal="110" workbookViewId="0">
      <selection activeCell="K33" sqref="K33"/>
    </sheetView>
  </sheetViews>
  <sheetFormatPr baseColWidth="10" defaultColWidth="8.88671875" defaultRowHeight="13.2"/>
  <cols>
    <col min="1" max="1" width="2.33203125" customWidth="1"/>
  </cols>
  <sheetData>
    <row r="2" spans="2:5">
      <c r="B2" s="76" t="s">
        <v>332</v>
      </c>
    </row>
    <row r="4" spans="2:5">
      <c r="B4" s="194" t="s">
        <v>334</v>
      </c>
    </row>
    <row r="5" spans="2:5">
      <c r="B5" s="194" t="s">
        <v>333</v>
      </c>
    </row>
    <row r="6" spans="2:5">
      <c r="B6" s="194"/>
    </row>
    <row r="7" spans="2:5">
      <c r="B7" s="196" t="str">
        <f>'Data and Kn'!C6</f>
        <v xml:space="preserve">H412 sample test </v>
      </c>
      <c r="C7" s="197"/>
      <c r="D7" s="195"/>
      <c r="E7" s="163"/>
    </row>
    <row r="8" spans="2:5">
      <c r="B8" s="198" t="str">
        <f>'Data and Kn'!C7</f>
        <v>Design of "H" class</v>
      </c>
      <c r="C8" s="199"/>
      <c r="D8" s="170"/>
      <c r="E8" s="167"/>
    </row>
    <row r="9" spans="2:5">
      <c r="B9" s="160"/>
      <c r="C9" s="161" t="s">
        <v>335</v>
      </c>
      <c r="D9" s="162">
        <f>mgrain</f>
        <v>0.18059782517530665</v>
      </c>
      <c r="E9" s="163" t="s">
        <v>28</v>
      </c>
    </row>
    <row r="10" spans="2:5">
      <c r="B10" s="164"/>
      <c r="C10" s="165"/>
      <c r="D10" s="166">
        <f>D9/0.4536</f>
        <v>0.39814335356108166</v>
      </c>
      <c r="E10" s="167" t="s">
        <v>337</v>
      </c>
    </row>
    <row r="11" spans="2:5">
      <c r="B11" s="160"/>
      <c r="C11" s="161" t="s">
        <v>176</v>
      </c>
      <c r="D11" s="168">
        <f>itot</f>
        <v>196.84854263804402</v>
      </c>
      <c r="E11" s="163" t="s">
        <v>174</v>
      </c>
    </row>
    <row r="12" spans="2:5">
      <c r="B12" s="164"/>
      <c r="C12" s="165"/>
      <c r="D12" s="169">
        <f>D11/4.448</f>
        <v>44.255517679416371</v>
      </c>
      <c r="E12" s="167" t="s">
        <v>338</v>
      </c>
    </row>
    <row r="13" spans="2:5">
      <c r="B13" s="160"/>
      <c r="C13" s="161" t="s">
        <v>339</v>
      </c>
      <c r="D13" s="168">
        <f>Performance!K22</f>
        <v>465.48813993640681</v>
      </c>
      <c r="E13" s="163" t="s">
        <v>168</v>
      </c>
    </row>
    <row r="14" spans="2:5">
      <c r="B14" s="164"/>
      <c r="C14" s="170"/>
      <c r="D14" s="169">
        <f>Performance!P22</f>
        <v>104.64640527323564</v>
      </c>
      <c r="E14" s="167" t="s">
        <v>337</v>
      </c>
    </row>
    <row r="15" spans="2:5">
      <c r="B15" s="171"/>
      <c r="C15" s="172" t="s">
        <v>340</v>
      </c>
      <c r="D15" s="173">
        <f>Performance!K23</f>
        <v>0.42288626873487412</v>
      </c>
      <c r="E15" s="174" t="s">
        <v>169</v>
      </c>
    </row>
    <row r="16" spans="2:5">
      <c r="B16" s="171"/>
      <c r="C16" s="172" t="s">
        <v>336</v>
      </c>
      <c r="D16" s="175">
        <f>Performance!C18</f>
        <v>111.15469180721014</v>
      </c>
      <c r="E16" s="174" t="s">
        <v>169</v>
      </c>
    </row>
    <row r="17" spans="2:14">
      <c r="B17" s="171"/>
      <c r="C17" s="172" t="s">
        <v>352</v>
      </c>
      <c r="D17" s="200" t="str">
        <f>Performance!C19</f>
        <v>H</v>
      </c>
      <c r="E17" s="201">
        <f>Performance!K22</f>
        <v>465.48813993640681</v>
      </c>
    </row>
    <row r="19" spans="2:14">
      <c r="B19" s="799" t="s">
        <v>349</v>
      </c>
      <c r="C19" s="800"/>
      <c r="D19" s="800"/>
      <c r="E19" s="801"/>
    </row>
    <row r="20" spans="2:14">
      <c r="B20" s="188" t="s">
        <v>348</v>
      </c>
      <c r="C20" s="189">
        <f>N47</f>
        <v>2.0127429545759717E-2</v>
      </c>
      <c r="D20" t="s">
        <v>347</v>
      </c>
      <c r="E20" s="190"/>
    </row>
    <row r="21" spans="2:14">
      <c r="B21" s="191"/>
      <c r="C21" s="192"/>
      <c r="D21" s="192"/>
      <c r="E21" s="193"/>
    </row>
    <row r="22" spans="2:14">
      <c r="B22" s="176" t="s">
        <v>341</v>
      </c>
      <c r="C22" s="178" t="s">
        <v>342</v>
      </c>
      <c r="D22" s="180" t="s">
        <v>344</v>
      </c>
      <c r="E22" s="182" t="s">
        <v>344</v>
      </c>
    </row>
    <row r="23" spans="2:14">
      <c r="B23" s="177"/>
      <c r="C23" s="179" t="s">
        <v>343</v>
      </c>
      <c r="D23" s="181" t="s">
        <v>345</v>
      </c>
      <c r="E23" s="183" t="s">
        <v>346</v>
      </c>
    </row>
    <row r="24" spans="2:14">
      <c r="B24" s="184">
        <v>1</v>
      </c>
      <c r="C24" s="185">
        <f>Performance!L28</f>
        <v>0</v>
      </c>
      <c r="D24" s="186">
        <f>Performance!J28</f>
        <v>0</v>
      </c>
      <c r="E24" s="187">
        <f>Performance!K28</f>
        <v>0</v>
      </c>
      <c r="H24" s="42"/>
    </row>
    <row r="25" spans="2:14">
      <c r="B25" s="184">
        <f>B24+1</f>
        <v>2</v>
      </c>
      <c r="C25" s="185">
        <f>Performance!L70</f>
        <v>2.2974077946812891E-2</v>
      </c>
      <c r="D25" s="186">
        <f>Performance!J70</f>
        <v>474.12978641264118</v>
      </c>
      <c r="E25" s="187">
        <f>Performance!K70</f>
        <v>106.58913412450906</v>
      </c>
      <c r="N25" s="322">
        <f t="shared" ref="N25:N46" si="0">C25-C24</f>
        <v>2.2974077946812891E-2</v>
      </c>
    </row>
    <row r="26" spans="2:14">
      <c r="B26" s="184">
        <f t="shared" ref="B26:B45" si="1">B25+1</f>
        <v>3</v>
      </c>
      <c r="C26" s="185">
        <f>Performance!L71</f>
        <v>2.3458701794913113E-2</v>
      </c>
      <c r="D26" s="186">
        <f>Performance!J71</f>
        <v>474.43232078359983</v>
      </c>
      <c r="E26" s="187">
        <f>Performance!K71</f>
        <v>106.65714688719029</v>
      </c>
      <c r="N26" s="322">
        <f t="shared" si="0"/>
        <v>4.8462384810022199E-4</v>
      </c>
    </row>
    <row r="27" spans="2:14">
      <c r="B27" s="184">
        <f t="shared" si="1"/>
        <v>4</v>
      </c>
      <c r="C27" s="185">
        <f>Performance!L112</f>
        <v>4.3285667895060491E-2</v>
      </c>
      <c r="D27" s="186">
        <f>Performance!J112</f>
        <v>479.86760173059469</v>
      </c>
      <c r="E27" s="187">
        <f>Performance!K112</f>
        <v>107.8790525899453</v>
      </c>
      <c r="N27" s="323">
        <f t="shared" si="0"/>
        <v>1.9826966100147378E-2</v>
      </c>
    </row>
    <row r="28" spans="2:14">
      <c r="B28" s="184">
        <f t="shared" si="1"/>
        <v>5</v>
      </c>
      <c r="C28" s="185">
        <f>Performance!L154</f>
        <v>6.3545120590740939E-2</v>
      </c>
      <c r="D28" s="186">
        <f>Performance!J154</f>
        <v>483.45775072363483</v>
      </c>
      <c r="E28" s="187">
        <f>Performance!K154</f>
        <v>108.6861541125927</v>
      </c>
      <c r="N28" s="323">
        <f t="shared" si="0"/>
        <v>2.0259452695680448E-2</v>
      </c>
    </row>
    <row r="29" spans="2:14">
      <c r="B29" s="184">
        <f t="shared" si="1"/>
        <v>6</v>
      </c>
      <c r="C29" s="185">
        <f>Performance!L196</f>
        <v>8.3762891383172763E-2</v>
      </c>
      <c r="D29" s="186">
        <f>Performance!J196</f>
        <v>486.57957353982232</v>
      </c>
      <c r="E29" s="187">
        <f>Performance!K196</f>
        <v>109.38797121078692</v>
      </c>
      <c r="N29" s="323">
        <f t="shared" si="0"/>
        <v>2.0217770792431825E-2</v>
      </c>
    </row>
    <row r="30" spans="2:14">
      <c r="B30" s="184">
        <f t="shared" si="1"/>
        <v>7</v>
      </c>
      <c r="C30" s="185">
        <f>Performance!L238</f>
        <v>0.10394498920136482</v>
      </c>
      <c r="D30" s="186">
        <f>Performance!J238</f>
        <v>489.2409769351604</v>
      </c>
      <c r="E30" s="187">
        <f>Performance!K238</f>
        <v>109.98628140262588</v>
      </c>
      <c r="N30" s="323">
        <f t="shared" si="0"/>
        <v>2.0182097818192052E-2</v>
      </c>
    </row>
    <row r="31" spans="2:14">
      <c r="B31" s="184">
        <f t="shared" si="1"/>
        <v>8</v>
      </c>
      <c r="C31" s="185">
        <f>Performance!L280</f>
        <v>0.12409729570520289</v>
      </c>
      <c r="D31" s="186">
        <f>Performance!J280</f>
        <v>491.43993299745438</v>
      </c>
      <c r="E31" s="187">
        <f>Performance!K280</f>
        <v>110.48062879309707</v>
      </c>
      <c r="N31" s="323">
        <f t="shared" si="0"/>
        <v>2.0152306503838077E-2</v>
      </c>
    </row>
    <row r="32" spans="2:14">
      <c r="B32" s="184">
        <f t="shared" si="1"/>
        <v>9</v>
      </c>
      <c r="C32" s="185">
        <f>Performance!L322</f>
        <v>0.14422561036890538</v>
      </c>
      <c r="D32" s="186">
        <f>Performance!J322</f>
        <v>493.1746855961012</v>
      </c>
      <c r="E32" s="187">
        <f>Performance!K322</f>
        <v>110.87061858641725</v>
      </c>
      <c r="N32" s="323">
        <f t="shared" si="0"/>
        <v>2.012831466370249E-2</v>
      </c>
    </row>
    <row r="33" spans="2:14">
      <c r="B33" s="184">
        <f t="shared" si="1"/>
        <v>10</v>
      </c>
      <c r="C33" s="185">
        <f>Performance!L364</f>
        <v>0.16433566742142955</v>
      </c>
      <c r="D33" s="186">
        <f>Performance!J364</f>
        <v>494.44383105966438</v>
      </c>
      <c r="E33" s="187">
        <f>Performance!K364</f>
        <v>111.15593522316091</v>
      </c>
      <c r="N33" s="323">
        <f t="shared" si="0"/>
        <v>2.0110057052524166E-2</v>
      </c>
    </row>
    <row r="34" spans="2:14">
      <c r="B34" s="184">
        <f t="shared" si="1"/>
        <v>11</v>
      </c>
      <c r="C34" s="185">
        <f>Performance!L406</f>
        <v>0.1844331520510685</v>
      </c>
      <c r="D34" s="186">
        <f>Performance!J406</f>
        <v>495.24631561678262</v>
      </c>
      <c r="E34" s="187">
        <f>Performance!K406</f>
        <v>111.33634180495091</v>
      </c>
      <c r="N34" s="323">
        <f t="shared" si="0"/>
        <v>2.0097484629638951E-2</v>
      </c>
    </row>
    <row r="35" spans="2:14">
      <c r="B35" s="184">
        <f t="shared" si="1"/>
        <v>12</v>
      </c>
      <c r="C35" s="185">
        <f>Performance!L448</f>
        <v>0.20452371623902668</v>
      </c>
      <c r="D35" s="186">
        <f>Performance!J448</f>
        <v>495.5814328779241</v>
      </c>
      <c r="E35" s="187">
        <f>Performance!K448</f>
        <v>111.41167952833149</v>
      </c>
      <c r="N35" s="323">
        <f t="shared" si="0"/>
        <v>2.0090564187958182E-2</v>
      </c>
    </row>
    <row r="36" spans="2:14">
      <c r="B36" s="184">
        <f t="shared" si="1"/>
        <v>13</v>
      </c>
      <c r="C36" s="185">
        <f>Performance!L490</f>
        <v>0.22461299434680726</v>
      </c>
      <c r="D36" s="186">
        <f>Performance!J490</f>
        <v>495.44882224888443</v>
      </c>
      <c r="E36" s="187">
        <f>Performance!K490</f>
        <v>111.38186732810675</v>
      </c>
      <c r="N36" s="323">
        <f t="shared" si="0"/>
        <v>2.0089278107780578E-2</v>
      </c>
    </row>
    <row r="37" spans="2:14">
      <c r="B37" s="184">
        <f t="shared" si="1"/>
        <v>14</v>
      </c>
      <c r="C37" s="185">
        <f>Performance!L532</f>
        <v>0.24470661857597772</v>
      </c>
      <c r="D37" s="186">
        <f>Performance!J532</f>
        <v>494.84846828035228</v>
      </c>
      <c r="E37" s="187">
        <f>Performance!K532</f>
        <v>111.24690173111647</v>
      </c>
      <c r="N37" s="323">
        <f t="shared" si="0"/>
        <v>2.0093624229170465E-2</v>
      </c>
    </row>
    <row r="38" spans="2:14">
      <c r="B38" s="184">
        <f t="shared" si="1"/>
        <v>15</v>
      </c>
      <c r="C38" s="185">
        <f>Performance!L574</f>
        <v>0.26481023441700369</v>
      </c>
      <c r="D38" s="186">
        <f>Performance!J574</f>
        <v>493.78070095108961</v>
      </c>
      <c r="E38" s="187">
        <f>Performance!K574</f>
        <v>111.00685691989786</v>
      </c>
      <c r="N38" s="323">
        <f t="shared" si="0"/>
        <v>2.0103615841025962E-2</v>
      </c>
    </row>
    <row r="39" spans="2:14">
      <c r="B39" s="184">
        <f t="shared" si="1"/>
        <v>16</v>
      </c>
      <c r="C39" s="185">
        <f>Performance!L616</f>
        <v>0.28492951620372425</v>
      </c>
      <c r="D39" s="186">
        <f>Performance!J616</f>
        <v>492.24619688776403</v>
      </c>
      <c r="E39" s="187">
        <f>Performance!K616</f>
        <v>110.66188500691607</v>
      </c>
      <c r="N39" s="323">
        <f t="shared" si="0"/>
        <v>2.0119281786720566E-2</v>
      </c>
    </row>
    <row r="40" spans="2:14">
      <c r="B40" s="184">
        <f t="shared" si="1"/>
        <v>17</v>
      </c>
      <c r="C40" s="185">
        <f>Performance!L658</f>
        <v>0.30507018289165305</v>
      </c>
      <c r="D40" s="186">
        <f>Performance!J658</f>
        <v>490.24598152966922</v>
      </c>
      <c r="E40" s="187">
        <f>Performance!K658</f>
        <v>110.21221652121515</v>
      </c>
      <c r="N40" s="323">
        <f t="shared" si="0"/>
        <v>2.0140666687928799E-2</v>
      </c>
    </row>
    <row r="41" spans="2:14">
      <c r="B41" s="184">
        <f t="shared" si="1"/>
        <v>18</v>
      </c>
      <c r="C41" s="185">
        <f>Performance!L700</f>
        <v>0.32523801418166487</v>
      </c>
      <c r="D41" s="186">
        <f>Performance!J700</f>
        <v>487.78143225245333</v>
      </c>
      <c r="E41" s="187">
        <f>Performance!K700</f>
        <v>109.65816111066349</v>
      </c>
      <c r="N41" s="323">
        <f t="shared" si="0"/>
        <v>2.0167831290011817E-2</v>
      </c>
    </row>
    <row r="42" spans="2:14">
      <c r="B42" s="184">
        <f t="shared" si="1"/>
        <v>19</v>
      </c>
      <c r="C42" s="185">
        <f>Performance!L742</f>
        <v>0.34543886711584293</v>
      </c>
      <c r="D42" s="186">
        <f>Performance!J742</f>
        <v>484.85428247068927</v>
      </c>
      <c r="E42" s="187">
        <f>Performance!K742</f>
        <v>109.00010846425279</v>
      </c>
      <c r="N42" s="323">
        <f t="shared" si="0"/>
        <v>2.020085293417806E-2</v>
      </c>
    </row>
    <row r="43" spans="2:14">
      <c r="B43" s="184">
        <f t="shared" si="1"/>
        <v>20</v>
      </c>
      <c r="C43" s="185">
        <f>Performance!L784</f>
        <v>0.36567869327947106</v>
      </c>
      <c r="D43" s="186">
        <f>Performance!J784</f>
        <v>481.46662674533769</v>
      </c>
      <c r="E43" s="187">
        <f>Performance!K784</f>
        <v>108.23852946030702</v>
      </c>
      <c r="N43" s="323">
        <f t="shared" si="0"/>
        <v>2.0239826163628127E-2</v>
      </c>
    </row>
    <row r="44" spans="2:14">
      <c r="B44" s="184">
        <f t="shared" si="1"/>
        <v>21</v>
      </c>
      <c r="C44" s="185">
        <f>Performance!L826</f>
        <v>0.38596355675250149</v>
      </c>
      <c r="D44" s="186">
        <f>Performance!J826</f>
        <v>477.62092692867748</v>
      </c>
      <c r="E44" s="187">
        <f>Performance!K826</f>
        <v>107.37397754792444</v>
      </c>
      <c r="N44" s="323">
        <f t="shared" si="0"/>
        <v>2.0284863473030434E-2</v>
      </c>
    </row>
    <row r="45" spans="2:14">
      <c r="B45" s="184">
        <f t="shared" si="1"/>
        <v>22</v>
      </c>
      <c r="C45" s="185">
        <f>Performance!L868</f>
        <v>0.40587986316434771</v>
      </c>
      <c r="D45" s="186">
        <f>Performance!J868</f>
        <v>303.41364561490508</v>
      </c>
      <c r="E45" s="187">
        <f>Performance!K868</f>
        <v>68.210432447935133</v>
      </c>
      <c r="N45" s="323">
        <f t="shared" si="0"/>
        <v>1.9916306411846219E-2</v>
      </c>
    </row>
    <row r="46" spans="2:14">
      <c r="B46" s="184">
        <v>23</v>
      </c>
      <c r="C46" s="185">
        <f>Performance!L910</f>
        <v>0.42330105911464305</v>
      </c>
      <c r="D46" s="186">
        <f>Performance!J910</f>
        <v>0</v>
      </c>
      <c r="E46" s="187">
        <f>Performance!K910</f>
        <v>0</v>
      </c>
      <c r="N46" s="323">
        <f t="shared" si="0"/>
        <v>1.7421195950295343E-2</v>
      </c>
    </row>
    <row r="47" spans="2:14">
      <c r="N47" s="324">
        <f>AVERAGE(N27:N45)</f>
        <v>2.0127429545759717E-2</v>
      </c>
    </row>
    <row r="48" spans="2:14">
      <c r="B48" s="103" t="s">
        <v>350</v>
      </c>
      <c r="N48" s="57"/>
    </row>
    <row r="49" spans="2:9">
      <c r="B49" s="103" t="s">
        <v>351</v>
      </c>
    </row>
    <row r="53" spans="2:9">
      <c r="I53" s="2"/>
    </row>
  </sheetData>
  <sheetProtection password="C7BC" sheet="1"/>
  <customSheetViews>
    <customSheetView guid="{136183A0-5E83-4B15-A2A6-F3C23DCC406A}" scale="110" showGridLines="0" printArea="1" topLeftCell="A49">
      <selection activeCell="I48" sqref="I48"/>
      <pageMargins left="0.75" right="0.75" top="1" bottom="1" header="0.5" footer="0.5"/>
      <pageSetup orientation="portrait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1">
    <mergeCell ref="B19:E19"/>
  </mergeCells>
  <phoneticPr fontId="0" type="noConversion"/>
  <pageMargins left="0.75" right="0.75" top="1" bottom="1" header="0.5" footer="0.5"/>
  <pageSetup orientation="portrait" r:id="rId2"/>
  <headerFooter alignWithMargins="0"/>
  <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>
    <tabColor rgb="FF92D050"/>
  </sheetPr>
  <dimension ref="B2:M16"/>
  <sheetViews>
    <sheetView workbookViewId="0">
      <selection activeCell="H28" sqref="H28"/>
    </sheetView>
  </sheetViews>
  <sheetFormatPr baseColWidth="10" defaultColWidth="8.88671875" defaultRowHeight="13.2"/>
  <cols>
    <col min="1" max="1" width="2.88671875" customWidth="1"/>
    <col min="2" max="2" width="13.109375" bestFit="1" customWidth="1"/>
    <col min="3" max="3" width="5.6640625" bestFit="1" customWidth="1"/>
    <col min="4" max="4" width="12" bestFit="1" customWidth="1"/>
    <col min="5" max="5" width="14.5546875" bestFit="1" customWidth="1"/>
    <col min="6" max="6" width="13.6640625" bestFit="1" customWidth="1"/>
    <col min="7" max="7" width="5.44140625" bestFit="1" customWidth="1"/>
    <col min="8" max="8" width="14.6640625" bestFit="1" customWidth="1"/>
    <col min="9" max="9" width="14.33203125" bestFit="1" customWidth="1"/>
    <col min="10" max="10" width="21" bestFit="1" customWidth="1"/>
    <col min="11" max="11" width="16" bestFit="1" customWidth="1"/>
    <col min="12" max="12" width="16.109375" bestFit="1" customWidth="1"/>
  </cols>
  <sheetData>
    <row r="2" spans="2:13" ht="13.8" thickBot="1">
      <c r="B2" s="802" t="s">
        <v>1029</v>
      </c>
      <c r="C2" s="802"/>
    </row>
    <row r="3" spans="2:13">
      <c r="B3" s="761">
        <v>29</v>
      </c>
      <c r="C3" s="762">
        <f>B3/25.4</f>
        <v>1.1417322834645669</v>
      </c>
    </row>
    <row r="4" spans="2:13">
      <c r="B4" s="763">
        <v>38</v>
      </c>
      <c r="C4" s="764">
        <f>B4/25.4</f>
        <v>1.4960629921259843</v>
      </c>
    </row>
    <row r="5" spans="2:13">
      <c r="B5" s="763">
        <v>54</v>
      </c>
      <c r="C5" s="764">
        <f>B5/25.4</f>
        <v>2.1259842519685042</v>
      </c>
    </row>
    <row r="6" spans="2:13">
      <c r="B6" s="763">
        <v>75</v>
      </c>
      <c r="C6" s="764">
        <f>B6/25.4</f>
        <v>2.9527559055118111</v>
      </c>
    </row>
    <row r="7" spans="2:13">
      <c r="B7" s="763">
        <v>98</v>
      </c>
      <c r="C7" s="764">
        <f>B7/25.4</f>
        <v>3.8582677165354333</v>
      </c>
    </row>
    <row r="10" spans="2:13">
      <c r="B10" s="151" t="s">
        <v>630</v>
      </c>
      <c r="C10" s="151" t="s">
        <v>60</v>
      </c>
      <c r="D10" s="151" t="s">
        <v>638</v>
      </c>
      <c r="E10" s="151" t="s">
        <v>636</v>
      </c>
      <c r="F10" s="151" t="s">
        <v>637</v>
      </c>
      <c r="G10" s="151" t="s">
        <v>631</v>
      </c>
      <c r="H10" s="151" t="s">
        <v>635</v>
      </c>
      <c r="I10" s="151" t="s">
        <v>639</v>
      </c>
      <c r="J10" s="151" t="s">
        <v>640</v>
      </c>
      <c r="K10" s="151" t="s">
        <v>641</v>
      </c>
      <c r="L10" s="151" t="s">
        <v>646</v>
      </c>
      <c r="M10" s="151" t="s">
        <v>632</v>
      </c>
    </row>
    <row r="11" spans="2:13">
      <c r="B11" t="s">
        <v>633</v>
      </c>
      <c r="C11" s="8" t="s">
        <v>70</v>
      </c>
      <c r="D11">
        <v>226</v>
      </c>
      <c r="E11">
        <v>29</v>
      </c>
      <c r="F11">
        <v>203</v>
      </c>
      <c r="G11" s="8" t="s">
        <v>634</v>
      </c>
      <c r="H11" s="8">
        <v>1.7</v>
      </c>
      <c r="I11" s="8">
        <v>152</v>
      </c>
      <c r="J11" s="8">
        <v>121</v>
      </c>
      <c r="K11" s="8">
        <v>211</v>
      </c>
      <c r="L11">
        <f>K11-J11</f>
        <v>90</v>
      </c>
      <c r="M11" t="s">
        <v>642</v>
      </c>
    </row>
    <row r="12" spans="2:13">
      <c r="E12">
        <v>38</v>
      </c>
      <c r="F12">
        <v>203</v>
      </c>
      <c r="M12" t="s">
        <v>643</v>
      </c>
    </row>
    <row r="13" spans="2:13">
      <c r="E13">
        <v>38</v>
      </c>
      <c r="F13">
        <v>356</v>
      </c>
    </row>
    <row r="14" spans="2:13">
      <c r="E14">
        <v>54</v>
      </c>
      <c r="F14">
        <v>218</v>
      </c>
    </row>
    <row r="15" spans="2:13">
      <c r="E15">
        <v>75</v>
      </c>
    </row>
    <row r="16" spans="2:13">
      <c r="E16">
        <v>98</v>
      </c>
    </row>
  </sheetData>
  <mergeCells count="1">
    <mergeCell ref="B2:C2"/>
  </mergeCells>
  <pageMargins left="0.7" right="0.7" top="0.75" bottom="0.75" header="0.3" footer="0.3"/>
  <pageSetup orientation="portrait" r:id="rId1"/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">
    <tabColor rgb="FF92D050"/>
  </sheetPr>
  <dimension ref="A2:H27"/>
  <sheetViews>
    <sheetView showGridLines="0" topLeftCell="C4" workbookViewId="0">
      <selection activeCell="C13" sqref="C13:F15"/>
    </sheetView>
  </sheetViews>
  <sheetFormatPr baseColWidth="10" defaultColWidth="8.88671875" defaultRowHeight="13.2"/>
  <cols>
    <col min="1" max="1" width="8.88671875" hidden="1" customWidth="1"/>
    <col min="2" max="2" width="0" hidden="1" customWidth="1"/>
  </cols>
  <sheetData>
    <row r="2" spans="1:8" ht="13.8" thickBot="1"/>
    <row r="3" spans="1:8" ht="13.8">
      <c r="C3" s="803" t="s">
        <v>59</v>
      </c>
      <c r="D3" s="804"/>
      <c r="E3" s="804"/>
      <c r="F3" s="805"/>
    </row>
    <row r="4" spans="1:8" ht="13.8">
      <c r="C4" s="365" t="s">
        <v>60</v>
      </c>
      <c r="D4" s="806" t="s">
        <v>61</v>
      </c>
      <c r="E4" s="807"/>
      <c r="F4" s="808"/>
    </row>
    <row r="5" spans="1:8" ht="13.8">
      <c r="C5" s="366"/>
      <c r="D5" s="809" t="s">
        <v>62</v>
      </c>
      <c r="E5" s="810"/>
      <c r="F5" s="811"/>
    </row>
    <row r="6" spans="1:8" ht="13.8">
      <c r="A6" s="24">
        <v>1.26</v>
      </c>
      <c r="B6" s="367">
        <f>D6</f>
        <v>1.26</v>
      </c>
      <c r="C6" s="368" t="s">
        <v>63</v>
      </c>
      <c r="D6" s="369">
        <v>1.26</v>
      </c>
      <c r="E6" s="370" t="s">
        <v>64</v>
      </c>
      <c r="F6" s="371">
        <v>2.5</v>
      </c>
    </row>
    <row r="7" spans="1:8" ht="13.8">
      <c r="A7" s="24">
        <v>2.5</v>
      </c>
      <c r="B7" s="367">
        <f t="shared" ref="B7:B27" si="0">D7</f>
        <v>2.5</v>
      </c>
      <c r="C7" s="368" t="s">
        <v>65</v>
      </c>
      <c r="D7" s="369">
        <v>2.5</v>
      </c>
      <c r="E7" s="370" t="s">
        <v>64</v>
      </c>
      <c r="F7" s="371">
        <v>5</v>
      </c>
    </row>
    <row r="8" spans="1:8" ht="13.8">
      <c r="A8" s="24">
        <v>5</v>
      </c>
      <c r="B8" s="367">
        <f t="shared" si="0"/>
        <v>5</v>
      </c>
      <c r="C8" s="368" t="s">
        <v>66</v>
      </c>
      <c r="D8" s="369">
        <v>5</v>
      </c>
      <c r="E8" s="370" t="s">
        <v>64</v>
      </c>
      <c r="F8" s="371">
        <v>10</v>
      </c>
    </row>
    <row r="9" spans="1:8" ht="13.8">
      <c r="A9" s="24">
        <v>10</v>
      </c>
      <c r="B9" s="367">
        <f t="shared" si="0"/>
        <v>10</v>
      </c>
      <c r="C9" s="368" t="s">
        <v>53</v>
      </c>
      <c r="D9" s="369">
        <v>10</v>
      </c>
      <c r="E9" s="370" t="s">
        <v>64</v>
      </c>
      <c r="F9" s="371">
        <v>20</v>
      </c>
    </row>
    <row r="10" spans="1:8" ht="13.8">
      <c r="A10" s="24">
        <v>20</v>
      </c>
      <c r="B10" s="367">
        <f t="shared" si="0"/>
        <v>20</v>
      </c>
      <c r="C10" s="368" t="s">
        <v>67</v>
      </c>
      <c r="D10" s="369">
        <v>20</v>
      </c>
      <c r="E10" s="370" t="s">
        <v>64</v>
      </c>
      <c r="F10" s="371">
        <v>40</v>
      </c>
    </row>
    <row r="11" spans="1:8" ht="13.8">
      <c r="A11" s="24">
        <v>40</v>
      </c>
      <c r="B11" s="367">
        <f t="shared" si="0"/>
        <v>40</v>
      </c>
      <c r="C11" s="368" t="s">
        <v>68</v>
      </c>
      <c r="D11" s="369">
        <v>40</v>
      </c>
      <c r="E11" s="370" t="s">
        <v>64</v>
      </c>
      <c r="F11" s="371">
        <v>80</v>
      </c>
    </row>
    <row r="12" spans="1:8" ht="13.8">
      <c r="A12" s="24">
        <v>80</v>
      </c>
      <c r="B12" s="367">
        <f t="shared" si="0"/>
        <v>80</v>
      </c>
      <c r="C12" s="368" t="s">
        <v>69</v>
      </c>
      <c r="D12" s="369">
        <v>80</v>
      </c>
      <c r="E12" s="370" t="s">
        <v>64</v>
      </c>
      <c r="F12" s="371">
        <v>160</v>
      </c>
    </row>
    <row r="13" spans="1:8" ht="13.8">
      <c r="A13" s="24">
        <v>160</v>
      </c>
      <c r="B13" s="367">
        <f t="shared" si="0"/>
        <v>160</v>
      </c>
      <c r="C13" s="368" t="s">
        <v>70</v>
      </c>
      <c r="D13" s="369">
        <v>160</v>
      </c>
      <c r="E13" s="370" t="s">
        <v>64</v>
      </c>
      <c r="F13" s="371">
        <v>320</v>
      </c>
    </row>
    <row r="14" spans="1:8" ht="13.8">
      <c r="A14" s="24">
        <v>320</v>
      </c>
      <c r="B14" s="367">
        <f t="shared" si="0"/>
        <v>320</v>
      </c>
      <c r="C14" s="368" t="s">
        <v>71</v>
      </c>
      <c r="D14" s="369">
        <v>320</v>
      </c>
      <c r="E14" s="370" t="s">
        <v>64</v>
      </c>
      <c r="F14" s="371">
        <v>640</v>
      </c>
    </row>
    <row r="15" spans="1:8" ht="13.8">
      <c r="A15" s="24">
        <v>640</v>
      </c>
      <c r="B15" s="367">
        <f t="shared" si="0"/>
        <v>640</v>
      </c>
      <c r="C15" s="368" t="s">
        <v>72</v>
      </c>
      <c r="D15" s="369">
        <v>640</v>
      </c>
      <c r="E15" s="370" t="s">
        <v>64</v>
      </c>
      <c r="F15" s="371">
        <v>1280</v>
      </c>
    </row>
    <row r="16" spans="1:8" ht="13.8">
      <c r="A16" s="24">
        <v>1280</v>
      </c>
      <c r="B16" s="367">
        <f t="shared" si="0"/>
        <v>1280</v>
      </c>
      <c r="C16" s="368" t="s">
        <v>73</v>
      </c>
      <c r="D16" s="369">
        <v>1280</v>
      </c>
      <c r="E16" s="370" t="s">
        <v>64</v>
      </c>
      <c r="F16" s="371">
        <v>2560</v>
      </c>
      <c r="H16" s="4"/>
    </row>
    <row r="17" spans="1:6" ht="13.8">
      <c r="A17" s="24">
        <v>2560</v>
      </c>
      <c r="B17" s="367">
        <f t="shared" si="0"/>
        <v>2560</v>
      </c>
      <c r="C17" s="368" t="s">
        <v>46</v>
      </c>
      <c r="D17" s="369">
        <v>2560</v>
      </c>
      <c r="E17" s="370" t="s">
        <v>64</v>
      </c>
      <c r="F17" s="371">
        <v>5120</v>
      </c>
    </row>
    <row r="18" spans="1:6" ht="13.8">
      <c r="A18" s="24">
        <v>5120</v>
      </c>
      <c r="B18" s="367">
        <f t="shared" si="0"/>
        <v>5120</v>
      </c>
      <c r="C18" s="368" t="s">
        <v>74</v>
      </c>
      <c r="D18" s="369">
        <v>5120</v>
      </c>
      <c r="E18" s="370" t="s">
        <v>64</v>
      </c>
      <c r="F18" s="371">
        <v>10240</v>
      </c>
    </row>
    <row r="19" spans="1:6" ht="13.8">
      <c r="A19" s="24">
        <v>10240</v>
      </c>
      <c r="B19" s="367">
        <f t="shared" si="0"/>
        <v>10240</v>
      </c>
      <c r="C19" s="368" t="s">
        <v>11</v>
      </c>
      <c r="D19" s="369">
        <v>10240</v>
      </c>
      <c r="E19" s="370" t="s">
        <v>64</v>
      </c>
      <c r="F19" s="371">
        <v>20480</v>
      </c>
    </row>
    <row r="20" spans="1:6" ht="13.8">
      <c r="A20" s="24">
        <v>20480</v>
      </c>
      <c r="B20" s="367">
        <f t="shared" si="0"/>
        <v>20480</v>
      </c>
      <c r="C20" s="368" t="s">
        <v>75</v>
      </c>
      <c r="D20" s="369">
        <v>20480</v>
      </c>
      <c r="E20" s="370" t="s">
        <v>64</v>
      </c>
      <c r="F20" s="371">
        <v>40960</v>
      </c>
    </row>
    <row r="21" spans="1:6" ht="13.8">
      <c r="A21" s="24">
        <v>40960</v>
      </c>
      <c r="B21" s="367">
        <f t="shared" si="0"/>
        <v>40960</v>
      </c>
      <c r="C21" s="368" t="s">
        <v>76</v>
      </c>
      <c r="D21" s="369">
        <v>40960</v>
      </c>
      <c r="E21" s="370" t="s">
        <v>64</v>
      </c>
      <c r="F21" s="371">
        <v>81920</v>
      </c>
    </row>
    <row r="22" spans="1:6" ht="13.8">
      <c r="A22" s="24">
        <v>81920</v>
      </c>
      <c r="B22" s="367">
        <f t="shared" si="0"/>
        <v>81920</v>
      </c>
      <c r="C22" s="368" t="s">
        <v>77</v>
      </c>
      <c r="D22" s="369">
        <f t="shared" ref="D22:D27" si="1">F21</f>
        <v>81920</v>
      </c>
      <c r="E22" s="370" t="s">
        <v>64</v>
      </c>
      <c r="F22" s="371">
        <f t="shared" ref="F22:F27" si="2">2*F21</f>
        <v>163840</v>
      </c>
    </row>
    <row r="23" spans="1:6" ht="13.8">
      <c r="B23" s="367">
        <f t="shared" si="0"/>
        <v>163840</v>
      </c>
      <c r="C23" s="368" t="s">
        <v>359</v>
      </c>
      <c r="D23" s="369">
        <f t="shared" si="1"/>
        <v>163840</v>
      </c>
      <c r="E23" s="370" t="s">
        <v>64</v>
      </c>
      <c r="F23" s="371">
        <f t="shared" si="2"/>
        <v>327680</v>
      </c>
    </row>
    <row r="24" spans="1:6" ht="13.8">
      <c r="B24" s="367">
        <f t="shared" si="0"/>
        <v>327680</v>
      </c>
      <c r="C24" s="368" t="s">
        <v>360</v>
      </c>
      <c r="D24" s="369">
        <f t="shared" si="1"/>
        <v>327680</v>
      </c>
      <c r="E24" s="370" t="s">
        <v>64</v>
      </c>
      <c r="F24" s="371">
        <f t="shared" si="2"/>
        <v>655360</v>
      </c>
    </row>
    <row r="25" spans="1:6" ht="13.8">
      <c r="B25" s="367">
        <f t="shared" si="0"/>
        <v>655360</v>
      </c>
      <c r="C25" s="368" t="s">
        <v>361</v>
      </c>
      <c r="D25" s="369">
        <f t="shared" si="1"/>
        <v>655360</v>
      </c>
      <c r="E25" s="370" t="s">
        <v>64</v>
      </c>
      <c r="F25" s="371">
        <f t="shared" si="2"/>
        <v>1310720</v>
      </c>
    </row>
    <row r="26" spans="1:6" ht="13.8">
      <c r="B26" s="367">
        <f t="shared" si="0"/>
        <v>1310720</v>
      </c>
      <c r="C26" s="368" t="s">
        <v>362</v>
      </c>
      <c r="D26" s="369">
        <f t="shared" si="1"/>
        <v>1310720</v>
      </c>
      <c r="E26" s="370" t="s">
        <v>64</v>
      </c>
      <c r="F26" s="371">
        <f t="shared" si="2"/>
        <v>2621440</v>
      </c>
    </row>
    <row r="27" spans="1:6" ht="14.4" thickBot="1">
      <c r="B27" s="367">
        <f t="shared" si="0"/>
        <v>2621440</v>
      </c>
      <c r="C27" s="372" t="s">
        <v>363</v>
      </c>
      <c r="D27" s="373">
        <f t="shared" si="1"/>
        <v>2621440</v>
      </c>
      <c r="E27" s="374" t="s">
        <v>64</v>
      </c>
      <c r="F27" s="375">
        <f t="shared" si="2"/>
        <v>5242880</v>
      </c>
    </row>
  </sheetData>
  <sheetProtection password="C7BC" sheet="1"/>
  <customSheetViews>
    <customSheetView guid="{136183A0-5E83-4B15-A2A6-F3C23DCC406A}" showGridLines="0" hiddenColumns="1" topLeftCell="B1">
      <selection activeCell="G53" sqref="G53"/>
      <pageMargins left="0.75" right="0.75" top="1" bottom="1" header="0.5" footer="0.5"/>
      <pageSetup orientation="portrait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3">
    <mergeCell ref="C3:F3"/>
    <mergeCell ref="D4:F4"/>
    <mergeCell ref="D5:F5"/>
  </mergeCells>
  <phoneticPr fontId="0" type="noConversion"/>
  <pageMargins left="0.75" right="0.75" top="1" bottom="1" header="0.5" footer="0.5"/>
  <pageSetup orientation="portrait" r:id="rId2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2">
    <tabColor rgb="FFFFC000"/>
  </sheetPr>
  <dimension ref="B3:L26"/>
  <sheetViews>
    <sheetView showGridLines="0" zoomScaleNormal="100" workbookViewId="0">
      <selection activeCell="J16" sqref="J16"/>
    </sheetView>
  </sheetViews>
  <sheetFormatPr baseColWidth="10" defaultColWidth="8.88671875" defaultRowHeight="13.2"/>
  <cols>
    <col min="1" max="1" width="4.88671875" customWidth="1"/>
    <col min="2" max="2" width="26.6640625" customWidth="1"/>
    <col min="3" max="3" width="6.6640625" customWidth="1"/>
    <col min="4" max="4" width="8.109375" customWidth="1"/>
    <col min="5" max="5" width="5.44140625" customWidth="1"/>
    <col min="6" max="6" width="13.33203125" customWidth="1"/>
    <col min="7" max="7" width="12.44140625" customWidth="1"/>
    <col min="8" max="9" width="11.6640625" customWidth="1"/>
    <col min="10" max="10" width="11" customWidth="1"/>
    <col min="11" max="11" width="10.5546875" customWidth="1"/>
    <col min="12" max="12" width="9.109375" customWidth="1"/>
    <col min="13" max="13" width="13.33203125" customWidth="1"/>
  </cols>
  <sheetData>
    <row r="3" spans="2:12">
      <c r="B3" s="76" t="s">
        <v>199</v>
      </c>
      <c r="D3" s="39"/>
      <c r="E3" s="39"/>
    </row>
    <row r="6" spans="2:12">
      <c r="B6" s="812" t="s">
        <v>135</v>
      </c>
      <c r="C6" s="813"/>
      <c r="D6" s="813"/>
      <c r="E6" s="813"/>
      <c r="F6" s="813"/>
      <c r="G6" s="813"/>
      <c r="H6" s="813"/>
      <c r="I6" s="813"/>
      <c r="J6" s="813"/>
      <c r="K6" s="813"/>
      <c r="L6" s="814"/>
    </row>
    <row r="7" spans="2:12">
      <c r="B7" s="283" t="s">
        <v>111</v>
      </c>
      <c r="C7" s="363"/>
      <c r="D7" s="43"/>
      <c r="E7" s="43"/>
      <c r="F7" s="14"/>
      <c r="G7" s="14"/>
      <c r="H7" s="14"/>
      <c r="I7" s="363"/>
      <c r="J7" s="364"/>
      <c r="K7" s="364"/>
      <c r="L7" s="364"/>
    </row>
    <row r="8" spans="2:12" ht="13.8" thickBot="1">
      <c r="B8" s="284"/>
      <c r="C8" s="46" t="s">
        <v>136</v>
      </c>
      <c r="D8" s="46" t="s">
        <v>137</v>
      </c>
      <c r="E8" s="46" t="s">
        <v>138</v>
      </c>
      <c r="F8" s="211" t="s">
        <v>365</v>
      </c>
      <c r="G8" s="211" t="s">
        <v>364</v>
      </c>
      <c r="H8" s="211" t="s">
        <v>366</v>
      </c>
      <c r="I8" s="278" t="s">
        <v>471</v>
      </c>
      <c r="J8" s="285" t="s">
        <v>472</v>
      </c>
      <c r="K8" s="285" t="s">
        <v>535</v>
      </c>
      <c r="L8" s="285" t="s">
        <v>519</v>
      </c>
    </row>
    <row r="9" spans="2:12" ht="15.6">
      <c r="B9" s="286" t="s">
        <v>316</v>
      </c>
      <c r="C9" s="45" t="s">
        <v>29</v>
      </c>
      <c r="D9" s="12" t="s">
        <v>27</v>
      </c>
      <c r="E9" s="48" t="s">
        <v>142</v>
      </c>
      <c r="F9" s="12">
        <v>1.879</v>
      </c>
      <c r="G9" s="61">
        <v>1.841</v>
      </c>
      <c r="H9" s="233">
        <v>1.889</v>
      </c>
      <c r="I9" s="292">
        <v>1.82</v>
      </c>
      <c r="J9" s="287">
        <v>1.8540000000000001</v>
      </c>
      <c r="K9" s="287">
        <v>1.9419999999999999</v>
      </c>
      <c r="L9" s="287">
        <v>1.923</v>
      </c>
    </row>
    <row r="10" spans="2:12">
      <c r="B10" s="288" t="s">
        <v>313</v>
      </c>
      <c r="C10" s="13" t="s">
        <v>110</v>
      </c>
      <c r="D10" s="44" t="s">
        <v>64</v>
      </c>
      <c r="E10" s="47" t="s">
        <v>139</v>
      </c>
      <c r="F10" s="295">
        <v>1.1308</v>
      </c>
      <c r="G10" s="294">
        <v>1.137</v>
      </c>
      <c r="H10" s="62">
        <v>1.133</v>
      </c>
      <c r="I10" s="294">
        <v>1.1399999999999999</v>
      </c>
      <c r="J10" s="293">
        <v>1.1363000000000001</v>
      </c>
      <c r="K10" s="293">
        <f>ks_dx</f>
        <v>1.1308</v>
      </c>
      <c r="L10" s="293">
        <v>1.163</v>
      </c>
    </row>
    <row r="11" spans="2:12">
      <c r="B11" s="288" t="s">
        <v>121</v>
      </c>
      <c r="C11" s="13" t="s">
        <v>74</v>
      </c>
      <c r="D11" s="13" t="s">
        <v>115</v>
      </c>
      <c r="E11" s="47" t="s">
        <v>140</v>
      </c>
      <c r="F11" s="13">
        <v>42.42</v>
      </c>
      <c r="G11" s="279">
        <v>39.9</v>
      </c>
      <c r="H11" s="62">
        <v>42.02</v>
      </c>
      <c r="I11" s="62">
        <v>38.58</v>
      </c>
      <c r="J11" s="296">
        <v>39.826000000000001</v>
      </c>
      <c r="K11" s="296">
        <f>m_dx</f>
        <v>42.42</v>
      </c>
      <c r="L11" s="296">
        <v>36.39</v>
      </c>
    </row>
    <row r="12" spans="2:12" ht="13.8" thickBot="1">
      <c r="B12" s="289" t="s">
        <v>120</v>
      </c>
      <c r="C12" s="16" t="s">
        <v>117</v>
      </c>
      <c r="D12" s="16" t="s">
        <v>73</v>
      </c>
      <c r="E12" s="46" t="s">
        <v>141</v>
      </c>
      <c r="F12" s="16">
        <v>1710</v>
      </c>
      <c r="G12" s="290">
        <v>1600</v>
      </c>
      <c r="H12" s="290">
        <v>1720</v>
      </c>
      <c r="I12" s="290">
        <v>1608</v>
      </c>
      <c r="J12" s="291">
        <v>1616</v>
      </c>
      <c r="K12" s="291">
        <f>to_dx</f>
        <v>1710</v>
      </c>
      <c r="L12" s="291">
        <v>1858</v>
      </c>
    </row>
    <row r="13" spans="2:12">
      <c r="J13" s="2"/>
      <c r="K13" s="2"/>
    </row>
    <row r="14" spans="2:12">
      <c r="B14" s="103"/>
      <c r="C14" s="128" t="s">
        <v>314</v>
      </c>
      <c r="D14" s="129" t="s">
        <v>142</v>
      </c>
      <c r="E14" s="129" t="s">
        <v>525</v>
      </c>
      <c r="F14" s="103"/>
      <c r="G14" s="103"/>
      <c r="J14" s="2"/>
      <c r="K14" s="2"/>
    </row>
    <row r="15" spans="2:12">
      <c r="B15" s="103"/>
      <c r="C15" s="128"/>
      <c r="D15" s="129" t="s">
        <v>139</v>
      </c>
      <c r="E15" s="129" t="s">
        <v>526</v>
      </c>
      <c r="F15" s="103"/>
      <c r="G15" s="103"/>
      <c r="J15" s="2"/>
      <c r="K15" s="2"/>
    </row>
    <row r="16" spans="2:12">
      <c r="B16" s="103"/>
      <c r="C16" s="103"/>
      <c r="D16" s="129" t="s">
        <v>140</v>
      </c>
      <c r="E16" s="129" t="s">
        <v>318</v>
      </c>
      <c r="F16" s="103"/>
      <c r="G16" s="103"/>
      <c r="J16" s="2"/>
      <c r="K16" s="2"/>
    </row>
    <row r="17" spans="2:11">
      <c r="B17" s="103"/>
      <c r="C17" s="103"/>
      <c r="D17" s="129" t="s">
        <v>141</v>
      </c>
      <c r="E17" s="129" t="s">
        <v>317</v>
      </c>
      <c r="F17" s="103"/>
      <c r="G17" s="103"/>
      <c r="J17" s="2"/>
      <c r="K17" s="2"/>
    </row>
    <row r="18" spans="2:11">
      <c r="B18" s="103"/>
      <c r="C18" s="103"/>
      <c r="D18" s="129"/>
      <c r="E18" s="130"/>
      <c r="F18" s="103"/>
      <c r="G18" s="103"/>
      <c r="J18" s="2"/>
      <c r="K18" s="2"/>
    </row>
    <row r="19" spans="2:11">
      <c r="B19" s="103"/>
      <c r="C19" s="103"/>
      <c r="D19" s="129"/>
      <c r="E19" s="130"/>
      <c r="F19" s="103"/>
      <c r="G19" s="103"/>
      <c r="J19" s="2"/>
      <c r="K19" s="2"/>
    </row>
    <row r="20" spans="2:11">
      <c r="B20" s="103"/>
      <c r="C20" s="130" t="s">
        <v>315</v>
      </c>
      <c r="D20" s="129" t="s">
        <v>398</v>
      </c>
      <c r="E20" s="130"/>
      <c r="F20" s="103"/>
      <c r="G20" s="103"/>
      <c r="J20" s="2"/>
      <c r="K20" s="2"/>
    </row>
    <row r="21" spans="2:11">
      <c r="B21" s="103"/>
      <c r="C21" s="128"/>
      <c r="D21" s="129" t="s">
        <v>399</v>
      </c>
      <c r="E21" s="130"/>
      <c r="F21" s="103"/>
      <c r="G21" s="103"/>
      <c r="J21" s="2"/>
      <c r="K21" s="2"/>
    </row>
    <row r="22" spans="2:11">
      <c r="B22" s="103"/>
      <c r="C22" s="103"/>
      <c r="D22" s="129" t="s">
        <v>400</v>
      </c>
      <c r="E22" s="103"/>
      <c r="F22" s="103"/>
      <c r="G22" s="103"/>
      <c r="J22" s="2"/>
      <c r="K22" s="2"/>
    </row>
    <row r="23" spans="2:11">
      <c r="D23" s="129" t="s">
        <v>474</v>
      </c>
    </row>
    <row r="24" spans="2:11">
      <c r="D24" s="129" t="s">
        <v>473</v>
      </c>
    </row>
    <row r="25" spans="2:11">
      <c r="D25" s="129" t="s">
        <v>536</v>
      </c>
    </row>
    <row r="26" spans="2:11">
      <c r="D26" s="129" t="s">
        <v>520</v>
      </c>
    </row>
  </sheetData>
  <sheetProtection password="C7BC" sheet="1"/>
  <customSheetViews>
    <customSheetView guid="{136183A0-5E83-4B15-A2A6-F3C23DCC406A}" showGridLines="0">
      <selection activeCell="G53" sqref="G53"/>
      <pageMargins left="0.75" right="0.75" top="1" bottom="1" header="0.5" footer="0.5"/>
      <pageSetup orientation="portrait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1">
    <mergeCell ref="B6:L6"/>
  </mergeCells>
  <phoneticPr fontId="0" type="noConversion"/>
  <pageMargins left="0.75" right="0.75" top="1" bottom="1" header="0.5" footer="0.5"/>
  <pageSetup orientation="portrait" r:id="rId2"/>
  <headerFooter alignWithMargins="0"/>
  <legacyDrawing r:id="rId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3">
    <tabColor rgb="FFFFC000"/>
  </sheetPr>
  <dimension ref="B2:AJ107"/>
  <sheetViews>
    <sheetView showGridLines="0" topLeftCell="A32" zoomScaleNormal="100" workbookViewId="0">
      <selection activeCell="B30" sqref="B30:K30"/>
    </sheetView>
  </sheetViews>
  <sheetFormatPr baseColWidth="10" defaultColWidth="8.88671875" defaultRowHeight="13.2"/>
  <cols>
    <col min="1" max="1" width="9" customWidth="1"/>
    <col min="2" max="2" width="7.109375" customWidth="1"/>
    <col min="3" max="3" width="4.109375" customWidth="1"/>
    <col min="4" max="4" width="7.5546875" customWidth="1"/>
    <col min="5" max="5" width="9.109375" customWidth="1"/>
    <col min="6" max="6" width="10.88671875" customWidth="1"/>
    <col min="7" max="7" width="7.88671875" customWidth="1"/>
    <col min="8" max="8" width="4.109375" customWidth="1"/>
    <col min="9" max="9" width="7.44140625" customWidth="1"/>
    <col min="10" max="11" width="9.109375" customWidth="1"/>
    <col min="12" max="12" width="22.109375" customWidth="1"/>
  </cols>
  <sheetData>
    <row r="2" spans="2:36">
      <c r="B2" s="76" t="s">
        <v>200</v>
      </c>
    </row>
    <row r="4" spans="2:36">
      <c r="L4" s="8"/>
    </row>
    <row r="5" spans="2:36">
      <c r="B5" s="823" t="s">
        <v>365</v>
      </c>
      <c r="C5" s="824"/>
      <c r="D5" s="824"/>
      <c r="E5" s="824"/>
      <c r="F5" s="824"/>
      <c r="G5" s="824"/>
      <c r="H5" s="824"/>
      <c r="I5" s="824"/>
      <c r="J5" s="824"/>
      <c r="K5" s="825"/>
      <c r="L5" s="8"/>
      <c r="M5" s="92">
        <v>0.25</v>
      </c>
      <c r="N5" s="92">
        <f>M69</f>
        <v>0</v>
      </c>
      <c r="O5" s="92"/>
      <c r="P5" s="92"/>
      <c r="Q5" s="92"/>
      <c r="R5" s="57">
        <v>0.25</v>
      </c>
      <c r="S5" s="57">
        <f>R69</f>
        <v>8.9440000000000026</v>
      </c>
      <c r="T5" s="57"/>
      <c r="U5" s="57"/>
    </row>
    <row r="6" spans="2:36">
      <c r="B6" s="818"/>
      <c r="C6" s="818"/>
      <c r="D6" s="818"/>
      <c r="E6" s="25" t="s">
        <v>80</v>
      </c>
      <c r="F6" s="25" t="s">
        <v>81</v>
      </c>
      <c r="G6" s="818"/>
      <c r="H6" s="818"/>
      <c r="I6" s="818"/>
      <c r="J6" s="25" t="s">
        <v>80</v>
      </c>
      <c r="K6" s="25" t="s">
        <v>81</v>
      </c>
      <c r="M6" s="92"/>
      <c r="N6" s="92"/>
      <c r="O6" s="92"/>
      <c r="P6" s="92"/>
      <c r="Q6" s="92"/>
      <c r="R6" s="57"/>
      <c r="S6" s="57"/>
      <c r="T6" s="57"/>
      <c r="U6" s="57"/>
    </row>
    <row r="7" spans="2:36" ht="13.8" thickBot="1">
      <c r="B7" s="819" t="s">
        <v>82</v>
      </c>
      <c r="C7" s="819"/>
      <c r="D7" s="819"/>
      <c r="E7" s="819" t="s">
        <v>83</v>
      </c>
      <c r="F7" s="819"/>
      <c r="G7" s="819" t="s">
        <v>84</v>
      </c>
      <c r="H7" s="819"/>
      <c r="I7" s="819"/>
      <c r="J7" s="819" t="s">
        <v>85</v>
      </c>
      <c r="K7" s="819"/>
      <c r="M7" s="92"/>
      <c r="N7" s="92"/>
      <c r="O7" s="92"/>
      <c r="P7" s="92"/>
      <c r="Q7" s="92"/>
      <c r="R7" s="57"/>
      <c r="S7" s="57"/>
      <c r="T7" s="57" t="s">
        <v>401</v>
      </c>
      <c r="U7" s="57"/>
      <c r="V7" s="57"/>
      <c r="W7" s="57" t="s">
        <v>402</v>
      </c>
      <c r="X7" s="57"/>
      <c r="Y7" s="57"/>
      <c r="Z7" s="57" t="s">
        <v>366</v>
      </c>
      <c r="AA7" s="57"/>
      <c r="AB7" s="57"/>
      <c r="AC7" s="57" t="s">
        <v>471</v>
      </c>
      <c r="AD7" s="57"/>
      <c r="AE7" s="57"/>
      <c r="AF7" s="57" t="s">
        <v>519</v>
      </c>
      <c r="AG7" s="57"/>
      <c r="AH7" s="57"/>
      <c r="AI7" s="57" t="s">
        <v>535</v>
      </c>
      <c r="AJ7" s="57"/>
    </row>
    <row r="8" spans="2:36" ht="13.8" thickTop="1">
      <c r="B8" s="26">
        <v>14.7</v>
      </c>
      <c r="C8" s="27" t="s">
        <v>86</v>
      </c>
      <c r="D8" s="28">
        <v>113</v>
      </c>
      <c r="E8" s="312">
        <v>1.6023622047244095E-2</v>
      </c>
      <c r="F8" s="29">
        <v>0.61929999999999996</v>
      </c>
      <c r="G8" s="30">
        <v>0.1</v>
      </c>
      <c r="H8" s="27" t="s">
        <v>86</v>
      </c>
      <c r="I8" s="31">
        <v>0.77913500000000002</v>
      </c>
      <c r="J8" s="29">
        <v>8.8754449677853557</v>
      </c>
      <c r="K8" s="29">
        <v>0.61929999999999996</v>
      </c>
      <c r="M8" s="225" t="s">
        <v>87</v>
      </c>
      <c r="N8" s="225" t="s">
        <v>80</v>
      </c>
      <c r="O8" s="225" t="s">
        <v>81</v>
      </c>
      <c r="P8" s="225" t="s">
        <v>88</v>
      </c>
      <c r="Q8" s="92"/>
      <c r="R8" s="89" t="s">
        <v>87</v>
      </c>
      <c r="S8" s="89" t="s">
        <v>80</v>
      </c>
      <c r="T8" s="89" t="s">
        <v>81</v>
      </c>
      <c r="U8" s="89" t="s">
        <v>88</v>
      </c>
      <c r="V8" s="89" t="s">
        <v>80</v>
      </c>
      <c r="W8" s="89" t="s">
        <v>81</v>
      </c>
      <c r="X8" s="89" t="s">
        <v>88</v>
      </c>
      <c r="Y8" s="89" t="s">
        <v>80</v>
      </c>
      <c r="Z8" s="89" t="s">
        <v>81</v>
      </c>
      <c r="AA8" s="89" t="s">
        <v>88</v>
      </c>
      <c r="AB8" s="89" t="s">
        <v>80</v>
      </c>
      <c r="AC8" s="89" t="s">
        <v>81</v>
      </c>
      <c r="AD8" s="89" t="s">
        <v>88</v>
      </c>
      <c r="AE8" s="89" t="s">
        <v>80</v>
      </c>
      <c r="AF8" s="89" t="s">
        <v>81</v>
      </c>
      <c r="AG8" s="89" t="s">
        <v>88</v>
      </c>
      <c r="AH8" s="89" t="s">
        <v>80</v>
      </c>
      <c r="AI8" s="89" t="s">
        <v>81</v>
      </c>
      <c r="AJ8" s="89" t="s">
        <v>88</v>
      </c>
    </row>
    <row r="9" spans="2:36">
      <c r="B9" s="32">
        <v>113</v>
      </c>
      <c r="C9" s="33" t="s">
        <v>86</v>
      </c>
      <c r="D9" s="34">
        <v>373</v>
      </c>
      <c r="E9" s="313">
        <v>0.31051181102362202</v>
      </c>
      <c r="F9" s="35">
        <v>-8.6999999999999994E-3</v>
      </c>
      <c r="G9" s="36">
        <v>0.77913500000000002</v>
      </c>
      <c r="H9" s="33" t="s">
        <v>86</v>
      </c>
      <c r="I9" s="37">
        <v>2.5718350000000001</v>
      </c>
      <c r="J9" s="35">
        <v>7.5527844238794399</v>
      </c>
      <c r="K9" s="35">
        <v>-8.6999999999999994E-3</v>
      </c>
      <c r="M9" s="92">
        <v>0.1</v>
      </c>
      <c r="N9" s="92">
        <f>VLOOKUP($M9,kndxbn_,4,TRUE)</f>
        <v>8.8754449677853557</v>
      </c>
      <c r="O9" s="92">
        <f>VLOOKUP($M9,kndxbn_,5,TRUE)</f>
        <v>0.61929999999999996</v>
      </c>
      <c r="P9" s="92">
        <f>N9*M9^O9</f>
        <v>2.1325053799737348</v>
      </c>
      <c r="Q9" s="92"/>
      <c r="R9" s="57">
        <v>0.10349999999999999</v>
      </c>
      <c r="S9" s="57">
        <f>VLOOKUP($R9,knsobn_,4,TRUE)</f>
        <v>10.707683798033065</v>
      </c>
      <c r="T9" s="57">
        <f>VLOOKUP($R9,knsobn_,5,TRUE)</f>
        <v>0.62470000000000003</v>
      </c>
      <c r="U9" s="57">
        <f>S9*R9^T9</f>
        <v>2.5961439795794132</v>
      </c>
      <c r="V9" s="90">
        <f>$J$28</f>
        <v>5.13</v>
      </c>
      <c r="W9" s="90">
        <f>$K$28</f>
        <v>0.22</v>
      </c>
      <c r="X9" s="57">
        <f>V9*R9^W9</f>
        <v>3.1146140765372103</v>
      </c>
      <c r="Y9" s="90">
        <f>$J$33</f>
        <v>8.26</v>
      </c>
      <c r="Z9" s="90">
        <f>$K$33</f>
        <v>0.31900000000000001</v>
      </c>
      <c r="AA9" s="57">
        <f>Y9*R9^Z9</f>
        <v>4.0063235406169513</v>
      </c>
      <c r="AB9" s="90">
        <f t="shared" ref="AB9:AB40" si="0">am_1</f>
        <v>2.9</v>
      </c>
      <c r="AC9" s="90">
        <f t="shared" ref="AC9:AC40" si="1">nm_1</f>
        <v>0.4</v>
      </c>
      <c r="AD9" s="57">
        <f>AB9*R9^AC9</f>
        <v>1.1705073303177296</v>
      </c>
      <c r="AE9" s="90">
        <f>$J$58</f>
        <v>6.5</v>
      </c>
      <c r="AF9" s="90">
        <f>$K$58</f>
        <v>0.628</v>
      </c>
      <c r="AG9" s="57">
        <f>AE9*R9^AF9</f>
        <v>1.5642130193513473</v>
      </c>
      <c r="AH9" s="90">
        <f>am_4</f>
        <v>7.4</v>
      </c>
      <c r="AI9" s="90">
        <f>nm_4</f>
        <v>0.25</v>
      </c>
      <c r="AJ9" s="57">
        <f>AH9*R9^AI9</f>
        <v>4.1972690333403282</v>
      </c>
    </row>
    <row r="10" spans="2:36">
      <c r="B10" s="32">
        <v>373</v>
      </c>
      <c r="C10" s="33" t="s">
        <v>86</v>
      </c>
      <c r="D10" s="34">
        <v>860</v>
      </c>
      <c r="E10" s="313">
        <v>4.921259842519685E-3</v>
      </c>
      <c r="F10" s="35">
        <v>0.68820000000000003</v>
      </c>
      <c r="G10" s="36">
        <v>2.5718350000000001</v>
      </c>
      <c r="H10" s="33" t="s">
        <v>86</v>
      </c>
      <c r="I10" s="37">
        <v>5.9297000000000004</v>
      </c>
      <c r="J10" s="35">
        <v>3.8408799049960156</v>
      </c>
      <c r="K10" s="35">
        <v>0.68820000000000003</v>
      </c>
      <c r="M10" s="92">
        <f>M9+($M$5-0.1)</f>
        <v>0.25</v>
      </c>
      <c r="N10" s="92">
        <f t="shared" ref="N10:N54" si="2">VLOOKUP($M10,kndxbn_,4,TRUE)</f>
        <v>8.8754449677853557</v>
      </c>
      <c r="O10" s="92">
        <f t="shared" ref="O10:O54" si="3">VLOOKUP($M10,kndxbn_,5,TRUE)</f>
        <v>0.61929999999999996</v>
      </c>
      <c r="P10" s="92">
        <f t="shared" ref="P10:P54" si="4">N10*M10^O10</f>
        <v>3.7612688985091727</v>
      </c>
      <c r="Q10" s="92"/>
      <c r="R10" s="57">
        <f>R9+($M$5-0.103)</f>
        <v>0.2505</v>
      </c>
      <c r="S10" s="57">
        <f t="shared" ref="S10:S73" si="5">VLOOKUP($R10,knsobn_,4,TRUE)</f>
        <v>10.707683798033065</v>
      </c>
      <c r="T10" s="57">
        <f t="shared" ref="T10:T73" si="6">VLOOKUP($R10,knsobn_,5,TRUE)</f>
        <v>0.62470000000000003</v>
      </c>
      <c r="U10" s="57">
        <f>S10*R10^T10</f>
        <v>4.5095242519879797</v>
      </c>
      <c r="V10" s="90">
        <f t="shared" ref="V10:V73" si="7">$J$28</f>
        <v>5.13</v>
      </c>
      <c r="W10" s="90">
        <f t="shared" ref="W10:W73" si="8">$K$28</f>
        <v>0.22</v>
      </c>
      <c r="X10" s="57">
        <f t="shared" ref="X10:X73" si="9">V10*R10^W10</f>
        <v>3.7831631063172546</v>
      </c>
      <c r="Y10" s="90">
        <f t="shared" ref="Y10:Y73" si="10">$J$33</f>
        <v>8.26</v>
      </c>
      <c r="Z10" s="90">
        <f t="shared" ref="Z10:Z73" si="11">$K$33</f>
        <v>0.31900000000000001</v>
      </c>
      <c r="AA10" s="57">
        <f t="shared" ref="AA10:AA73" si="12">Y10*R10^Z10</f>
        <v>5.3112863117496252</v>
      </c>
      <c r="AB10" s="90">
        <f t="shared" si="0"/>
        <v>2.9</v>
      </c>
      <c r="AC10" s="90">
        <f t="shared" si="1"/>
        <v>0.4</v>
      </c>
      <c r="AD10" s="57">
        <f t="shared" ref="AD10:AD73" si="13">AB10*R10^AC10</f>
        <v>1.6669443061951288</v>
      </c>
      <c r="AE10" s="90">
        <f t="shared" ref="AE10:AE73" si="14">$J$58</f>
        <v>6.5</v>
      </c>
      <c r="AF10" s="90">
        <f t="shared" ref="AF10:AF73" si="15">$K$58</f>
        <v>0.628</v>
      </c>
      <c r="AG10" s="57">
        <f t="shared" ref="AG10:AG73" si="16">AE10*R10^AF10</f>
        <v>2.7249881072410118</v>
      </c>
      <c r="AH10" s="90">
        <f>$J$58</f>
        <v>6.5</v>
      </c>
      <c r="AI10" s="90">
        <f>$K$58</f>
        <v>0.628</v>
      </c>
      <c r="AJ10" s="57">
        <f t="shared" ref="AJ10:AJ73" si="17">AH10*R10^AI10</f>
        <v>2.7249881072410118</v>
      </c>
    </row>
    <row r="11" spans="2:36">
      <c r="B11" s="32">
        <v>860</v>
      </c>
      <c r="C11" s="33" t="s">
        <v>86</v>
      </c>
      <c r="D11" s="34">
        <v>1233</v>
      </c>
      <c r="E11" s="313">
        <v>1.415511811023622</v>
      </c>
      <c r="F11" s="35">
        <v>-0.14810000000000001</v>
      </c>
      <c r="G11" s="36">
        <v>5.9297000000000004</v>
      </c>
      <c r="H11" s="33" t="s">
        <v>86</v>
      </c>
      <c r="I11" s="37">
        <v>8.5015350000000005</v>
      </c>
      <c r="J11" s="19">
        <v>17.20418640980624</v>
      </c>
      <c r="K11" s="35">
        <v>-0.14810000000000001</v>
      </c>
      <c r="M11" s="92">
        <f t="shared" ref="M11:M25" si="18">M10+$M$5</f>
        <v>0.5</v>
      </c>
      <c r="N11" s="92">
        <f t="shared" si="2"/>
        <v>8.8754449677853557</v>
      </c>
      <c r="O11" s="92">
        <f t="shared" si="3"/>
        <v>0.61929999999999996</v>
      </c>
      <c r="P11" s="92">
        <f t="shared" si="4"/>
        <v>5.7777967355870876</v>
      </c>
      <c r="Q11" s="92"/>
      <c r="R11" s="57">
        <f t="shared" ref="R11:R54" si="19">R10+($M$5-0.103)</f>
        <v>0.39750000000000002</v>
      </c>
      <c r="S11" s="57">
        <f t="shared" si="5"/>
        <v>10.707683798033065</v>
      </c>
      <c r="T11" s="57">
        <f t="shared" si="6"/>
        <v>0.62470000000000003</v>
      </c>
      <c r="U11" s="57">
        <f t="shared" ref="U11:U54" si="20">S11*R11^T11</f>
        <v>6.0172969584618192</v>
      </c>
      <c r="V11" s="90">
        <f t="shared" si="7"/>
        <v>5.13</v>
      </c>
      <c r="W11" s="90">
        <f t="shared" si="8"/>
        <v>0.22</v>
      </c>
      <c r="X11" s="57">
        <f t="shared" si="9"/>
        <v>4.1876611638803078</v>
      </c>
      <c r="Y11" s="90">
        <f t="shared" si="10"/>
        <v>8.26</v>
      </c>
      <c r="Z11" s="90">
        <f t="shared" si="11"/>
        <v>0.31900000000000001</v>
      </c>
      <c r="AA11" s="57">
        <f t="shared" si="12"/>
        <v>6.154157302027957</v>
      </c>
      <c r="AB11" s="90">
        <f t="shared" si="0"/>
        <v>2.9</v>
      </c>
      <c r="AC11" s="90">
        <f t="shared" si="1"/>
        <v>0.4</v>
      </c>
      <c r="AD11" s="57">
        <f t="shared" si="13"/>
        <v>2.0050852910630397</v>
      </c>
      <c r="AE11" s="90">
        <f t="shared" si="14"/>
        <v>6.5</v>
      </c>
      <c r="AF11" s="90">
        <f t="shared" si="15"/>
        <v>0.628</v>
      </c>
      <c r="AG11" s="57">
        <f t="shared" si="16"/>
        <v>3.6416405487216759</v>
      </c>
      <c r="AH11" s="90">
        <f t="shared" ref="AH11:AH42" si="21">am_4</f>
        <v>7.4</v>
      </c>
      <c r="AI11" s="90">
        <f t="shared" ref="AI11:AI42" si="22">nm_4</f>
        <v>0.25</v>
      </c>
      <c r="AJ11" s="57">
        <f t="shared" si="17"/>
        <v>5.8757864446362271</v>
      </c>
    </row>
    <row r="12" spans="2:36">
      <c r="B12" s="26">
        <v>1233</v>
      </c>
      <c r="C12" s="27" t="s">
        <v>86</v>
      </c>
      <c r="D12" s="28">
        <v>1625</v>
      </c>
      <c r="E12" s="313">
        <v>2.0866141732283464E-2</v>
      </c>
      <c r="F12" s="35">
        <v>0.44169999999999998</v>
      </c>
      <c r="G12" s="30">
        <v>8.5015350000000005</v>
      </c>
      <c r="H12" s="27" t="s">
        <v>86</v>
      </c>
      <c r="I12" s="38">
        <v>11.204375000000001</v>
      </c>
      <c r="J12" s="35">
        <v>4.7752408634765926</v>
      </c>
      <c r="K12" s="35">
        <v>0.44169999999999998</v>
      </c>
      <c r="M12" s="92">
        <v>0.77900000000000003</v>
      </c>
      <c r="N12" s="92">
        <f t="shared" si="2"/>
        <v>8.8754449677853557</v>
      </c>
      <c r="O12" s="92">
        <f t="shared" si="3"/>
        <v>0.61929999999999996</v>
      </c>
      <c r="P12" s="92">
        <f t="shared" si="4"/>
        <v>7.6036003680458659</v>
      </c>
      <c r="Q12" s="92"/>
      <c r="R12" s="57">
        <f t="shared" si="19"/>
        <v>0.54449999999999998</v>
      </c>
      <c r="S12" s="57">
        <f t="shared" si="5"/>
        <v>10.707683798033065</v>
      </c>
      <c r="T12" s="57">
        <f t="shared" si="6"/>
        <v>0.62470000000000003</v>
      </c>
      <c r="U12" s="57">
        <f t="shared" si="20"/>
        <v>7.3244229711811482</v>
      </c>
      <c r="V12" s="90">
        <f t="shared" si="7"/>
        <v>5.13</v>
      </c>
      <c r="W12" s="90">
        <f t="shared" si="8"/>
        <v>0.22</v>
      </c>
      <c r="X12" s="57">
        <f t="shared" si="9"/>
        <v>4.4878351897905322</v>
      </c>
      <c r="Y12" s="90">
        <f t="shared" si="10"/>
        <v>8.26</v>
      </c>
      <c r="Z12" s="90">
        <f t="shared" si="11"/>
        <v>0.31900000000000001</v>
      </c>
      <c r="AA12" s="57">
        <f t="shared" si="12"/>
        <v>6.8039853892487088</v>
      </c>
      <c r="AB12" s="90">
        <f t="shared" si="0"/>
        <v>2.9</v>
      </c>
      <c r="AC12" s="90">
        <f t="shared" si="1"/>
        <v>0.4</v>
      </c>
      <c r="AD12" s="57">
        <f t="shared" si="13"/>
        <v>2.2740350358343679</v>
      </c>
      <c r="AE12" s="90">
        <f t="shared" si="14"/>
        <v>6.5</v>
      </c>
      <c r="AF12" s="90">
        <f t="shared" si="15"/>
        <v>0.628</v>
      </c>
      <c r="AG12" s="57">
        <f t="shared" si="16"/>
        <v>4.4373126292294538</v>
      </c>
      <c r="AH12" s="90">
        <f t="shared" si="21"/>
        <v>7.4</v>
      </c>
      <c r="AI12" s="90">
        <f t="shared" si="22"/>
        <v>0.25</v>
      </c>
      <c r="AJ12" s="57">
        <f t="shared" si="17"/>
        <v>6.3566923165906974</v>
      </c>
    </row>
    <row r="13" spans="2:36">
      <c r="M13" s="92">
        <f t="shared" si="18"/>
        <v>1.0289999999999999</v>
      </c>
      <c r="N13" s="92">
        <f t="shared" si="2"/>
        <v>7.5527844238794399</v>
      </c>
      <c r="O13" s="92">
        <f t="shared" si="3"/>
        <v>-8.6999999999999994E-3</v>
      </c>
      <c r="P13" s="92">
        <f t="shared" si="4"/>
        <v>7.5509061978369258</v>
      </c>
      <c r="Q13" s="92"/>
      <c r="R13" s="57">
        <f t="shared" si="19"/>
        <v>0.6915</v>
      </c>
      <c r="S13" s="57">
        <f t="shared" si="5"/>
        <v>10.707683798033065</v>
      </c>
      <c r="T13" s="57">
        <f t="shared" si="6"/>
        <v>0.62470000000000003</v>
      </c>
      <c r="U13" s="57">
        <f t="shared" si="20"/>
        <v>8.5038132745340107</v>
      </c>
      <c r="V13" s="90">
        <f t="shared" si="7"/>
        <v>5.13</v>
      </c>
      <c r="W13" s="90">
        <f t="shared" si="8"/>
        <v>0.22</v>
      </c>
      <c r="X13" s="57">
        <f t="shared" si="9"/>
        <v>4.7301144132054924</v>
      </c>
      <c r="Y13" s="90">
        <f t="shared" si="10"/>
        <v>8.26</v>
      </c>
      <c r="Z13" s="90">
        <f t="shared" si="11"/>
        <v>0.31900000000000001</v>
      </c>
      <c r="AA13" s="57">
        <f t="shared" si="12"/>
        <v>7.3430038203476196</v>
      </c>
      <c r="AB13" s="90">
        <f t="shared" si="0"/>
        <v>2.9</v>
      </c>
      <c r="AC13" s="90">
        <f t="shared" si="1"/>
        <v>0.4</v>
      </c>
      <c r="AD13" s="57">
        <f t="shared" si="13"/>
        <v>2.502158816479831</v>
      </c>
      <c r="AE13" s="90">
        <f t="shared" si="14"/>
        <v>6.5</v>
      </c>
      <c r="AF13" s="90">
        <f t="shared" si="15"/>
        <v>0.628</v>
      </c>
      <c r="AG13" s="57">
        <f t="shared" si="16"/>
        <v>5.1558805653125406</v>
      </c>
      <c r="AH13" s="90">
        <f t="shared" si="21"/>
        <v>7.4</v>
      </c>
      <c r="AI13" s="90">
        <f t="shared" si="22"/>
        <v>0.25</v>
      </c>
      <c r="AJ13" s="57">
        <f t="shared" si="17"/>
        <v>6.7480729027969204</v>
      </c>
    </row>
    <row r="14" spans="2:36">
      <c r="M14" s="92">
        <f t="shared" si="18"/>
        <v>1.2789999999999999</v>
      </c>
      <c r="N14" s="92">
        <f t="shared" si="2"/>
        <v>7.5527844238794399</v>
      </c>
      <c r="O14" s="92">
        <f t="shared" si="3"/>
        <v>-8.6999999999999994E-3</v>
      </c>
      <c r="P14" s="92">
        <f t="shared" si="4"/>
        <v>7.5366320912941802</v>
      </c>
      <c r="Q14" s="92"/>
      <c r="R14" s="57">
        <v>0.80700000000000005</v>
      </c>
      <c r="S14" s="57">
        <f t="shared" si="5"/>
        <v>8.7632800710177339</v>
      </c>
      <c r="T14" s="57">
        <f t="shared" si="6"/>
        <v>-0.31419999999999998</v>
      </c>
      <c r="U14" s="57">
        <f t="shared" si="20"/>
        <v>9.3740448526367466</v>
      </c>
      <c r="V14" s="90">
        <f t="shared" si="7"/>
        <v>5.13</v>
      </c>
      <c r="W14" s="90">
        <f t="shared" si="8"/>
        <v>0.22</v>
      </c>
      <c r="X14" s="57">
        <f t="shared" si="9"/>
        <v>4.8936121159802841</v>
      </c>
      <c r="Y14" s="90">
        <f t="shared" si="10"/>
        <v>8.26</v>
      </c>
      <c r="Z14" s="90">
        <f t="shared" si="11"/>
        <v>0.31900000000000001</v>
      </c>
      <c r="AA14" s="57">
        <f t="shared" si="12"/>
        <v>7.7138769158553897</v>
      </c>
      <c r="AB14" s="90">
        <f t="shared" si="0"/>
        <v>2.9</v>
      </c>
      <c r="AC14" s="90">
        <f t="shared" si="1"/>
        <v>0.4</v>
      </c>
      <c r="AD14" s="57">
        <f t="shared" si="13"/>
        <v>2.6616283381672599</v>
      </c>
      <c r="AE14" s="90">
        <f t="shared" si="14"/>
        <v>6.5</v>
      </c>
      <c r="AF14" s="90">
        <f t="shared" si="15"/>
        <v>0.628</v>
      </c>
      <c r="AG14" s="57">
        <f t="shared" si="16"/>
        <v>5.6810673304710848</v>
      </c>
      <c r="AH14" s="90">
        <f t="shared" si="21"/>
        <v>7.4</v>
      </c>
      <c r="AI14" s="90">
        <f t="shared" si="22"/>
        <v>0.25</v>
      </c>
      <c r="AJ14" s="57">
        <f t="shared" si="17"/>
        <v>7.013747120498742</v>
      </c>
    </row>
    <row r="15" spans="2:36">
      <c r="M15" s="92">
        <f t="shared" si="18"/>
        <v>1.5289999999999999</v>
      </c>
      <c r="N15" s="92">
        <f t="shared" si="2"/>
        <v>7.5527844238794399</v>
      </c>
      <c r="O15" s="92">
        <f t="shared" si="3"/>
        <v>-8.6999999999999994E-3</v>
      </c>
      <c r="P15" s="92">
        <f t="shared" si="4"/>
        <v>7.5249348438442505</v>
      </c>
      <c r="Q15" s="92"/>
      <c r="R15" s="57">
        <f t="shared" si="19"/>
        <v>0.95400000000000007</v>
      </c>
      <c r="S15" s="57">
        <f t="shared" si="5"/>
        <v>8.7632800710177339</v>
      </c>
      <c r="T15" s="57">
        <f t="shared" si="6"/>
        <v>-0.31419999999999998</v>
      </c>
      <c r="U15" s="57">
        <f t="shared" si="20"/>
        <v>8.8939071755279144</v>
      </c>
      <c r="V15" s="90">
        <f t="shared" si="7"/>
        <v>5.13</v>
      </c>
      <c r="W15" s="90">
        <f t="shared" si="8"/>
        <v>0.22</v>
      </c>
      <c r="X15" s="57">
        <f t="shared" si="9"/>
        <v>5.0771267720387012</v>
      </c>
      <c r="Y15" s="90">
        <f t="shared" si="10"/>
        <v>8.26</v>
      </c>
      <c r="Z15" s="90">
        <f t="shared" si="11"/>
        <v>0.31900000000000001</v>
      </c>
      <c r="AA15" s="57">
        <f t="shared" si="12"/>
        <v>8.1368437956329398</v>
      </c>
      <c r="AB15" s="90">
        <f t="shared" si="0"/>
        <v>2.9</v>
      </c>
      <c r="AC15" s="90">
        <f t="shared" si="1"/>
        <v>0.4</v>
      </c>
      <c r="AD15" s="57">
        <f t="shared" si="13"/>
        <v>2.8458850077329401</v>
      </c>
      <c r="AE15" s="90">
        <f t="shared" si="14"/>
        <v>6.5</v>
      </c>
      <c r="AF15" s="90">
        <f t="shared" si="15"/>
        <v>0.628</v>
      </c>
      <c r="AG15" s="57">
        <f t="shared" si="16"/>
        <v>6.3105866731279221</v>
      </c>
      <c r="AH15" s="90">
        <f t="shared" si="21"/>
        <v>7.4</v>
      </c>
      <c r="AI15" s="90">
        <f t="shared" si="22"/>
        <v>0.25</v>
      </c>
      <c r="AJ15" s="57">
        <f t="shared" si="17"/>
        <v>7.3133913440034917</v>
      </c>
    </row>
    <row r="16" spans="2:36">
      <c r="B16" s="815" t="s">
        <v>401</v>
      </c>
      <c r="C16" s="816"/>
      <c r="D16" s="816"/>
      <c r="E16" s="816"/>
      <c r="F16" s="816"/>
      <c r="G16" s="816"/>
      <c r="H16" s="816"/>
      <c r="I16" s="816"/>
      <c r="J16" s="816"/>
      <c r="K16" s="817"/>
      <c r="M16" s="92">
        <f t="shared" si="18"/>
        <v>1.7789999999999999</v>
      </c>
      <c r="N16" s="92">
        <f t="shared" si="2"/>
        <v>7.5527844238794399</v>
      </c>
      <c r="O16" s="92">
        <f t="shared" si="3"/>
        <v>-8.6999999999999994E-3</v>
      </c>
      <c r="P16" s="92">
        <f t="shared" si="4"/>
        <v>7.5150272244598799</v>
      </c>
      <c r="Q16" s="92"/>
      <c r="R16" s="57">
        <f t="shared" si="19"/>
        <v>1.101</v>
      </c>
      <c r="S16" s="57">
        <f t="shared" si="5"/>
        <v>8.7632800710177339</v>
      </c>
      <c r="T16" s="57">
        <f t="shared" si="6"/>
        <v>-0.31419999999999998</v>
      </c>
      <c r="U16" s="57">
        <f t="shared" si="20"/>
        <v>8.5023135353635624</v>
      </c>
      <c r="V16" s="90">
        <f t="shared" si="7"/>
        <v>5.13</v>
      </c>
      <c r="W16" s="90">
        <f t="shared" si="8"/>
        <v>0.22</v>
      </c>
      <c r="X16" s="57">
        <f t="shared" si="9"/>
        <v>5.2397501080146469</v>
      </c>
      <c r="Y16" s="90">
        <f t="shared" si="10"/>
        <v>8.26</v>
      </c>
      <c r="Z16" s="90">
        <f t="shared" si="11"/>
        <v>0.31900000000000001</v>
      </c>
      <c r="AA16" s="57">
        <f t="shared" si="12"/>
        <v>8.5174619489981307</v>
      </c>
      <c r="AB16" s="90">
        <f t="shared" si="0"/>
        <v>2.9</v>
      </c>
      <c r="AC16" s="90">
        <f t="shared" si="1"/>
        <v>0.4</v>
      </c>
      <c r="AD16" s="57">
        <f t="shared" si="13"/>
        <v>3.0137895695176322</v>
      </c>
      <c r="AE16" s="90">
        <f t="shared" si="14"/>
        <v>6.5</v>
      </c>
      <c r="AF16" s="90">
        <f t="shared" si="15"/>
        <v>0.628</v>
      </c>
      <c r="AG16" s="57">
        <f t="shared" si="16"/>
        <v>6.904874555942639</v>
      </c>
      <c r="AH16" s="90">
        <f t="shared" si="21"/>
        <v>7.4</v>
      </c>
      <c r="AI16" s="90">
        <f t="shared" si="22"/>
        <v>0.25</v>
      </c>
      <c r="AJ16" s="57">
        <f t="shared" si="17"/>
        <v>7.5801630853860091</v>
      </c>
    </row>
    <row r="17" spans="2:36">
      <c r="B17" s="818"/>
      <c r="C17" s="818"/>
      <c r="D17" s="818"/>
      <c r="E17" s="25" t="s">
        <v>80</v>
      </c>
      <c r="F17" s="25" t="s">
        <v>81</v>
      </c>
      <c r="G17" s="818"/>
      <c r="H17" s="818"/>
      <c r="I17" s="818"/>
      <c r="J17" s="25" t="s">
        <v>80</v>
      </c>
      <c r="K17" s="25" t="s">
        <v>81</v>
      </c>
      <c r="M17" s="92">
        <f t="shared" si="18"/>
        <v>2.0289999999999999</v>
      </c>
      <c r="N17" s="92">
        <f t="shared" si="2"/>
        <v>7.5527844238794399</v>
      </c>
      <c r="O17" s="92">
        <f t="shared" si="3"/>
        <v>-8.6999999999999994E-3</v>
      </c>
      <c r="P17" s="92">
        <f t="shared" si="4"/>
        <v>7.5064351188758884</v>
      </c>
      <c r="Q17" s="92"/>
      <c r="R17" s="57">
        <f t="shared" si="19"/>
        <v>1.248</v>
      </c>
      <c r="S17" s="57">
        <f t="shared" si="5"/>
        <v>8.7632800710177339</v>
      </c>
      <c r="T17" s="57">
        <f t="shared" si="6"/>
        <v>-0.31419999999999998</v>
      </c>
      <c r="U17" s="57">
        <f t="shared" si="20"/>
        <v>8.1740270219434006</v>
      </c>
      <c r="V17" s="90">
        <f t="shared" si="7"/>
        <v>5.13</v>
      </c>
      <c r="W17" s="90">
        <f t="shared" si="8"/>
        <v>0.22</v>
      </c>
      <c r="X17" s="57">
        <f t="shared" si="9"/>
        <v>5.3862260238248547</v>
      </c>
      <c r="Y17" s="90">
        <f t="shared" si="10"/>
        <v>8.26</v>
      </c>
      <c r="Z17" s="90">
        <f t="shared" si="11"/>
        <v>0.31900000000000001</v>
      </c>
      <c r="AA17" s="57">
        <f t="shared" si="12"/>
        <v>8.8648726296577909</v>
      </c>
      <c r="AB17" s="90">
        <f t="shared" si="0"/>
        <v>2.9</v>
      </c>
      <c r="AC17" s="90">
        <f t="shared" si="1"/>
        <v>0.4</v>
      </c>
      <c r="AD17" s="57">
        <f t="shared" si="13"/>
        <v>3.1687197595398047</v>
      </c>
      <c r="AE17" s="90">
        <f t="shared" si="14"/>
        <v>6.5</v>
      </c>
      <c r="AF17" s="90">
        <f t="shared" si="15"/>
        <v>0.628</v>
      </c>
      <c r="AG17" s="57">
        <f t="shared" si="16"/>
        <v>7.4702668576959486</v>
      </c>
      <c r="AH17" s="90">
        <f t="shared" si="21"/>
        <v>7.4</v>
      </c>
      <c r="AI17" s="90">
        <f t="shared" si="22"/>
        <v>0.25</v>
      </c>
      <c r="AJ17" s="57">
        <f t="shared" si="17"/>
        <v>7.8214156508743988</v>
      </c>
    </row>
    <row r="18" spans="2:36" ht="13.8" thickBot="1">
      <c r="B18" s="819" t="s">
        <v>82</v>
      </c>
      <c r="C18" s="819"/>
      <c r="D18" s="819"/>
      <c r="E18" s="819" t="s">
        <v>83</v>
      </c>
      <c r="F18" s="819"/>
      <c r="G18" s="820" t="s">
        <v>84</v>
      </c>
      <c r="H18" s="821"/>
      <c r="I18" s="822"/>
      <c r="J18" s="820" t="s">
        <v>85</v>
      </c>
      <c r="K18" s="822"/>
      <c r="M18" s="92">
        <f t="shared" si="18"/>
        <v>2.2789999999999999</v>
      </c>
      <c r="N18" s="92">
        <f t="shared" si="2"/>
        <v>7.5527844238794399</v>
      </c>
      <c r="O18" s="92">
        <f t="shared" si="3"/>
        <v>-8.6999999999999994E-3</v>
      </c>
      <c r="P18" s="92">
        <f t="shared" si="4"/>
        <v>7.4988508095539634</v>
      </c>
      <c r="Q18" s="92"/>
      <c r="R18" s="57">
        <f t="shared" si="19"/>
        <v>1.395</v>
      </c>
      <c r="S18" s="57">
        <f t="shared" si="5"/>
        <v>8.7632800710177339</v>
      </c>
      <c r="T18" s="57">
        <f t="shared" si="6"/>
        <v>-0.31419999999999998</v>
      </c>
      <c r="U18" s="57">
        <f t="shared" si="20"/>
        <v>7.8929886040141852</v>
      </c>
      <c r="V18" s="90">
        <f t="shared" si="7"/>
        <v>5.13</v>
      </c>
      <c r="W18" s="90">
        <f t="shared" si="8"/>
        <v>0.22</v>
      </c>
      <c r="X18" s="57">
        <f t="shared" si="9"/>
        <v>5.5198044312655083</v>
      </c>
      <c r="Y18" s="90">
        <f t="shared" si="10"/>
        <v>8.26</v>
      </c>
      <c r="Z18" s="90">
        <f t="shared" si="11"/>
        <v>0.31900000000000001</v>
      </c>
      <c r="AA18" s="57">
        <f t="shared" si="12"/>
        <v>9.1854242404966282</v>
      </c>
      <c r="AB18" s="90">
        <f t="shared" si="0"/>
        <v>2.9</v>
      </c>
      <c r="AC18" s="90">
        <f t="shared" si="1"/>
        <v>0.4</v>
      </c>
      <c r="AD18" s="57">
        <f t="shared" si="13"/>
        <v>3.3130476405669254</v>
      </c>
      <c r="AE18" s="90">
        <f t="shared" si="14"/>
        <v>6.5</v>
      </c>
      <c r="AF18" s="90">
        <f t="shared" si="15"/>
        <v>0.628</v>
      </c>
      <c r="AG18" s="57">
        <f t="shared" si="16"/>
        <v>8.01135467453026</v>
      </c>
      <c r="AH18" s="90">
        <f t="shared" si="21"/>
        <v>7.4</v>
      </c>
      <c r="AI18" s="90">
        <f t="shared" si="22"/>
        <v>0.25</v>
      </c>
      <c r="AJ18" s="57">
        <f t="shared" si="17"/>
        <v>8.0422074505158729</v>
      </c>
    </row>
    <row r="19" spans="2:36" ht="13.8" thickTop="1">
      <c r="B19" s="26">
        <v>14</v>
      </c>
      <c r="C19" s="27" t="s">
        <v>86</v>
      </c>
      <c r="D19" s="28">
        <v>117</v>
      </c>
      <c r="E19" s="312">
        <v>1.8818897637795276E-2</v>
      </c>
      <c r="F19" s="29">
        <v>0.62470000000000003</v>
      </c>
      <c r="G19" s="30">
        <v>0.10100000000000001</v>
      </c>
      <c r="H19" s="27" t="s">
        <v>86</v>
      </c>
      <c r="I19" s="31">
        <v>0.80671499999999996</v>
      </c>
      <c r="J19" s="29">
        <v>10.707683798033065</v>
      </c>
      <c r="K19" s="29">
        <v>0.62470000000000003</v>
      </c>
      <c r="M19" s="92">
        <v>2.5720000000000001</v>
      </c>
      <c r="N19" s="92">
        <f t="shared" si="2"/>
        <v>3.8408799049960156</v>
      </c>
      <c r="O19" s="92">
        <f t="shared" si="3"/>
        <v>0.68820000000000003</v>
      </c>
      <c r="P19" s="92">
        <f t="shared" si="4"/>
        <v>7.3583290655181441</v>
      </c>
      <c r="Q19" s="92"/>
      <c r="R19" s="57">
        <v>1.5029999999999999</v>
      </c>
      <c r="S19" s="57">
        <f t="shared" si="5"/>
        <v>8.7632800710177339</v>
      </c>
      <c r="T19" s="57">
        <f t="shared" si="6"/>
        <v>-0.31419999999999998</v>
      </c>
      <c r="U19" s="57">
        <f t="shared" si="20"/>
        <v>7.7102095237583672</v>
      </c>
      <c r="V19" s="90">
        <f t="shared" si="7"/>
        <v>5.13</v>
      </c>
      <c r="W19" s="90">
        <f t="shared" si="8"/>
        <v>0.22</v>
      </c>
      <c r="X19" s="57">
        <f t="shared" si="9"/>
        <v>5.6111042914110296</v>
      </c>
      <c r="Y19" s="90">
        <f t="shared" si="10"/>
        <v>8.26</v>
      </c>
      <c r="Z19" s="90">
        <f t="shared" si="11"/>
        <v>0.31900000000000001</v>
      </c>
      <c r="AA19" s="57">
        <f t="shared" si="12"/>
        <v>9.4065412024390511</v>
      </c>
      <c r="AB19" s="90">
        <f t="shared" si="0"/>
        <v>2.9</v>
      </c>
      <c r="AC19" s="90">
        <f t="shared" si="1"/>
        <v>0.4</v>
      </c>
      <c r="AD19" s="57">
        <f t="shared" si="13"/>
        <v>3.4133560332957864</v>
      </c>
      <c r="AE19" s="90">
        <f t="shared" si="14"/>
        <v>6.5</v>
      </c>
      <c r="AF19" s="90">
        <f t="shared" si="15"/>
        <v>0.628</v>
      </c>
      <c r="AG19" s="57">
        <f t="shared" si="16"/>
        <v>8.3954425955308736</v>
      </c>
      <c r="AH19" s="90">
        <f t="shared" si="21"/>
        <v>7.4</v>
      </c>
      <c r="AI19" s="90">
        <f t="shared" si="22"/>
        <v>0.25</v>
      </c>
      <c r="AJ19" s="57">
        <f t="shared" si="17"/>
        <v>8.1935378614209071</v>
      </c>
    </row>
    <row r="20" spans="2:36">
      <c r="B20" s="32">
        <v>117</v>
      </c>
      <c r="C20" s="33" t="s">
        <v>86</v>
      </c>
      <c r="D20" s="34">
        <v>218</v>
      </c>
      <c r="E20" s="313">
        <v>1.648031496062992</v>
      </c>
      <c r="F20" s="35">
        <v>-0.31419999999999998</v>
      </c>
      <c r="G20" s="36">
        <v>0.80671499999999996</v>
      </c>
      <c r="H20" s="33" t="s">
        <v>86</v>
      </c>
      <c r="I20" s="37">
        <v>1.5031099999999999</v>
      </c>
      <c r="J20" s="35">
        <v>8.7632800710177339</v>
      </c>
      <c r="K20" s="35">
        <v>-0.31419999999999998</v>
      </c>
      <c r="M20" s="92">
        <f t="shared" si="18"/>
        <v>2.8220000000000001</v>
      </c>
      <c r="N20" s="92">
        <f t="shared" si="2"/>
        <v>3.8408799049960156</v>
      </c>
      <c r="O20" s="92">
        <f t="shared" si="3"/>
        <v>0.68820000000000003</v>
      </c>
      <c r="P20" s="92">
        <f t="shared" si="4"/>
        <v>7.8433945471532729</v>
      </c>
      <c r="Q20" s="92"/>
      <c r="R20" s="57">
        <f t="shared" si="19"/>
        <v>1.65</v>
      </c>
      <c r="S20" s="57">
        <f t="shared" si="5"/>
        <v>7.8521657949784069</v>
      </c>
      <c r="T20" s="57">
        <f t="shared" si="6"/>
        <v>-1.2999999999999999E-2</v>
      </c>
      <c r="U20" s="57">
        <f t="shared" si="20"/>
        <v>7.801213608674356</v>
      </c>
      <c r="V20" s="90">
        <f t="shared" si="7"/>
        <v>5.13</v>
      </c>
      <c r="W20" s="90">
        <f t="shared" si="8"/>
        <v>0.22</v>
      </c>
      <c r="X20" s="57">
        <f t="shared" si="9"/>
        <v>5.7274833168357899</v>
      </c>
      <c r="Y20" s="90">
        <f t="shared" si="10"/>
        <v>8.26</v>
      </c>
      <c r="Z20" s="90">
        <f t="shared" si="11"/>
        <v>0.31900000000000001</v>
      </c>
      <c r="AA20" s="57">
        <f t="shared" si="12"/>
        <v>9.6907507955007954</v>
      </c>
      <c r="AB20" s="90">
        <f t="shared" si="0"/>
        <v>2.9</v>
      </c>
      <c r="AC20" s="90">
        <f t="shared" si="1"/>
        <v>0.4</v>
      </c>
      <c r="AD20" s="57">
        <f t="shared" si="13"/>
        <v>3.5431666180067785</v>
      </c>
      <c r="AE20" s="90">
        <f t="shared" si="14"/>
        <v>6.5</v>
      </c>
      <c r="AF20" s="90">
        <f t="shared" si="15"/>
        <v>0.628</v>
      </c>
      <c r="AG20" s="57">
        <f t="shared" si="16"/>
        <v>8.9021165022776234</v>
      </c>
      <c r="AH20" s="90">
        <f t="shared" si="21"/>
        <v>7.4</v>
      </c>
      <c r="AI20" s="90">
        <f t="shared" si="22"/>
        <v>0.25</v>
      </c>
      <c r="AJ20" s="57">
        <f t="shared" si="17"/>
        <v>8.3869239653624046</v>
      </c>
    </row>
    <row r="21" spans="2:36">
      <c r="B21" s="32">
        <v>218</v>
      </c>
      <c r="C21" s="33" t="s">
        <v>86</v>
      </c>
      <c r="D21" s="34">
        <v>550</v>
      </c>
      <c r="E21" s="313">
        <v>0.3298031496062992</v>
      </c>
      <c r="F21" s="35">
        <v>-1.2999999999999999E-2</v>
      </c>
      <c r="G21" s="36">
        <v>1.5031099999999999</v>
      </c>
      <c r="H21" s="33" t="s">
        <v>86</v>
      </c>
      <c r="I21" s="37">
        <v>3.7922500000000001</v>
      </c>
      <c r="J21" s="35">
        <v>7.8521657949784069</v>
      </c>
      <c r="K21" s="35">
        <v>-1.2999999999999999E-2</v>
      </c>
      <c r="M21" s="92">
        <f t="shared" si="18"/>
        <v>3.0720000000000001</v>
      </c>
      <c r="N21" s="92">
        <f t="shared" si="2"/>
        <v>3.8408799049960156</v>
      </c>
      <c r="O21" s="92">
        <f t="shared" si="3"/>
        <v>0.68820000000000003</v>
      </c>
      <c r="P21" s="92">
        <f t="shared" si="4"/>
        <v>8.3152250095321865</v>
      </c>
      <c r="Q21" s="92"/>
      <c r="R21" s="57">
        <f t="shared" si="19"/>
        <v>1.7969999999999999</v>
      </c>
      <c r="S21" s="57">
        <f t="shared" si="5"/>
        <v>7.8521657949784069</v>
      </c>
      <c r="T21" s="57">
        <f t="shared" si="6"/>
        <v>-1.2999999999999999E-2</v>
      </c>
      <c r="U21" s="57">
        <f t="shared" si="20"/>
        <v>7.7925632490984515</v>
      </c>
      <c r="V21" s="90">
        <f t="shared" si="7"/>
        <v>5.13</v>
      </c>
      <c r="W21" s="90">
        <f t="shared" si="8"/>
        <v>0.22</v>
      </c>
      <c r="X21" s="57">
        <f t="shared" si="9"/>
        <v>5.8360357294929761</v>
      </c>
      <c r="Y21" s="90">
        <f t="shared" si="10"/>
        <v>8.26</v>
      </c>
      <c r="Z21" s="90">
        <f t="shared" si="11"/>
        <v>0.31900000000000001</v>
      </c>
      <c r="AA21" s="57">
        <f t="shared" si="12"/>
        <v>9.9582009066836878</v>
      </c>
      <c r="AB21" s="90">
        <f t="shared" si="0"/>
        <v>2.9</v>
      </c>
      <c r="AC21" s="90">
        <f t="shared" si="1"/>
        <v>0.4</v>
      </c>
      <c r="AD21" s="57">
        <f t="shared" si="13"/>
        <v>3.6662090804915897</v>
      </c>
      <c r="AE21" s="90">
        <f t="shared" si="14"/>
        <v>6.5</v>
      </c>
      <c r="AF21" s="90">
        <f t="shared" si="15"/>
        <v>0.628</v>
      </c>
      <c r="AG21" s="57">
        <f t="shared" si="16"/>
        <v>9.3922479475190634</v>
      </c>
      <c r="AH21" s="90">
        <f t="shared" si="21"/>
        <v>7.4</v>
      </c>
      <c r="AI21" s="90">
        <f t="shared" si="22"/>
        <v>0.25</v>
      </c>
      <c r="AJ21" s="57">
        <f t="shared" si="17"/>
        <v>8.5677885359303758</v>
      </c>
    </row>
    <row r="22" spans="2:36">
      <c r="B22" s="32">
        <v>550</v>
      </c>
      <c r="C22" s="33" t="s">
        <v>86</v>
      </c>
      <c r="D22" s="34">
        <v>1020</v>
      </c>
      <c r="E22" s="313">
        <v>1.0708661417322834E-2</v>
      </c>
      <c r="F22" s="35">
        <v>0.53539999999999999</v>
      </c>
      <c r="G22" s="36">
        <v>3.7922500000000001</v>
      </c>
      <c r="H22" s="33" t="s">
        <v>86</v>
      </c>
      <c r="I22" s="37">
        <v>7.0328999999999997</v>
      </c>
      <c r="J22" s="35">
        <v>3.9067683041390504</v>
      </c>
      <c r="K22" s="35">
        <v>0.53539999999999999</v>
      </c>
      <c r="M22" s="92">
        <f t="shared" si="18"/>
        <v>3.3220000000000001</v>
      </c>
      <c r="N22" s="92">
        <f t="shared" si="2"/>
        <v>3.8408799049960156</v>
      </c>
      <c r="O22" s="92">
        <f t="shared" si="3"/>
        <v>0.68820000000000003</v>
      </c>
      <c r="P22" s="92">
        <f t="shared" si="4"/>
        <v>8.7752187637091339</v>
      </c>
      <c r="Q22" s="92"/>
      <c r="R22" s="57">
        <f t="shared" si="19"/>
        <v>1.944</v>
      </c>
      <c r="S22" s="57">
        <f t="shared" si="5"/>
        <v>7.8521657949784069</v>
      </c>
      <c r="T22" s="57">
        <f t="shared" si="6"/>
        <v>-1.2999999999999999E-2</v>
      </c>
      <c r="U22" s="57">
        <f t="shared" si="20"/>
        <v>7.7846019298594484</v>
      </c>
      <c r="V22" s="90">
        <f t="shared" si="7"/>
        <v>5.13</v>
      </c>
      <c r="W22" s="90">
        <f t="shared" si="8"/>
        <v>0.22</v>
      </c>
      <c r="X22" s="57">
        <f t="shared" si="9"/>
        <v>5.937868048236747</v>
      </c>
      <c r="Y22" s="90">
        <f t="shared" si="10"/>
        <v>8.26</v>
      </c>
      <c r="Z22" s="90">
        <f t="shared" si="11"/>
        <v>0.31900000000000001</v>
      </c>
      <c r="AA22" s="57">
        <f t="shared" si="12"/>
        <v>10.211138208716385</v>
      </c>
      <c r="AB22" s="90">
        <f t="shared" si="0"/>
        <v>2.9</v>
      </c>
      <c r="AC22" s="90">
        <f t="shared" si="1"/>
        <v>0.4</v>
      </c>
      <c r="AD22" s="57">
        <f t="shared" si="13"/>
        <v>3.7833498443975704</v>
      </c>
      <c r="AE22" s="90">
        <f t="shared" si="14"/>
        <v>6.5</v>
      </c>
      <c r="AF22" s="90">
        <f t="shared" si="15"/>
        <v>0.628</v>
      </c>
      <c r="AG22" s="57">
        <f t="shared" si="16"/>
        <v>9.8676697988229947</v>
      </c>
      <c r="AH22" s="90">
        <f t="shared" si="21"/>
        <v>7.4</v>
      </c>
      <c r="AI22" s="90">
        <f t="shared" si="22"/>
        <v>0.25</v>
      </c>
      <c r="AJ22" s="57">
        <f t="shared" si="17"/>
        <v>8.7378741404185103</v>
      </c>
    </row>
    <row r="23" spans="2:36">
      <c r="B23" s="26">
        <v>1020</v>
      </c>
      <c r="C23" s="27" t="s">
        <v>86</v>
      </c>
      <c r="D23" s="28">
        <v>1548</v>
      </c>
      <c r="E23" s="313">
        <v>0.27665354330708658</v>
      </c>
      <c r="F23" s="35">
        <v>6.3799999999999996E-2</v>
      </c>
      <c r="G23" s="30">
        <v>7.0328999999999997</v>
      </c>
      <c r="H23" s="27" t="s">
        <v>86</v>
      </c>
      <c r="I23" s="38">
        <v>10.67346</v>
      </c>
      <c r="J23" s="35">
        <v>9.6532036198768516</v>
      </c>
      <c r="K23" s="35">
        <v>6.3799999999999996E-2</v>
      </c>
      <c r="M23" s="92">
        <f t="shared" si="18"/>
        <v>3.5720000000000001</v>
      </c>
      <c r="N23" s="92">
        <f t="shared" si="2"/>
        <v>3.8408799049960156</v>
      </c>
      <c r="O23" s="92">
        <f t="shared" si="3"/>
        <v>0.68820000000000003</v>
      </c>
      <c r="P23" s="92">
        <f t="shared" si="4"/>
        <v>9.2245329836184613</v>
      </c>
      <c r="Q23" s="92"/>
      <c r="R23" s="57">
        <f t="shared" si="19"/>
        <v>2.0910000000000002</v>
      </c>
      <c r="S23" s="57">
        <f t="shared" si="5"/>
        <v>7.8521657949784069</v>
      </c>
      <c r="T23" s="57">
        <f t="shared" si="6"/>
        <v>-1.2999999999999999E-2</v>
      </c>
      <c r="U23" s="57">
        <f t="shared" si="20"/>
        <v>7.7772284917136059</v>
      </c>
      <c r="V23" s="90">
        <f t="shared" si="7"/>
        <v>5.13</v>
      </c>
      <c r="W23" s="90">
        <f t="shared" si="8"/>
        <v>0.22</v>
      </c>
      <c r="X23" s="57">
        <f t="shared" si="9"/>
        <v>6.0338603202130594</v>
      </c>
      <c r="Y23" s="90">
        <f t="shared" si="10"/>
        <v>8.26</v>
      </c>
      <c r="Z23" s="90">
        <f t="shared" si="11"/>
        <v>0.31900000000000001</v>
      </c>
      <c r="AA23" s="57">
        <f t="shared" si="12"/>
        <v>10.451364245048202</v>
      </c>
      <c r="AB23" s="90">
        <f t="shared" si="0"/>
        <v>2.9</v>
      </c>
      <c r="AC23" s="90">
        <f t="shared" si="1"/>
        <v>0.4</v>
      </c>
      <c r="AD23" s="57">
        <f t="shared" si="13"/>
        <v>3.8952883413514137</v>
      </c>
      <c r="AE23" s="90">
        <f t="shared" si="14"/>
        <v>6.5</v>
      </c>
      <c r="AF23" s="90">
        <f t="shared" si="15"/>
        <v>0.628</v>
      </c>
      <c r="AG23" s="57">
        <f t="shared" si="16"/>
        <v>10.329889818849496</v>
      </c>
      <c r="AH23" s="90">
        <f t="shared" si="21"/>
        <v>7.4</v>
      </c>
      <c r="AI23" s="90">
        <f t="shared" si="22"/>
        <v>0.25</v>
      </c>
      <c r="AJ23" s="57">
        <f t="shared" si="17"/>
        <v>8.8985701392664716</v>
      </c>
    </row>
    <row r="24" spans="2:36">
      <c r="M24" s="92">
        <f t="shared" si="18"/>
        <v>3.8220000000000001</v>
      </c>
      <c r="N24" s="92">
        <f t="shared" si="2"/>
        <v>3.8408799049960156</v>
      </c>
      <c r="O24" s="92">
        <f t="shared" si="3"/>
        <v>0.68820000000000003</v>
      </c>
      <c r="P24" s="92">
        <f t="shared" si="4"/>
        <v>9.6641391797676466</v>
      </c>
      <c r="Q24" s="92"/>
      <c r="R24" s="57">
        <f t="shared" si="19"/>
        <v>2.2380000000000004</v>
      </c>
      <c r="S24" s="57">
        <f t="shared" si="5"/>
        <v>7.8521657949784069</v>
      </c>
      <c r="T24" s="57">
        <f t="shared" si="6"/>
        <v>-1.2999999999999999E-2</v>
      </c>
      <c r="U24" s="57">
        <f t="shared" si="20"/>
        <v>7.7703625013564839</v>
      </c>
      <c r="V24" s="90">
        <f t="shared" si="7"/>
        <v>5.13</v>
      </c>
      <c r="W24" s="90">
        <f t="shared" si="8"/>
        <v>0.22</v>
      </c>
      <c r="X24" s="57">
        <f t="shared" si="9"/>
        <v>6.1247248523620117</v>
      </c>
      <c r="Y24" s="90">
        <f t="shared" si="10"/>
        <v>8.26</v>
      </c>
      <c r="Z24" s="90">
        <f t="shared" si="11"/>
        <v>0.31900000000000001</v>
      </c>
      <c r="AA24" s="57">
        <f t="shared" si="12"/>
        <v>10.680348243691963</v>
      </c>
      <c r="AB24" s="90">
        <f t="shared" si="0"/>
        <v>2.9</v>
      </c>
      <c r="AC24" s="90">
        <f t="shared" si="1"/>
        <v>0.4</v>
      </c>
      <c r="AD24" s="57">
        <f t="shared" si="13"/>
        <v>4.002598522988575</v>
      </c>
      <c r="AE24" s="90">
        <f t="shared" si="14"/>
        <v>6.5</v>
      </c>
      <c r="AF24" s="90">
        <f t="shared" si="15"/>
        <v>0.628</v>
      </c>
      <c r="AG24" s="57">
        <f t="shared" si="16"/>
        <v>10.780166988144853</v>
      </c>
      <c r="AH24" s="90">
        <f t="shared" si="21"/>
        <v>7.4</v>
      </c>
      <c r="AI24" s="90">
        <f t="shared" si="22"/>
        <v>0.25</v>
      </c>
      <c r="AJ24" s="57">
        <f t="shared" si="17"/>
        <v>9.051003655134167</v>
      </c>
    </row>
    <row r="25" spans="2:36">
      <c r="B25" s="815" t="s">
        <v>475</v>
      </c>
      <c r="C25" s="816"/>
      <c r="D25" s="816"/>
      <c r="E25" s="816"/>
      <c r="F25" s="816"/>
      <c r="G25" s="816"/>
      <c r="H25" s="816"/>
      <c r="I25" s="816"/>
      <c r="J25" s="816"/>
      <c r="K25" s="817"/>
      <c r="M25" s="92">
        <f t="shared" si="18"/>
        <v>4.0720000000000001</v>
      </c>
      <c r="N25" s="92">
        <f t="shared" si="2"/>
        <v>3.8408799049960156</v>
      </c>
      <c r="O25" s="92">
        <f t="shared" si="3"/>
        <v>0.68820000000000003</v>
      </c>
      <c r="P25" s="92">
        <f t="shared" si="4"/>
        <v>10.094863127774543</v>
      </c>
      <c r="Q25" s="92"/>
      <c r="R25" s="57">
        <f t="shared" si="19"/>
        <v>2.3850000000000007</v>
      </c>
      <c r="S25" s="57">
        <f t="shared" si="5"/>
        <v>7.8521657949784069</v>
      </c>
      <c r="T25" s="57">
        <f t="shared" si="6"/>
        <v>-1.2999999999999999E-2</v>
      </c>
      <c r="U25" s="57">
        <f t="shared" si="20"/>
        <v>7.7639389539880135</v>
      </c>
      <c r="V25" s="90">
        <f t="shared" si="7"/>
        <v>5.13</v>
      </c>
      <c r="W25" s="90">
        <f t="shared" si="8"/>
        <v>0.22</v>
      </c>
      <c r="X25" s="57">
        <f t="shared" si="9"/>
        <v>6.2110469116140763</v>
      </c>
      <c r="Y25" s="90">
        <f t="shared" si="10"/>
        <v>8.26</v>
      </c>
      <c r="Z25" s="90">
        <f t="shared" si="11"/>
        <v>0.31900000000000001</v>
      </c>
      <c r="AA25" s="57">
        <f t="shared" si="12"/>
        <v>10.899305898790347</v>
      </c>
      <c r="AB25" s="90">
        <f t="shared" si="0"/>
        <v>2.9</v>
      </c>
      <c r="AC25" s="90">
        <f t="shared" si="1"/>
        <v>0.4</v>
      </c>
      <c r="AD25" s="57">
        <f t="shared" si="13"/>
        <v>4.1057580328790628</v>
      </c>
      <c r="AE25" s="90">
        <f t="shared" si="14"/>
        <v>6.5</v>
      </c>
      <c r="AF25" s="90">
        <f t="shared" si="15"/>
        <v>0.628</v>
      </c>
      <c r="AG25" s="57">
        <f t="shared" si="16"/>
        <v>11.219566096126943</v>
      </c>
      <c r="AH25" s="90">
        <f t="shared" si="21"/>
        <v>7.4</v>
      </c>
      <c r="AI25" s="90">
        <f t="shared" si="22"/>
        <v>0.25</v>
      </c>
      <c r="AJ25" s="57">
        <f t="shared" si="17"/>
        <v>9.1961027603038037</v>
      </c>
    </row>
    <row r="26" spans="2:36">
      <c r="B26" s="818"/>
      <c r="C26" s="818"/>
      <c r="D26" s="818"/>
      <c r="E26" s="25" t="s">
        <v>80</v>
      </c>
      <c r="F26" s="25" t="s">
        <v>81</v>
      </c>
      <c r="G26" s="818"/>
      <c r="H26" s="818"/>
      <c r="I26" s="818"/>
      <c r="J26" s="25" t="s">
        <v>80</v>
      </c>
      <c r="K26" s="25" t="s">
        <v>81</v>
      </c>
      <c r="M26" s="92">
        <f t="shared" ref="M26:M54" si="23">M25+$M$5</f>
        <v>4.3220000000000001</v>
      </c>
      <c r="N26" s="92">
        <f t="shared" si="2"/>
        <v>3.8408799049960156</v>
      </c>
      <c r="O26" s="92">
        <f t="shared" si="3"/>
        <v>0.68820000000000003</v>
      </c>
      <c r="P26" s="92">
        <f t="shared" si="4"/>
        <v>10.517414293326143</v>
      </c>
      <c r="Q26" s="92"/>
      <c r="R26" s="57">
        <f t="shared" si="19"/>
        <v>2.5320000000000009</v>
      </c>
      <c r="S26" s="57">
        <f t="shared" si="5"/>
        <v>7.8521657949784069</v>
      </c>
      <c r="T26" s="57">
        <f t="shared" si="6"/>
        <v>-1.2999999999999999E-2</v>
      </c>
      <c r="U26" s="57">
        <f t="shared" si="20"/>
        <v>7.7579045664627335</v>
      </c>
      <c r="V26" s="90">
        <f t="shared" si="7"/>
        <v>5.13</v>
      </c>
      <c r="W26" s="90">
        <f t="shared" si="8"/>
        <v>0.22</v>
      </c>
      <c r="X26" s="57">
        <f t="shared" si="9"/>
        <v>6.2933136860522163</v>
      </c>
      <c r="Y26" s="90">
        <f t="shared" si="10"/>
        <v>8.26</v>
      </c>
      <c r="Z26" s="90">
        <f t="shared" si="11"/>
        <v>0.31900000000000001</v>
      </c>
      <c r="AA26" s="57">
        <f t="shared" si="12"/>
        <v>11.109255829876441</v>
      </c>
      <c r="AB26" s="90">
        <f t="shared" si="0"/>
        <v>2.9</v>
      </c>
      <c r="AC26" s="90">
        <f t="shared" si="1"/>
        <v>0.4</v>
      </c>
      <c r="AD26" s="57">
        <f t="shared" si="13"/>
        <v>4.2051692348090439</v>
      </c>
      <c r="AE26" s="90">
        <f t="shared" si="14"/>
        <v>6.5</v>
      </c>
      <c r="AF26" s="90">
        <f t="shared" si="15"/>
        <v>0.628</v>
      </c>
      <c r="AG26" s="57">
        <f t="shared" si="16"/>
        <v>11.648997742109536</v>
      </c>
      <c r="AH26" s="90">
        <f t="shared" si="21"/>
        <v>7.4</v>
      </c>
      <c r="AI26" s="90">
        <f t="shared" si="22"/>
        <v>0.25</v>
      </c>
      <c r="AJ26" s="57">
        <f t="shared" si="17"/>
        <v>9.3346415362260817</v>
      </c>
    </row>
    <row r="27" spans="2:36" ht="13.8" thickBot="1">
      <c r="B27" s="819" t="s">
        <v>82</v>
      </c>
      <c r="C27" s="819"/>
      <c r="D27" s="819"/>
      <c r="E27" s="819" t="s">
        <v>83</v>
      </c>
      <c r="F27" s="819"/>
      <c r="G27" s="820" t="s">
        <v>84</v>
      </c>
      <c r="H27" s="821"/>
      <c r="I27" s="822"/>
      <c r="J27" s="820" t="s">
        <v>85</v>
      </c>
      <c r="K27" s="822"/>
      <c r="M27" s="92">
        <f t="shared" si="23"/>
        <v>4.5720000000000001</v>
      </c>
      <c r="N27" s="92">
        <f t="shared" si="2"/>
        <v>3.8408799049960156</v>
      </c>
      <c r="O27" s="92">
        <f t="shared" si="3"/>
        <v>0.68820000000000003</v>
      </c>
      <c r="P27" s="92">
        <f t="shared" si="4"/>
        <v>10.932407963195997</v>
      </c>
      <c r="Q27" s="92"/>
      <c r="R27" s="57">
        <f t="shared" si="19"/>
        <v>2.6790000000000012</v>
      </c>
      <c r="S27" s="57">
        <f t="shared" si="5"/>
        <v>7.8521657949784069</v>
      </c>
      <c r="T27" s="57">
        <f t="shared" si="6"/>
        <v>-1.2999999999999999E-2</v>
      </c>
      <c r="U27" s="57">
        <f t="shared" si="20"/>
        <v>7.7522151204058236</v>
      </c>
      <c r="V27" s="90">
        <f t="shared" si="7"/>
        <v>5.13</v>
      </c>
      <c r="W27" s="90">
        <f t="shared" si="8"/>
        <v>0.22</v>
      </c>
      <c r="X27" s="57">
        <f t="shared" si="9"/>
        <v>6.371935369505298</v>
      </c>
      <c r="Y27" s="90">
        <f t="shared" si="10"/>
        <v>8.26</v>
      </c>
      <c r="Z27" s="90">
        <f t="shared" si="11"/>
        <v>0.31900000000000001</v>
      </c>
      <c r="AA27" s="57">
        <f t="shared" si="12"/>
        <v>11.311060959363074</v>
      </c>
      <c r="AB27" s="90">
        <f t="shared" si="0"/>
        <v>2.9</v>
      </c>
      <c r="AC27" s="90">
        <f t="shared" si="1"/>
        <v>0.4</v>
      </c>
      <c r="AD27" s="57">
        <f t="shared" si="13"/>
        <v>4.3011747076556706</v>
      </c>
      <c r="AE27" s="90">
        <f t="shared" si="14"/>
        <v>6.5</v>
      </c>
      <c r="AF27" s="90">
        <f t="shared" si="15"/>
        <v>0.628</v>
      </c>
      <c r="AG27" s="57">
        <f t="shared" si="16"/>
        <v>12.069248263561752</v>
      </c>
      <c r="AH27" s="90">
        <f t="shared" si="21"/>
        <v>7.4</v>
      </c>
      <c r="AI27" s="90">
        <f t="shared" si="22"/>
        <v>0.25</v>
      </c>
      <c r="AJ27" s="57">
        <f t="shared" si="17"/>
        <v>9.4672729442092223</v>
      </c>
    </row>
    <row r="28" spans="2:36" ht="13.8" thickTop="1">
      <c r="B28" s="26">
        <v>14</v>
      </c>
      <c r="C28" s="27" t="s">
        <v>86</v>
      </c>
      <c r="D28" s="28">
        <v>1500</v>
      </c>
      <c r="E28" s="312">
        <v>6.7599999999999993E-2</v>
      </c>
      <c r="F28" s="29">
        <v>0.22</v>
      </c>
      <c r="G28" s="30">
        <v>0.10100000000000001</v>
      </c>
      <c r="H28" s="27" t="s">
        <v>86</v>
      </c>
      <c r="I28" s="31">
        <v>10.3</v>
      </c>
      <c r="J28" s="29">
        <v>5.13</v>
      </c>
      <c r="K28" s="29">
        <v>0.22</v>
      </c>
      <c r="M28" s="92">
        <f t="shared" si="23"/>
        <v>4.8220000000000001</v>
      </c>
      <c r="N28" s="92">
        <f t="shared" si="2"/>
        <v>3.8408799049960156</v>
      </c>
      <c r="O28" s="92">
        <f t="shared" si="3"/>
        <v>0.68820000000000003</v>
      </c>
      <c r="P28" s="92">
        <f t="shared" si="4"/>
        <v>11.340382189469967</v>
      </c>
      <c r="Q28" s="92"/>
      <c r="R28" s="57">
        <f t="shared" si="19"/>
        <v>2.8260000000000014</v>
      </c>
      <c r="S28" s="57">
        <f t="shared" si="5"/>
        <v>7.8521657949784069</v>
      </c>
      <c r="T28" s="57">
        <f t="shared" si="6"/>
        <v>-1.2999999999999999E-2</v>
      </c>
      <c r="U28" s="57">
        <f t="shared" si="20"/>
        <v>7.7468335175651957</v>
      </c>
      <c r="V28" s="90">
        <f t="shared" si="7"/>
        <v>5.13</v>
      </c>
      <c r="W28" s="90">
        <f t="shared" si="8"/>
        <v>0.22</v>
      </c>
      <c r="X28" s="57">
        <f t="shared" si="9"/>
        <v>6.4472608211874141</v>
      </c>
      <c r="Y28" s="90">
        <f t="shared" si="10"/>
        <v>8.26</v>
      </c>
      <c r="Z28" s="90">
        <f t="shared" si="11"/>
        <v>0.31900000000000001</v>
      </c>
      <c r="AA28" s="57">
        <f t="shared" si="12"/>
        <v>11.505459435177105</v>
      </c>
      <c r="AB28" s="90">
        <f t="shared" si="0"/>
        <v>2.9</v>
      </c>
      <c r="AC28" s="90">
        <f t="shared" si="1"/>
        <v>0.4</v>
      </c>
      <c r="AD28" s="57">
        <f t="shared" si="13"/>
        <v>4.3940688841132829</v>
      </c>
      <c r="AE28" s="90">
        <f t="shared" si="14"/>
        <v>6.5</v>
      </c>
      <c r="AF28" s="90">
        <f t="shared" si="15"/>
        <v>0.628</v>
      </c>
      <c r="AG28" s="57">
        <f t="shared" si="16"/>
        <v>12.481002539659375</v>
      </c>
      <c r="AH28" s="90">
        <f t="shared" si="21"/>
        <v>7.4</v>
      </c>
      <c r="AI28" s="90">
        <f t="shared" si="22"/>
        <v>0.25</v>
      </c>
      <c r="AJ28" s="57">
        <f t="shared" si="17"/>
        <v>9.5945532846241601</v>
      </c>
    </row>
    <row r="29" spans="2:36">
      <c r="M29" s="92">
        <f t="shared" si="23"/>
        <v>5.0720000000000001</v>
      </c>
      <c r="N29" s="92">
        <f t="shared" si="2"/>
        <v>3.8408799049960156</v>
      </c>
      <c r="O29" s="92">
        <f t="shared" si="3"/>
        <v>0.68820000000000003</v>
      </c>
      <c r="P29" s="92">
        <f t="shared" si="4"/>
        <v>11.741810967849634</v>
      </c>
      <c r="Q29" s="92"/>
      <c r="R29" s="57">
        <f t="shared" si="19"/>
        <v>2.9730000000000016</v>
      </c>
      <c r="S29" s="57">
        <f t="shared" si="5"/>
        <v>7.8521657949784069</v>
      </c>
      <c r="T29" s="57">
        <f t="shared" si="6"/>
        <v>-1.2999999999999999E-2</v>
      </c>
      <c r="U29" s="57">
        <f t="shared" si="20"/>
        <v>7.7417283299614903</v>
      </c>
      <c r="V29" s="90">
        <f t="shared" si="7"/>
        <v>5.13</v>
      </c>
      <c r="W29" s="90">
        <f t="shared" si="8"/>
        <v>0.22</v>
      </c>
      <c r="X29" s="57">
        <f t="shared" si="9"/>
        <v>6.5195894024173873</v>
      </c>
      <c r="Y29" s="90">
        <f t="shared" si="10"/>
        <v>8.26</v>
      </c>
      <c r="Z29" s="90">
        <f t="shared" si="11"/>
        <v>0.31900000000000001</v>
      </c>
      <c r="AA29" s="57">
        <f t="shared" si="12"/>
        <v>11.693088141181613</v>
      </c>
      <c r="AB29" s="90">
        <f t="shared" si="0"/>
        <v>2.9</v>
      </c>
      <c r="AC29" s="90">
        <f t="shared" si="1"/>
        <v>0.4</v>
      </c>
      <c r="AD29" s="57">
        <f t="shared" si="13"/>
        <v>4.4841069419350692</v>
      </c>
      <c r="AE29" s="90">
        <f t="shared" si="14"/>
        <v>6.5</v>
      </c>
      <c r="AF29" s="90">
        <f t="shared" si="15"/>
        <v>0.628</v>
      </c>
      <c r="AG29" s="57">
        <f t="shared" si="16"/>
        <v>12.884861647272995</v>
      </c>
      <c r="AH29" s="90">
        <f t="shared" si="21"/>
        <v>7.4</v>
      </c>
      <c r="AI29" s="90">
        <f t="shared" si="22"/>
        <v>0.25</v>
      </c>
      <c r="AJ29" s="57">
        <f t="shared" si="17"/>
        <v>9.7169607177155495</v>
      </c>
    </row>
    <row r="30" spans="2:36">
      <c r="B30" s="815" t="s">
        <v>366</v>
      </c>
      <c r="C30" s="816"/>
      <c r="D30" s="816"/>
      <c r="E30" s="816"/>
      <c r="F30" s="816"/>
      <c r="G30" s="816"/>
      <c r="H30" s="816"/>
      <c r="I30" s="816"/>
      <c r="J30" s="816"/>
      <c r="K30" s="817"/>
      <c r="M30" s="92">
        <f t="shared" si="23"/>
        <v>5.3220000000000001</v>
      </c>
      <c r="N30" s="92">
        <f t="shared" si="2"/>
        <v>3.8408799049960156</v>
      </c>
      <c r="O30" s="92">
        <f t="shared" si="3"/>
        <v>0.68820000000000003</v>
      </c>
      <c r="P30" s="92">
        <f t="shared" si="4"/>
        <v>12.137114630927718</v>
      </c>
      <c r="Q30" s="92"/>
      <c r="R30" s="57">
        <f t="shared" si="19"/>
        <v>3.1200000000000019</v>
      </c>
      <c r="S30" s="57">
        <f t="shared" si="5"/>
        <v>7.8521657949784069</v>
      </c>
      <c r="T30" s="57">
        <f t="shared" si="6"/>
        <v>-1.2999999999999999E-2</v>
      </c>
      <c r="U30" s="57">
        <f t="shared" si="20"/>
        <v>7.7368727010922083</v>
      </c>
      <c r="V30" s="90">
        <f t="shared" si="7"/>
        <v>5.13</v>
      </c>
      <c r="W30" s="90">
        <f t="shared" si="8"/>
        <v>0.22</v>
      </c>
      <c r="X30" s="57">
        <f t="shared" si="9"/>
        <v>6.589180064357417</v>
      </c>
      <c r="Y30" s="90">
        <f t="shared" si="10"/>
        <v>8.26</v>
      </c>
      <c r="Z30" s="90">
        <f t="shared" si="11"/>
        <v>0.31900000000000001</v>
      </c>
      <c r="AA30" s="57">
        <f t="shared" si="12"/>
        <v>11.874500847160288</v>
      </c>
      <c r="AB30" s="90">
        <f t="shared" si="0"/>
        <v>2.9</v>
      </c>
      <c r="AC30" s="90">
        <f t="shared" si="1"/>
        <v>0.4</v>
      </c>
      <c r="AD30" s="57">
        <f t="shared" si="13"/>
        <v>4.5715116989344065</v>
      </c>
      <c r="AE30" s="90">
        <f t="shared" si="14"/>
        <v>6.5</v>
      </c>
      <c r="AF30" s="90">
        <f t="shared" si="15"/>
        <v>0.628</v>
      </c>
      <c r="AG30" s="57">
        <f t="shared" si="16"/>
        <v>13.281356727501089</v>
      </c>
      <c r="AH30" s="90">
        <f t="shared" si="21"/>
        <v>7.4</v>
      </c>
      <c r="AI30" s="90">
        <f t="shared" si="22"/>
        <v>0.25</v>
      </c>
      <c r="AJ30" s="57">
        <f t="shared" si="17"/>
        <v>9.8349095068547836</v>
      </c>
    </row>
    <row r="31" spans="2:36">
      <c r="B31" s="818"/>
      <c r="C31" s="818"/>
      <c r="D31" s="818"/>
      <c r="E31" s="25" t="s">
        <v>80</v>
      </c>
      <c r="F31" s="25" t="s">
        <v>81</v>
      </c>
      <c r="G31" s="818"/>
      <c r="H31" s="818"/>
      <c r="I31" s="818"/>
      <c r="J31" s="25" t="s">
        <v>80</v>
      </c>
      <c r="K31" s="25" t="s">
        <v>81</v>
      </c>
      <c r="M31" s="92">
        <f t="shared" si="23"/>
        <v>5.5720000000000001</v>
      </c>
      <c r="N31" s="92">
        <f t="shared" si="2"/>
        <v>3.8408799049960156</v>
      </c>
      <c r="O31" s="92">
        <f t="shared" si="3"/>
        <v>0.68820000000000003</v>
      </c>
      <c r="P31" s="92">
        <f t="shared" si="4"/>
        <v>12.526668147844054</v>
      </c>
      <c r="Q31" s="92"/>
      <c r="R31" s="57">
        <f t="shared" si="19"/>
        <v>3.2670000000000021</v>
      </c>
      <c r="S31" s="57">
        <f t="shared" si="5"/>
        <v>7.8521657949784069</v>
      </c>
      <c r="T31" s="57">
        <f t="shared" si="6"/>
        <v>-1.2999999999999999E-2</v>
      </c>
      <c r="U31" s="57">
        <f t="shared" si="20"/>
        <v>7.7322435009134436</v>
      </c>
      <c r="V31" s="90">
        <f t="shared" si="7"/>
        <v>5.13</v>
      </c>
      <c r="W31" s="90">
        <f t="shared" si="8"/>
        <v>0.22</v>
      </c>
      <c r="X31" s="57">
        <f t="shared" si="9"/>
        <v>6.6562584231512005</v>
      </c>
      <c r="Y31" s="90">
        <f t="shared" si="10"/>
        <v>8.26</v>
      </c>
      <c r="Z31" s="90">
        <f t="shared" si="11"/>
        <v>0.31900000000000001</v>
      </c>
      <c r="AA31" s="57">
        <f t="shared" si="12"/>
        <v>12.050182413095706</v>
      </c>
      <c r="AB31" s="90">
        <f t="shared" si="0"/>
        <v>2.9</v>
      </c>
      <c r="AC31" s="90">
        <f t="shared" si="1"/>
        <v>0.4</v>
      </c>
      <c r="AD31" s="57">
        <f t="shared" si="13"/>
        <v>4.6564790321090843</v>
      </c>
      <c r="AE31" s="90">
        <f t="shared" si="14"/>
        <v>6.5</v>
      </c>
      <c r="AF31" s="90">
        <f t="shared" si="15"/>
        <v>0.628</v>
      </c>
      <c r="AG31" s="57">
        <f t="shared" si="16"/>
        <v>13.670960015615663</v>
      </c>
      <c r="AH31" s="90">
        <f t="shared" si="21"/>
        <v>7.4</v>
      </c>
      <c r="AI31" s="90">
        <f t="shared" si="22"/>
        <v>0.25</v>
      </c>
      <c r="AJ31" s="57">
        <f t="shared" si="17"/>
        <v>9.9487611249664454</v>
      </c>
    </row>
    <row r="32" spans="2:36" ht="13.8" thickBot="1">
      <c r="B32" s="819" t="s">
        <v>82</v>
      </c>
      <c r="C32" s="819"/>
      <c r="D32" s="819"/>
      <c r="E32" s="819" t="s">
        <v>83</v>
      </c>
      <c r="F32" s="819"/>
      <c r="G32" s="820" t="s">
        <v>84</v>
      </c>
      <c r="H32" s="821"/>
      <c r="I32" s="822"/>
      <c r="J32" s="820" t="s">
        <v>85</v>
      </c>
      <c r="K32" s="822"/>
      <c r="M32" s="92">
        <v>5.93</v>
      </c>
      <c r="N32" s="92">
        <f t="shared" si="2"/>
        <v>17.20418640980624</v>
      </c>
      <c r="O32" s="92">
        <f t="shared" si="3"/>
        <v>-0.14810000000000001</v>
      </c>
      <c r="P32" s="92">
        <f t="shared" si="4"/>
        <v>13.217360622834429</v>
      </c>
      <c r="Q32" s="92"/>
      <c r="R32" s="57">
        <f t="shared" si="19"/>
        <v>3.4140000000000024</v>
      </c>
      <c r="S32" s="57">
        <f t="shared" si="5"/>
        <v>7.8521657949784069</v>
      </c>
      <c r="T32" s="57">
        <f t="shared" si="6"/>
        <v>-1.2999999999999999E-2</v>
      </c>
      <c r="U32" s="57">
        <f t="shared" si="20"/>
        <v>7.7278206673804695</v>
      </c>
      <c r="V32" s="90">
        <f t="shared" si="7"/>
        <v>5.13</v>
      </c>
      <c r="W32" s="90">
        <f t="shared" si="8"/>
        <v>0.22</v>
      </c>
      <c r="X32" s="57">
        <f t="shared" si="9"/>
        <v>6.7210223376619975</v>
      </c>
      <c r="Y32" s="90">
        <f t="shared" si="10"/>
        <v>8.26</v>
      </c>
      <c r="Z32" s="90">
        <f t="shared" si="11"/>
        <v>0.31900000000000001</v>
      </c>
      <c r="AA32" s="57">
        <f t="shared" si="12"/>
        <v>12.220560042775332</v>
      </c>
      <c r="AB32" s="90">
        <f t="shared" si="0"/>
        <v>2.9</v>
      </c>
      <c r="AC32" s="90">
        <f t="shared" si="1"/>
        <v>0.4</v>
      </c>
      <c r="AD32" s="57">
        <f t="shared" si="13"/>
        <v>4.7391821884610827</v>
      </c>
      <c r="AE32" s="90">
        <f t="shared" si="14"/>
        <v>6.5</v>
      </c>
      <c r="AF32" s="90">
        <f t="shared" si="15"/>
        <v>0.628</v>
      </c>
      <c r="AG32" s="57">
        <f t="shared" si="16"/>
        <v>14.05409371572029</v>
      </c>
      <c r="AH32" s="90">
        <f t="shared" si="21"/>
        <v>7.4</v>
      </c>
      <c r="AI32" s="90">
        <f t="shared" si="22"/>
        <v>0.25</v>
      </c>
      <c r="AJ32" s="57">
        <f t="shared" si="17"/>
        <v>10.058833023504658</v>
      </c>
    </row>
    <row r="33" spans="2:36" ht="13.8" thickTop="1">
      <c r="B33" s="26">
        <v>14</v>
      </c>
      <c r="C33" s="27" t="s">
        <v>86</v>
      </c>
      <c r="D33" s="28">
        <v>1500</v>
      </c>
      <c r="E33" s="312">
        <v>6.6500000000000004E-2</v>
      </c>
      <c r="F33" s="29">
        <v>0.31900000000000001</v>
      </c>
      <c r="G33" s="30">
        <v>0.10100000000000001</v>
      </c>
      <c r="H33" s="27" t="s">
        <v>86</v>
      </c>
      <c r="I33" s="31">
        <v>10.3</v>
      </c>
      <c r="J33" s="29">
        <v>8.26</v>
      </c>
      <c r="K33" s="29">
        <v>0.31900000000000001</v>
      </c>
      <c r="M33" s="92">
        <f t="shared" si="23"/>
        <v>6.18</v>
      </c>
      <c r="N33" s="92">
        <f t="shared" si="2"/>
        <v>17.20418640980624</v>
      </c>
      <c r="O33" s="92">
        <f t="shared" si="3"/>
        <v>-0.14810000000000001</v>
      </c>
      <c r="P33" s="92">
        <f t="shared" si="4"/>
        <v>13.136774539884957</v>
      </c>
      <c r="Q33" s="92"/>
      <c r="R33" s="57">
        <f t="shared" si="19"/>
        <v>3.5610000000000026</v>
      </c>
      <c r="S33" s="57">
        <f t="shared" si="5"/>
        <v>7.8521657949784069</v>
      </c>
      <c r="T33" s="57">
        <f t="shared" si="6"/>
        <v>-1.2999999999999999E-2</v>
      </c>
      <c r="U33" s="57">
        <f t="shared" si="20"/>
        <v>7.723586687220636</v>
      </c>
      <c r="V33" s="90">
        <f t="shared" si="7"/>
        <v>5.13</v>
      </c>
      <c r="W33" s="90">
        <f t="shared" si="8"/>
        <v>0.22</v>
      </c>
      <c r="X33" s="57">
        <f t="shared" si="9"/>
        <v>6.7836463568428407</v>
      </c>
      <c r="Y33" s="90">
        <f t="shared" si="10"/>
        <v>8.26</v>
      </c>
      <c r="Z33" s="90">
        <f t="shared" si="11"/>
        <v>0.31900000000000001</v>
      </c>
      <c r="AA33" s="57">
        <f t="shared" si="12"/>
        <v>12.38601229914714</v>
      </c>
      <c r="AB33" s="90">
        <f t="shared" si="0"/>
        <v>2.9</v>
      </c>
      <c r="AC33" s="90">
        <f t="shared" si="1"/>
        <v>0.4</v>
      </c>
      <c r="AD33" s="57">
        <f t="shared" si="13"/>
        <v>4.819775251764181</v>
      </c>
      <c r="AE33" s="90">
        <f t="shared" si="14"/>
        <v>6.5</v>
      </c>
      <c r="AF33" s="90">
        <f t="shared" si="15"/>
        <v>0.628</v>
      </c>
      <c r="AG33" s="57">
        <f t="shared" si="16"/>
        <v>14.431137215583565</v>
      </c>
      <c r="AH33" s="90">
        <f t="shared" si="21"/>
        <v>7.4</v>
      </c>
      <c r="AI33" s="90">
        <f t="shared" si="22"/>
        <v>0.25</v>
      </c>
      <c r="AJ33" s="57">
        <f t="shared" si="17"/>
        <v>10.165405634324063</v>
      </c>
    </row>
    <row r="34" spans="2:36" ht="13.8" thickBot="1">
      <c r="M34" s="92">
        <f t="shared" si="23"/>
        <v>6.43</v>
      </c>
      <c r="N34" s="92">
        <f t="shared" si="2"/>
        <v>17.20418640980624</v>
      </c>
      <c r="O34" s="92">
        <f t="shared" si="3"/>
        <v>-0.14810000000000001</v>
      </c>
      <c r="P34" s="92">
        <f t="shared" si="4"/>
        <v>13.059847161795481</v>
      </c>
      <c r="Q34" s="92"/>
      <c r="R34" s="57">
        <v>3.7919999999999998</v>
      </c>
      <c r="S34" s="57">
        <f t="shared" si="5"/>
        <v>7.8521657949784069</v>
      </c>
      <c r="T34" s="57">
        <f t="shared" si="6"/>
        <v>-1.2999999999999999E-2</v>
      </c>
      <c r="U34" s="57">
        <f t="shared" si="20"/>
        <v>7.7172784893185353</v>
      </c>
      <c r="V34" s="90">
        <f t="shared" si="7"/>
        <v>5.13</v>
      </c>
      <c r="W34" s="90">
        <f t="shared" si="8"/>
        <v>0.22</v>
      </c>
      <c r="X34" s="57">
        <f t="shared" si="9"/>
        <v>6.8780986019197048</v>
      </c>
      <c r="Y34" s="90">
        <f t="shared" si="10"/>
        <v>8.26</v>
      </c>
      <c r="Z34" s="90">
        <f t="shared" si="11"/>
        <v>0.31900000000000001</v>
      </c>
      <c r="AA34" s="57">
        <f t="shared" si="12"/>
        <v>12.636856219276774</v>
      </c>
      <c r="AB34" s="90">
        <f t="shared" si="0"/>
        <v>2.9</v>
      </c>
      <c r="AC34" s="90">
        <f t="shared" si="1"/>
        <v>0.4</v>
      </c>
      <c r="AD34" s="57">
        <f t="shared" si="13"/>
        <v>4.9424846520138512</v>
      </c>
      <c r="AE34" s="90">
        <f t="shared" si="14"/>
        <v>6.5</v>
      </c>
      <c r="AF34" s="90">
        <f t="shared" si="15"/>
        <v>0.628</v>
      </c>
      <c r="AG34" s="57">
        <f t="shared" si="16"/>
        <v>15.012142113684396</v>
      </c>
      <c r="AH34" s="90">
        <f t="shared" si="21"/>
        <v>7.4</v>
      </c>
      <c r="AI34" s="90">
        <f t="shared" si="22"/>
        <v>0.25</v>
      </c>
      <c r="AJ34" s="57">
        <f t="shared" si="17"/>
        <v>10.326396627737143</v>
      </c>
    </row>
    <row r="35" spans="2:36" ht="13.8" thickBot="1">
      <c r="B35" s="222" t="s">
        <v>406</v>
      </c>
      <c r="C35" s="223"/>
      <c r="D35" s="223"/>
      <c r="E35" s="223"/>
      <c r="F35" s="223"/>
      <c r="G35" s="224"/>
      <c r="M35" s="92">
        <f t="shared" si="23"/>
        <v>6.68</v>
      </c>
      <c r="N35" s="92">
        <f t="shared" si="2"/>
        <v>17.20418640980624</v>
      </c>
      <c r="O35" s="92">
        <f t="shared" si="3"/>
        <v>-0.14810000000000001</v>
      </c>
      <c r="P35" s="92">
        <f t="shared" si="4"/>
        <v>12.986279488740509</v>
      </c>
      <c r="Q35" s="92"/>
      <c r="R35" s="57">
        <f t="shared" si="19"/>
        <v>3.9390000000000001</v>
      </c>
      <c r="S35" s="57">
        <f t="shared" si="5"/>
        <v>3.9067683041390504</v>
      </c>
      <c r="T35" s="57">
        <f t="shared" si="6"/>
        <v>0.53539999999999999</v>
      </c>
      <c r="U35" s="57">
        <f t="shared" si="20"/>
        <v>8.1393047534918015</v>
      </c>
      <c r="V35" s="90">
        <f t="shared" si="7"/>
        <v>5.13</v>
      </c>
      <c r="W35" s="90">
        <f t="shared" si="8"/>
        <v>0.22</v>
      </c>
      <c r="X35" s="57">
        <f t="shared" si="9"/>
        <v>6.9358913427372242</v>
      </c>
      <c r="Y35" s="90">
        <f t="shared" si="10"/>
        <v>8.26</v>
      </c>
      <c r="Z35" s="90">
        <f t="shared" si="11"/>
        <v>0.31900000000000001</v>
      </c>
      <c r="AA35" s="57">
        <f t="shared" si="12"/>
        <v>12.791108275097109</v>
      </c>
      <c r="AB35" s="90">
        <f t="shared" si="0"/>
        <v>2.9</v>
      </c>
      <c r="AC35" s="90">
        <f t="shared" si="1"/>
        <v>0.4</v>
      </c>
      <c r="AD35" s="57">
        <f t="shared" si="13"/>
        <v>5.0182511202694222</v>
      </c>
      <c r="AE35" s="90">
        <f t="shared" si="14"/>
        <v>6.5</v>
      </c>
      <c r="AF35" s="90">
        <f t="shared" si="15"/>
        <v>0.628</v>
      </c>
      <c r="AG35" s="57">
        <f t="shared" si="16"/>
        <v>15.375022237708167</v>
      </c>
      <c r="AH35" s="90">
        <f t="shared" si="21"/>
        <v>7.4</v>
      </c>
      <c r="AI35" s="90">
        <f t="shared" si="22"/>
        <v>0.25</v>
      </c>
      <c r="AJ35" s="57">
        <f t="shared" si="17"/>
        <v>10.425051640599454</v>
      </c>
    </row>
    <row r="36" spans="2:36">
      <c r="B36" s="214" t="s">
        <v>548</v>
      </c>
      <c r="G36" s="215"/>
      <c r="M36" s="92">
        <f t="shared" si="23"/>
        <v>6.93</v>
      </c>
      <c r="N36" s="92">
        <f t="shared" si="2"/>
        <v>17.20418640980624</v>
      </c>
      <c r="O36" s="92">
        <f t="shared" si="3"/>
        <v>-0.14810000000000001</v>
      </c>
      <c r="P36" s="92">
        <f t="shared" si="4"/>
        <v>12.915807022080093</v>
      </c>
      <c r="Q36" s="92"/>
      <c r="R36" s="57">
        <f t="shared" si="19"/>
        <v>4.0860000000000003</v>
      </c>
      <c r="S36" s="57">
        <f t="shared" si="5"/>
        <v>3.9067683041390504</v>
      </c>
      <c r="T36" s="57">
        <f t="shared" si="6"/>
        <v>0.53539999999999999</v>
      </c>
      <c r="U36" s="57">
        <f t="shared" si="20"/>
        <v>8.3005486392322965</v>
      </c>
      <c r="V36" s="90">
        <f t="shared" si="7"/>
        <v>5.13</v>
      </c>
      <c r="W36" s="90">
        <f t="shared" si="8"/>
        <v>0.22</v>
      </c>
      <c r="X36" s="57">
        <f t="shared" si="9"/>
        <v>6.9920255211013549</v>
      </c>
      <c r="Y36" s="90">
        <f t="shared" si="10"/>
        <v>8.26</v>
      </c>
      <c r="Z36" s="90">
        <f t="shared" si="11"/>
        <v>0.31900000000000001</v>
      </c>
      <c r="AA36" s="57">
        <f t="shared" si="12"/>
        <v>12.94148832547007</v>
      </c>
      <c r="AB36" s="90">
        <f t="shared" si="0"/>
        <v>2.9</v>
      </c>
      <c r="AC36" s="90">
        <f t="shared" si="1"/>
        <v>0.4</v>
      </c>
      <c r="AD36" s="57">
        <f t="shared" si="13"/>
        <v>5.0923394178357002</v>
      </c>
      <c r="AE36" s="90">
        <f t="shared" si="14"/>
        <v>6.5</v>
      </c>
      <c r="AF36" s="90">
        <f t="shared" si="15"/>
        <v>0.628</v>
      </c>
      <c r="AG36" s="57">
        <f t="shared" si="16"/>
        <v>15.732898040730188</v>
      </c>
      <c r="AH36" s="90">
        <f t="shared" si="21"/>
        <v>7.4</v>
      </c>
      <c r="AI36" s="90">
        <f t="shared" si="22"/>
        <v>0.25</v>
      </c>
      <c r="AJ36" s="57">
        <f t="shared" si="17"/>
        <v>10.520982792737936</v>
      </c>
    </row>
    <row r="37" spans="2:36">
      <c r="B37" s="216" t="s">
        <v>438</v>
      </c>
      <c r="G37" s="215"/>
      <c r="M37" s="92">
        <f t="shared" si="23"/>
        <v>7.18</v>
      </c>
      <c r="N37" s="92">
        <f t="shared" si="2"/>
        <v>17.20418640980624</v>
      </c>
      <c r="O37" s="92">
        <f t="shared" si="3"/>
        <v>-0.14810000000000001</v>
      </c>
      <c r="P37" s="92">
        <f t="shared" si="4"/>
        <v>12.848194703751872</v>
      </c>
      <c r="Q37" s="92"/>
      <c r="R37" s="57">
        <f t="shared" si="19"/>
        <v>4.2330000000000005</v>
      </c>
      <c r="S37" s="57">
        <f t="shared" si="5"/>
        <v>3.9067683041390504</v>
      </c>
      <c r="T37" s="57">
        <f t="shared" si="6"/>
        <v>0.53539999999999999</v>
      </c>
      <c r="U37" s="57">
        <f t="shared" si="20"/>
        <v>8.4591190785716908</v>
      </c>
      <c r="V37" s="90">
        <f t="shared" si="7"/>
        <v>5.13</v>
      </c>
      <c r="W37" s="90">
        <f t="shared" si="8"/>
        <v>0.22</v>
      </c>
      <c r="X37" s="57">
        <f t="shared" si="9"/>
        <v>7.0466059172433386</v>
      </c>
      <c r="Y37" s="90">
        <f t="shared" si="10"/>
        <v>8.26</v>
      </c>
      <c r="Z37" s="90">
        <f t="shared" si="11"/>
        <v>0.31900000000000001</v>
      </c>
      <c r="AA37" s="57">
        <f t="shared" si="12"/>
        <v>13.088227790813562</v>
      </c>
      <c r="AB37" s="90">
        <f t="shared" si="0"/>
        <v>2.9</v>
      </c>
      <c r="AC37" s="90">
        <f t="shared" si="1"/>
        <v>0.4</v>
      </c>
      <c r="AD37" s="57">
        <f t="shared" si="13"/>
        <v>5.1648451506439796</v>
      </c>
      <c r="AE37" s="90">
        <f t="shared" si="14"/>
        <v>6.5</v>
      </c>
      <c r="AF37" s="90">
        <f t="shared" si="15"/>
        <v>0.628</v>
      </c>
      <c r="AG37" s="57">
        <f t="shared" si="16"/>
        <v>16.08601499643903</v>
      </c>
      <c r="AH37" s="90">
        <f t="shared" si="21"/>
        <v>7.4</v>
      </c>
      <c r="AI37" s="90">
        <f t="shared" si="22"/>
        <v>0.25</v>
      </c>
      <c r="AJ37" s="57">
        <f t="shared" si="17"/>
        <v>10.614359355674466</v>
      </c>
    </row>
    <row r="38" spans="2:36">
      <c r="B38" s="217" t="s">
        <v>273</v>
      </c>
      <c r="G38" s="215"/>
      <c r="M38" s="92">
        <f t="shared" si="23"/>
        <v>7.43</v>
      </c>
      <c r="N38" s="92">
        <f t="shared" si="2"/>
        <v>17.20418640980624</v>
      </c>
      <c r="O38" s="92">
        <f t="shared" si="3"/>
        <v>-0.14810000000000001</v>
      </c>
      <c r="P38" s="92">
        <f t="shared" si="4"/>
        <v>12.783232745506083</v>
      </c>
      <c r="Q38" s="92"/>
      <c r="R38" s="57">
        <f t="shared" si="19"/>
        <v>4.3800000000000008</v>
      </c>
      <c r="S38" s="57">
        <f t="shared" si="5"/>
        <v>3.9067683041390504</v>
      </c>
      <c r="T38" s="57">
        <f t="shared" si="6"/>
        <v>0.53539999999999999</v>
      </c>
      <c r="U38" s="57">
        <f t="shared" si="20"/>
        <v>8.6151510103659632</v>
      </c>
      <c r="V38" s="90">
        <f t="shared" si="7"/>
        <v>5.13</v>
      </c>
      <c r="W38" s="90">
        <f t="shared" si="8"/>
        <v>0.22</v>
      </c>
      <c r="X38" s="57">
        <f t="shared" si="9"/>
        <v>7.0997273261921308</v>
      </c>
      <c r="Y38" s="90">
        <f t="shared" si="10"/>
        <v>8.26</v>
      </c>
      <c r="Z38" s="90">
        <f t="shared" si="11"/>
        <v>0.31900000000000001</v>
      </c>
      <c r="AA38" s="57">
        <f t="shared" si="12"/>
        <v>13.231536786637625</v>
      </c>
      <c r="AB38" s="90">
        <f t="shared" si="0"/>
        <v>2.9</v>
      </c>
      <c r="AC38" s="90">
        <f t="shared" si="1"/>
        <v>0.4</v>
      </c>
      <c r="AD38" s="57">
        <f t="shared" si="13"/>
        <v>5.2358553768711609</v>
      </c>
      <c r="AE38" s="90">
        <f t="shared" si="14"/>
        <v>6.5</v>
      </c>
      <c r="AF38" s="90">
        <f t="shared" si="15"/>
        <v>0.628</v>
      </c>
      <c r="AG38" s="57">
        <f t="shared" si="16"/>
        <v>16.434598476510683</v>
      </c>
      <c r="AH38" s="90">
        <f t="shared" si="21"/>
        <v>7.4</v>
      </c>
      <c r="AI38" s="90">
        <f t="shared" si="22"/>
        <v>0.25</v>
      </c>
      <c r="AJ38" s="57">
        <f t="shared" si="17"/>
        <v>10.705334635668097</v>
      </c>
    </row>
    <row r="39" spans="2:36">
      <c r="B39" s="216" t="s">
        <v>403</v>
      </c>
      <c r="G39" s="215"/>
      <c r="M39" s="92">
        <f t="shared" si="23"/>
        <v>7.68</v>
      </c>
      <c r="N39" s="92">
        <f t="shared" si="2"/>
        <v>17.20418640980624</v>
      </c>
      <c r="O39" s="92">
        <f t="shared" si="3"/>
        <v>-0.14810000000000001</v>
      </c>
      <c r="P39" s="92">
        <f t="shared" si="4"/>
        <v>12.720733167280462</v>
      </c>
      <c r="Q39" s="92"/>
      <c r="R39" s="57">
        <f t="shared" si="19"/>
        <v>4.527000000000001</v>
      </c>
      <c r="S39" s="57">
        <f t="shared" si="5"/>
        <v>3.9067683041390504</v>
      </c>
      <c r="T39" s="57">
        <f t="shared" si="6"/>
        <v>0.53539999999999999</v>
      </c>
      <c r="U39" s="57">
        <f t="shared" si="20"/>
        <v>8.7687682925235677</v>
      </c>
      <c r="V39" s="90">
        <f t="shared" si="7"/>
        <v>5.13</v>
      </c>
      <c r="W39" s="90">
        <f t="shared" si="8"/>
        <v>0.22</v>
      </c>
      <c r="X39" s="57">
        <f t="shared" si="9"/>
        <v>7.1514758088742738</v>
      </c>
      <c r="Y39" s="90">
        <f t="shared" si="10"/>
        <v>8.26</v>
      </c>
      <c r="Z39" s="90">
        <f t="shared" si="11"/>
        <v>0.31900000000000001</v>
      </c>
      <c r="AA39" s="57">
        <f t="shared" si="12"/>
        <v>13.371606727397856</v>
      </c>
      <c r="AB39" s="90">
        <f t="shared" si="0"/>
        <v>2.9</v>
      </c>
      <c r="AC39" s="90">
        <f t="shared" si="1"/>
        <v>0.4</v>
      </c>
      <c r="AD39" s="57">
        <f t="shared" si="13"/>
        <v>5.3054496300473195</v>
      </c>
      <c r="AE39" s="90">
        <f t="shared" si="14"/>
        <v>6.5</v>
      </c>
      <c r="AF39" s="90">
        <f t="shared" si="15"/>
        <v>0.628</v>
      </c>
      <c r="AG39" s="57">
        <f t="shared" si="16"/>
        <v>16.778856013022484</v>
      </c>
      <c r="AH39" s="90">
        <f t="shared" si="21"/>
        <v>7.4</v>
      </c>
      <c r="AI39" s="90">
        <f t="shared" si="22"/>
        <v>0.25</v>
      </c>
      <c r="AJ39" s="57">
        <f t="shared" si="17"/>
        <v>10.794047959220769</v>
      </c>
    </row>
    <row r="40" spans="2:36">
      <c r="B40" s="214" t="s">
        <v>549</v>
      </c>
      <c r="G40" s="215"/>
      <c r="M40" s="92">
        <f t="shared" si="23"/>
        <v>7.93</v>
      </c>
      <c r="N40" s="92">
        <f t="shared" si="2"/>
        <v>17.20418640980624</v>
      </c>
      <c r="O40" s="92">
        <f t="shared" si="3"/>
        <v>-0.14810000000000001</v>
      </c>
      <c r="P40" s="92">
        <f t="shared" si="4"/>
        <v>12.660526905315331</v>
      </c>
      <c r="Q40" s="92"/>
      <c r="R40" s="57">
        <f t="shared" si="19"/>
        <v>4.6740000000000013</v>
      </c>
      <c r="S40" s="57">
        <f t="shared" si="5"/>
        <v>3.9067683041390504</v>
      </c>
      <c r="T40" s="57">
        <f t="shared" si="6"/>
        <v>0.53539999999999999</v>
      </c>
      <c r="U40" s="57">
        <f t="shared" si="20"/>
        <v>8.9200849400797466</v>
      </c>
      <c r="V40" s="90">
        <f t="shared" si="7"/>
        <v>5.13</v>
      </c>
      <c r="W40" s="90">
        <f t="shared" si="8"/>
        <v>0.22</v>
      </c>
      <c r="X40" s="57">
        <f t="shared" si="9"/>
        <v>7.2019297513263716</v>
      </c>
      <c r="Y40" s="90">
        <f t="shared" si="10"/>
        <v>8.26</v>
      </c>
      <c r="Z40" s="90">
        <f t="shared" si="11"/>
        <v>0.31900000000000001</v>
      </c>
      <c r="AA40" s="57">
        <f t="shared" si="12"/>
        <v>13.508612538615981</v>
      </c>
      <c r="AB40" s="90">
        <f t="shared" si="0"/>
        <v>2.9</v>
      </c>
      <c r="AC40" s="90">
        <f t="shared" si="1"/>
        <v>0.4</v>
      </c>
      <c r="AD40" s="57">
        <f t="shared" si="13"/>
        <v>5.3737007907047829</v>
      </c>
      <c r="AE40" s="90">
        <f t="shared" si="14"/>
        <v>6.5</v>
      </c>
      <c r="AF40" s="90">
        <f t="shared" si="15"/>
        <v>0.628</v>
      </c>
      <c r="AG40" s="57">
        <f t="shared" si="16"/>
        <v>17.118979241345706</v>
      </c>
      <c r="AH40" s="90">
        <f t="shared" si="21"/>
        <v>7.4</v>
      </c>
      <c r="AI40" s="90">
        <f t="shared" si="22"/>
        <v>0.25</v>
      </c>
      <c r="AJ40" s="57">
        <f t="shared" si="17"/>
        <v>10.880626355817851</v>
      </c>
    </row>
    <row r="41" spans="2:36">
      <c r="B41" s="216" t="s">
        <v>439</v>
      </c>
      <c r="G41" s="215"/>
      <c r="M41" s="92">
        <f t="shared" si="23"/>
        <v>8.18</v>
      </c>
      <c r="N41" s="92">
        <f t="shared" si="2"/>
        <v>17.20418640980624</v>
      </c>
      <c r="O41" s="92">
        <f t="shared" si="3"/>
        <v>-0.14810000000000001</v>
      </c>
      <c r="P41" s="92">
        <f t="shared" si="4"/>
        <v>12.602461381483874</v>
      </c>
      <c r="Q41" s="92"/>
      <c r="R41" s="57">
        <f t="shared" si="19"/>
        <v>4.8210000000000015</v>
      </c>
      <c r="S41" s="57">
        <f t="shared" si="5"/>
        <v>3.9067683041390504</v>
      </c>
      <c r="T41" s="57">
        <f t="shared" si="6"/>
        <v>0.53539999999999999</v>
      </c>
      <c r="U41" s="57">
        <f t="shared" si="20"/>
        <v>9.069206190561534</v>
      </c>
      <c r="V41" s="90">
        <f t="shared" si="7"/>
        <v>5.13</v>
      </c>
      <c r="W41" s="90">
        <f t="shared" si="8"/>
        <v>0.22</v>
      </c>
      <c r="X41" s="57">
        <f t="shared" si="9"/>
        <v>7.2511607665049107</v>
      </c>
      <c r="Y41" s="90">
        <f t="shared" si="10"/>
        <v>8.26</v>
      </c>
      <c r="Z41" s="90">
        <f t="shared" si="11"/>
        <v>0.31900000000000001</v>
      </c>
      <c r="AA41" s="57">
        <f t="shared" si="12"/>
        <v>13.642714546571433</v>
      </c>
      <c r="AB41" s="90">
        <f t="shared" ref="AB41:AB72" si="24">am_1</f>
        <v>2.9</v>
      </c>
      <c r="AC41" s="90">
        <f t="shared" ref="AC41:AC72" si="25">nm_1</f>
        <v>0.4</v>
      </c>
      <c r="AD41" s="57">
        <f t="shared" si="13"/>
        <v>5.4406758330164502</v>
      </c>
      <c r="AE41" s="90">
        <f t="shared" si="14"/>
        <v>6.5</v>
      </c>
      <c r="AF41" s="90">
        <f t="shared" si="15"/>
        <v>0.628</v>
      </c>
      <c r="AG41" s="57">
        <f t="shared" si="16"/>
        <v>17.455145577236557</v>
      </c>
      <c r="AH41" s="90">
        <f t="shared" si="21"/>
        <v>7.4</v>
      </c>
      <c r="AI41" s="90">
        <f t="shared" si="22"/>
        <v>0.25</v>
      </c>
      <c r="AJ41" s="57">
        <f t="shared" si="17"/>
        <v>10.965185992058132</v>
      </c>
    </row>
    <row r="42" spans="2:36">
      <c r="B42" s="218" t="s">
        <v>403</v>
      </c>
      <c r="C42" s="213"/>
      <c r="D42" s="213"/>
      <c r="E42" s="213"/>
      <c r="F42" s="213"/>
      <c r="G42" s="219"/>
      <c r="M42" s="92">
        <v>8.5</v>
      </c>
      <c r="N42" s="92">
        <f t="shared" si="2"/>
        <v>17.20418640980624</v>
      </c>
      <c r="O42" s="92">
        <f t="shared" si="3"/>
        <v>-0.14810000000000001</v>
      </c>
      <c r="P42" s="92">
        <f t="shared" si="4"/>
        <v>12.531042318830446</v>
      </c>
      <c r="Q42" s="92"/>
      <c r="R42" s="57">
        <f t="shared" si="19"/>
        <v>4.9680000000000017</v>
      </c>
      <c r="S42" s="57">
        <f t="shared" si="5"/>
        <v>3.9067683041390504</v>
      </c>
      <c r="T42" s="57">
        <f t="shared" si="6"/>
        <v>0.53539999999999999</v>
      </c>
      <c r="U42" s="57">
        <f t="shared" si="20"/>
        <v>9.2162294252424335</v>
      </c>
      <c r="V42" s="90">
        <f t="shared" si="7"/>
        <v>5.13</v>
      </c>
      <c r="W42" s="90">
        <f t="shared" si="8"/>
        <v>0.22</v>
      </c>
      <c r="X42" s="57">
        <f t="shared" si="9"/>
        <v>7.2992344661271771</v>
      </c>
      <c r="Y42" s="90">
        <f t="shared" si="10"/>
        <v>8.26</v>
      </c>
      <c r="Z42" s="90">
        <f t="shared" si="11"/>
        <v>0.31900000000000001</v>
      </c>
      <c r="AA42" s="57">
        <f t="shared" si="12"/>
        <v>13.774060100882698</v>
      </c>
      <c r="AB42" s="90">
        <f t="shared" si="24"/>
        <v>2.9</v>
      </c>
      <c r="AC42" s="90">
        <f t="shared" si="25"/>
        <v>0.4</v>
      </c>
      <c r="AD42" s="57">
        <f t="shared" si="13"/>
        <v>5.5064364675921631</v>
      </c>
      <c r="AE42" s="90">
        <f t="shared" si="14"/>
        <v>6.5</v>
      </c>
      <c r="AF42" s="90">
        <f t="shared" si="15"/>
        <v>0.628</v>
      </c>
      <c r="AG42" s="57">
        <f t="shared" si="16"/>
        <v>17.787519671456163</v>
      </c>
      <c r="AH42" s="90">
        <f t="shared" si="21"/>
        <v>7.4</v>
      </c>
      <c r="AI42" s="90">
        <f t="shared" si="22"/>
        <v>0.25</v>
      </c>
      <c r="AJ42" s="57">
        <f t="shared" si="17"/>
        <v>11.047833400298872</v>
      </c>
    </row>
    <row r="43" spans="2:36">
      <c r="B43" s="231" t="s">
        <v>404</v>
      </c>
      <c r="G43" s="215"/>
      <c r="M43" s="92">
        <f t="shared" si="23"/>
        <v>8.75</v>
      </c>
      <c r="N43" s="92">
        <f t="shared" si="2"/>
        <v>4.7752408634765926</v>
      </c>
      <c r="O43" s="92">
        <f t="shared" si="3"/>
        <v>0.44169999999999998</v>
      </c>
      <c r="P43" s="92">
        <f t="shared" si="4"/>
        <v>12.447445669176275</v>
      </c>
      <c r="Q43" s="92"/>
      <c r="R43" s="57">
        <f t="shared" si="19"/>
        <v>5.115000000000002</v>
      </c>
      <c r="S43" s="57">
        <f t="shared" si="5"/>
        <v>3.9067683041390504</v>
      </c>
      <c r="T43" s="57">
        <f t="shared" si="6"/>
        <v>0.53539999999999999</v>
      </c>
      <c r="U43" s="57">
        <f t="shared" si="20"/>
        <v>9.3612449694474318</v>
      </c>
      <c r="V43" s="90">
        <f t="shared" si="7"/>
        <v>5.13</v>
      </c>
      <c r="W43" s="90">
        <f t="shared" si="8"/>
        <v>0.22</v>
      </c>
      <c r="X43" s="57">
        <f t="shared" si="9"/>
        <v>7.3462111245320374</v>
      </c>
      <c r="Y43" s="90">
        <f t="shared" si="10"/>
        <v>8.26</v>
      </c>
      <c r="Z43" s="90">
        <f t="shared" si="11"/>
        <v>0.31900000000000001</v>
      </c>
      <c r="AA43" s="57">
        <f t="shared" si="12"/>
        <v>13.902784974461726</v>
      </c>
      <c r="AB43" s="90">
        <f t="shared" si="24"/>
        <v>2.9</v>
      </c>
      <c r="AC43" s="90">
        <f t="shared" si="25"/>
        <v>0.4</v>
      </c>
      <c r="AD43" s="57">
        <f t="shared" si="13"/>
        <v>5.5710396975007379</v>
      </c>
      <c r="AE43" s="90">
        <f t="shared" si="14"/>
        <v>6.5</v>
      </c>
      <c r="AF43" s="90">
        <f t="shared" si="15"/>
        <v>0.628</v>
      </c>
      <c r="AG43" s="57">
        <f t="shared" si="16"/>
        <v>18.116254677117375</v>
      </c>
      <c r="AH43" s="90">
        <f t="shared" ref="AH43:AH74" si="26">am_4</f>
        <v>7.4</v>
      </c>
      <c r="AI43" s="90">
        <f t="shared" ref="AI43:AI74" si="27">nm_4</f>
        <v>0.25</v>
      </c>
      <c r="AJ43" s="57">
        <f t="shared" si="17"/>
        <v>11.128666536416029</v>
      </c>
    </row>
    <row r="44" spans="2:36">
      <c r="B44" s="231" t="s">
        <v>405</v>
      </c>
      <c r="G44" s="215"/>
      <c r="M44" s="92">
        <f t="shared" si="23"/>
        <v>9</v>
      </c>
      <c r="N44" s="92">
        <f t="shared" si="2"/>
        <v>4.7752408634765926</v>
      </c>
      <c r="O44" s="92">
        <f t="shared" si="3"/>
        <v>0.44169999999999998</v>
      </c>
      <c r="P44" s="92">
        <f t="shared" si="4"/>
        <v>12.603297815275388</v>
      </c>
      <c r="Q44" s="92"/>
      <c r="R44" s="57">
        <f t="shared" si="19"/>
        <v>5.2620000000000022</v>
      </c>
      <c r="S44" s="57">
        <f t="shared" si="5"/>
        <v>3.9067683041390504</v>
      </c>
      <c r="T44" s="57">
        <f t="shared" si="6"/>
        <v>0.53539999999999999</v>
      </c>
      <c r="U44" s="57">
        <f t="shared" si="20"/>
        <v>9.5043367907911236</v>
      </c>
      <c r="V44" s="90">
        <f t="shared" si="7"/>
        <v>5.13</v>
      </c>
      <c r="W44" s="90">
        <f t="shared" si="8"/>
        <v>0.22</v>
      </c>
      <c r="X44" s="57">
        <f t="shared" si="9"/>
        <v>7.3921462523092965</v>
      </c>
      <c r="Y44" s="90">
        <f t="shared" si="10"/>
        <v>8.26</v>
      </c>
      <c r="Z44" s="90">
        <f t="shared" si="11"/>
        <v>0.31900000000000001</v>
      </c>
      <c r="AA44" s="57">
        <f t="shared" si="12"/>
        <v>14.029014576860025</v>
      </c>
      <c r="AB44" s="90">
        <f t="shared" si="24"/>
        <v>2.9</v>
      </c>
      <c r="AC44" s="90">
        <f t="shared" si="25"/>
        <v>0.4</v>
      </c>
      <c r="AD44" s="57">
        <f t="shared" si="13"/>
        <v>5.6345383013730448</v>
      </c>
      <c r="AE44" s="90">
        <f t="shared" si="14"/>
        <v>6.5</v>
      </c>
      <c r="AF44" s="90">
        <f t="shared" si="15"/>
        <v>0.628</v>
      </c>
      <c r="AG44" s="57">
        <f t="shared" si="16"/>
        <v>18.441493358539184</v>
      </c>
      <c r="AH44" s="90">
        <f t="shared" si="26"/>
        <v>7.4</v>
      </c>
      <c r="AI44" s="90">
        <f t="shared" si="27"/>
        <v>0.25</v>
      </c>
      <c r="AJ44" s="57">
        <f t="shared" si="17"/>
        <v>11.207775694634545</v>
      </c>
    </row>
    <row r="45" spans="2:36">
      <c r="B45" s="231" t="s">
        <v>464</v>
      </c>
      <c r="G45" s="215"/>
      <c r="M45" s="92">
        <f t="shared" si="23"/>
        <v>9.25</v>
      </c>
      <c r="N45" s="92">
        <f t="shared" si="2"/>
        <v>4.7752408634765926</v>
      </c>
      <c r="O45" s="92">
        <f t="shared" si="3"/>
        <v>0.44169999999999998</v>
      </c>
      <c r="P45" s="92">
        <f t="shared" si="4"/>
        <v>12.756751208083816</v>
      </c>
      <c r="Q45" s="92"/>
      <c r="R45" s="57">
        <f t="shared" si="19"/>
        <v>5.4090000000000025</v>
      </c>
      <c r="S45" s="57">
        <f t="shared" si="5"/>
        <v>3.9067683041390504</v>
      </c>
      <c r="T45" s="57">
        <f t="shared" si="6"/>
        <v>0.53539999999999999</v>
      </c>
      <c r="U45" s="57">
        <f t="shared" si="20"/>
        <v>9.6455831108406453</v>
      </c>
      <c r="V45" s="90">
        <f t="shared" si="7"/>
        <v>5.13</v>
      </c>
      <c r="W45" s="90">
        <f t="shared" si="8"/>
        <v>0.22</v>
      </c>
      <c r="X45" s="57">
        <f t="shared" si="9"/>
        <v>7.4370910941186619</v>
      </c>
      <c r="Y45" s="90">
        <f t="shared" si="10"/>
        <v>8.26</v>
      </c>
      <c r="Z45" s="90">
        <f t="shared" si="11"/>
        <v>0.31900000000000001</v>
      </c>
      <c r="AA45" s="57">
        <f t="shared" si="12"/>
        <v>14.15286501036107</v>
      </c>
      <c r="AB45" s="90">
        <f t="shared" si="24"/>
        <v>2.9</v>
      </c>
      <c r="AC45" s="90">
        <f t="shared" si="25"/>
        <v>0.4</v>
      </c>
      <c r="AD45" s="57">
        <f t="shared" si="13"/>
        <v>5.6969812549062393</v>
      </c>
      <c r="AE45" s="90">
        <f t="shared" si="14"/>
        <v>6.5</v>
      </c>
      <c r="AF45" s="90">
        <f t="shared" si="15"/>
        <v>0.628</v>
      </c>
      <c r="AG45" s="57">
        <f t="shared" si="16"/>
        <v>18.76336906528817</v>
      </c>
      <c r="AH45" s="90">
        <f t="shared" si="26"/>
        <v>7.4</v>
      </c>
      <c r="AI45" s="90">
        <f t="shared" si="27"/>
        <v>0.25</v>
      </c>
      <c r="AJ45" s="57">
        <f t="shared" si="17"/>
        <v>11.285244302163202</v>
      </c>
    </row>
    <row r="46" spans="2:36" ht="13.8" thickBot="1">
      <c r="B46" s="232" t="s">
        <v>550</v>
      </c>
      <c r="C46" s="220"/>
      <c r="D46" s="220"/>
      <c r="E46" s="220"/>
      <c r="F46" s="220"/>
      <c r="G46" s="221"/>
      <c r="M46" s="92">
        <f t="shared" si="23"/>
        <v>9.5</v>
      </c>
      <c r="N46" s="92">
        <f t="shared" si="2"/>
        <v>4.7752408634765926</v>
      </c>
      <c r="O46" s="92">
        <f t="shared" si="3"/>
        <v>0.44169999999999998</v>
      </c>
      <c r="P46" s="92">
        <f t="shared" si="4"/>
        <v>12.907906140183</v>
      </c>
      <c r="Q46" s="92"/>
      <c r="R46" s="57">
        <f t="shared" si="19"/>
        <v>5.5560000000000027</v>
      </c>
      <c r="S46" s="57">
        <f t="shared" si="5"/>
        <v>3.9067683041390504</v>
      </c>
      <c r="T46" s="57">
        <f t="shared" si="6"/>
        <v>0.53539999999999999</v>
      </c>
      <c r="U46" s="57">
        <f t="shared" si="20"/>
        <v>9.7850569429885326</v>
      </c>
      <c r="V46" s="90">
        <f t="shared" si="7"/>
        <v>5.13</v>
      </c>
      <c r="W46" s="90">
        <f t="shared" si="8"/>
        <v>0.22</v>
      </c>
      <c r="X46" s="57">
        <f t="shared" si="9"/>
        <v>7.4810930624882701</v>
      </c>
      <c r="Y46" s="90">
        <f t="shared" si="10"/>
        <v>8.26</v>
      </c>
      <c r="Z46" s="90">
        <f t="shared" si="11"/>
        <v>0.31900000000000001</v>
      </c>
      <c r="AA46" s="57">
        <f t="shared" si="12"/>
        <v>14.274443992889061</v>
      </c>
      <c r="AB46" s="90">
        <f t="shared" si="24"/>
        <v>2.9</v>
      </c>
      <c r="AC46" s="90">
        <f t="shared" si="25"/>
        <v>0.4</v>
      </c>
      <c r="AD46" s="57">
        <f t="shared" si="13"/>
        <v>5.7584141000737281</v>
      </c>
      <c r="AE46" s="90">
        <f t="shared" si="14"/>
        <v>6.5</v>
      </c>
      <c r="AF46" s="90">
        <f t="shared" si="15"/>
        <v>0.628</v>
      </c>
      <c r="AG46" s="57">
        <f t="shared" si="16"/>
        <v>19.082006591003598</v>
      </c>
      <c r="AH46" s="90">
        <f t="shared" si="26"/>
        <v>7.4</v>
      </c>
      <c r="AI46" s="90">
        <f t="shared" si="27"/>
        <v>0.25</v>
      </c>
      <c r="AJ46" s="57">
        <f t="shared" si="17"/>
        <v>11.361149612237483</v>
      </c>
    </row>
    <row r="47" spans="2:36">
      <c r="M47" s="92">
        <f t="shared" si="23"/>
        <v>9.75</v>
      </c>
      <c r="N47" s="92">
        <f t="shared" si="2"/>
        <v>4.7752408634765926</v>
      </c>
      <c r="O47" s="92">
        <f t="shared" si="3"/>
        <v>0.44169999999999998</v>
      </c>
      <c r="P47" s="92">
        <f t="shared" si="4"/>
        <v>13.056856199302223</v>
      </c>
      <c r="Q47" s="92"/>
      <c r="R47" s="57">
        <f t="shared" si="19"/>
        <v>5.703000000000003</v>
      </c>
      <c r="S47" s="57">
        <f t="shared" si="5"/>
        <v>3.9067683041390504</v>
      </c>
      <c r="T47" s="57">
        <f t="shared" si="6"/>
        <v>0.53539999999999999</v>
      </c>
      <c r="U47" s="57">
        <f t="shared" si="20"/>
        <v>9.9228265671455205</v>
      </c>
      <c r="V47" s="90">
        <f t="shared" si="7"/>
        <v>5.13</v>
      </c>
      <c r="W47" s="90">
        <f t="shared" si="8"/>
        <v>0.22</v>
      </c>
      <c r="X47" s="57">
        <f t="shared" si="9"/>
        <v>7.5241961172882137</v>
      </c>
      <c r="Y47" s="90">
        <f t="shared" si="10"/>
        <v>8.26</v>
      </c>
      <c r="Z47" s="90">
        <f t="shared" si="11"/>
        <v>0.31900000000000001</v>
      </c>
      <c r="AA47" s="57">
        <f t="shared" si="12"/>
        <v>14.393851667584638</v>
      </c>
      <c r="AB47" s="90">
        <f t="shared" si="24"/>
        <v>2.9</v>
      </c>
      <c r="AC47" s="90">
        <f t="shared" si="25"/>
        <v>0.4</v>
      </c>
      <c r="AD47" s="57">
        <f t="shared" si="13"/>
        <v>5.8188792697324221</v>
      </c>
      <c r="AE47" s="90">
        <f t="shared" si="14"/>
        <v>6.5</v>
      </c>
      <c r="AF47" s="90">
        <f t="shared" si="15"/>
        <v>0.628</v>
      </c>
      <c r="AG47" s="57">
        <f t="shared" si="16"/>
        <v>19.397522933312143</v>
      </c>
      <c r="AH47" s="90">
        <f t="shared" si="26"/>
        <v>7.4</v>
      </c>
      <c r="AI47" s="90">
        <f t="shared" si="27"/>
        <v>0.25</v>
      </c>
      <c r="AJ47" s="57">
        <f t="shared" si="17"/>
        <v>11.435563310882092</v>
      </c>
    </row>
    <row r="48" spans="2:36">
      <c r="B48" s="815" t="s">
        <v>476</v>
      </c>
      <c r="C48" s="816"/>
      <c r="D48" s="816"/>
      <c r="E48" s="816"/>
      <c r="F48" s="816"/>
      <c r="G48" s="816"/>
      <c r="H48" s="816"/>
      <c r="I48" s="816"/>
      <c r="J48" s="816"/>
      <c r="K48" s="817"/>
      <c r="M48" s="92">
        <f t="shared" si="23"/>
        <v>10</v>
      </c>
      <c r="N48" s="92">
        <f t="shared" si="2"/>
        <v>4.7752408634765926</v>
      </c>
      <c r="O48" s="92">
        <f t="shared" si="3"/>
        <v>0.44169999999999998</v>
      </c>
      <c r="P48" s="92">
        <f t="shared" si="4"/>
        <v>13.203688875937655</v>
      </c>
      <c r="Q48" s="92"/>
      <c r="R48" s="57">
        <f t="shared" si="19"/>
        <v>5.8500000000000032</v>
      </c>
      <c r="S48" s="57">
        <f t="shared" si="5"/>
        <v>3.9067683041390504</v>
      </c>
      <c r="T48" s="57">
        <f t="shared" si="6"/>
        <v>0.53539999999999999</v>
      </c>
      <c r="U48" s="57">
        <f t="shared" si="20"/>
        <v>10.05895595010481</v>
      </c>
      <c r="V48" s="90">
        <f t="shared" si="7"/>
        <v>5.13</v>
      </c>
      <c r="W48" s="90">
        <f t="shared" si="8"/>
        <v>0.22</v>
      </c>
      <c r="X48" s="57">
        <f t="shared" si="9"/>
        <v>7.566441098895984</v>
      </c>
      <c r="Y48" s="90">
        <f t="shared" si="10"/>
        <v>8.26</v>
      </c>
      <c r="Z48" s="90">
        <f t="shared" si="11"/>
        <v>0.31900000000000001</v>
      </c>
      <c r="AA48" s="57">
        <f t="shared" si="12"/>
        <v>14.511181315507365</v>
      </c>
      <c r="AB48" s="90">
        <f t="shared" si="24"/>
        <v>2.9</v>
      </c>
      <c r="AC48" s="90">
        <f t="shared" si="25"/>
        <v>0.4</v>
      </c>
      <c r="AD48" s="57">
        <f t="shared" si="13"/>
        <v>5.8784163740195217</v>
      </c>
      <c r="AE48" s="90">
        <f t="shared" si="14"/>
        <v>6.5</v>
      </c>
      <c r="AF48" s="90">
        <f t="shared" si="15"/>
        <v>0.628</v>
      </c>
      <c r="AG48" s="57">
        <f t="shared" si="16"/>
        <v>19.710027968471358</v>
      </c>
      <c r="AH48" s="90">
        <f t="shared" si="26"/>
        <v>7.4</v>
      </c>
      <c r="AI48" s="90">
        <f t="shared" si="27"/>
        <v>0.25</v>
      </c>
      <c r="AJ48" s="57">
        <f t="shared" si="17"/>
        <v>11.50855205006471</v>
      </c>
    </row>
    <row r="49" spans="2:36">
      <c r="B49" s="815"/>
      <c r="C49" s="816"/>
      <c r="D49" s="816"/>
      <c r="E49" s="816"/>
      <c r="F49" s="816"/>
      <c r="G49" s="816"/>
      <c r="H49" s="816"/>
      <c r="I49" s="816"/>
      <c r="J49" s="816"/>
      <c r="K49" s="817"/>
      <c r="M49" s="92">
        <f t="shared" si="23"/>
        <v>10.25</v>
      </c>
      <c r="N49" s="92">
        <f t="shared" si="2"/>
        <v>4.7752408634765926</v>
      </c>
      <c r="O49" s="92">
        <f t="shared" si="3"/>
        <v>0.44169999999999998</v>
      </c>
      <c r="P49" s="92">
        <f t="shared" si="4"/>
        <v>13.348486102178473</v>
      </c>
      <c r="Q49" s="92"/>
      <c r="R49" s="57">
        <f t="shared" si="19"/>
        <v>5.9970000000000034</v>
      </c>
      <c r="S49" s="57">
        <f t="shared" si="5"/>
        <v>3.9067683041390504</v>
      </c>
      <c r="T49" s="57">
        <f t="shared" si="6"/>
        <v>0.53539999999999999</v>
      </c>
      <c r="U49" s="57">
        <f t="shared" si="20"/>
        <v>10.193505118998692</v>
      </c>
      <c r="V49" s="90">
        <f t="shared" si="7"/>
        <v>5.13</v>
      </c>
      <c r="W49" s="90">
        <f t="shared" si="8"/>
        <v>0.22</v>
      </c>
      <c r="X49" s="57">
        <f t="shared" si="9"/>
        <v>7.6078660217174825</v>
      </c>
      <c r="Y49" s="90">
        <f t="shared" si="10"/>
        <v>8.26</v>
      </c>
      <c r="Z49" s="90">
        <f t="shared" si="11"/>
        <v>0.31900000000000001</v>
      </c>
      <c r="AA49" s="57">
        <f t="shared" si="12"/>
        <v>14.626519985183409</v>
      </c>
      <c r="AB49" s="90">
        <f t="shared" si="24"/>
        <v>2.9</v>
      </c>
      <c r="AC49" s="90">
        <f t="shared" si="25"/>
        <v>0.4</v>
      </c>
      <c r="AD49" s="57">
        <f t="shared" si="13"/>
        <v>5.9370624538782817</v>
      </c>
      <c r="AE49" s="90">
        <f t="shared" si="14"/>
        <v>6.5</v>
      </c>
      <c r="AF49" s="90">
        <f t="shared" si="15"/>
        <v>0.628</v>
      </c>
      <c r="AG49" s="57">
        <f t="shared" si="16"/>
        <v>20.019625052205637</v>
      </c>
      <c r="AH49" s="90">
        <f t="shared" si="26"/>
        <v>7.4</v>
      </c>
      <c r="AI49" s="90">
        <f t="shared" si="27"/>
        <v>0.25</v>
      </c>
      <c r="AJ49" s="57">
        <f t="shared" si="17"/>
        <v>11.580177917782205</v>
      </c>
    </row>
    <row r="50" spans="2:36">
      <c r="B50" s="826"/>
      <c r="C50" s="827"/>
      <c r="D50" s="828"/>
      <c r="E50" s="25" t="s">
        <v>80</v>
      </c>
      <c r="F50" s="25" t="s">
        <v>81</v>
      </c>
      <c r="G50" s="826"/>
      <c r="H50" s="827"/>
      <c r="I50" s="828"/>
      <c r="J50" s="25" t="s">
        <v>80</v>
      </c>
      <c r="K50" s="25" t="s">
        <v>81</v>
      </c>
      <c r="M50" s="92">
        <f t="shared" si="23"/>
        <v>10.5</v>
      </c>
      <c r="N50" s="92">
        <f t="shared" si="2"/>
        <v>4.7752408634765926</v>
      </c>
      <c r="O50" s="92">
        <f t="shared" si="3"/>
        <v>0.44169999999999998</v>
      </c>
      <c r="P50" s="92">
        <f t="shared" si="4"/>
        <v>13.491324731007724</v>
      </c>
      <c r="Q50" s="92"/>
      <c r="R50" s="57">
        <f t="shared" si="19"/>
        <v>6.1440000000000037</v>
      </c>
      <c r="S50" s="57">
        <f t="shared" si="5"/>
        <v>3.9067683041390504</v>
      </c>
      <c r="T50" s="57">
        <f t="shared" si="6"/>
        <v>0.53539999999999999</v>
      </c>
      <c r="U50" s="57">
        <f t="shared" si="20"/>
        <v>10.326530494098591</v>
      </c>
      <c r="V50" s="90">
        <f t="shared" si="7"/>
        <v>5.13</v>
      </c>
      <c r="W50" s="90">
        <f t="shared" si="8"/>
        <v>0.22</v>
      </c>
      <c r="X50" s="57">
        <f t="shared" si="9"/>
        <v>7.6485063336296886</v>
      </c>
      <c r="Y50" s="90">
        <f t="shared" si="10"/>
        <v>8.26</v>
      </c>
      <c r="Z50" s="90">
        <f t="shared" si="11"/>
        <v>0.31900000000000001</v>
      </c>
      <c r="AA50" s="57">
        <f t="shared" si="12"/>
        <v>14.739949050487544</v>
      </c>
      <c r="AB50" s="90">
        <f t="shared" si="24"/>
        <v>2.9</v>
      </c>
      <c r="AC50" s="90">
        <f t="shared" si="25"/>
        <v>0.4</v>
      </c>
      <c r="AD50" s="57">
        <f t="shared" si="13"/>
        <v>5.9948522061941407</v>
      </c>
      <c r="AE50" s="90">
        <f t="shared" si="14"/>
        <v>6.5</v>
      </c>
      <c r="AF50" s="90">
        <f t="shared" si="15"/>
        <v>0.628</v>
      </c>
      <c r="AG50" s="57">
        <f t="shared" si="16"/>
        <v>20.326411556414772</v>
      </c>
      <c r="AH50" s="90">
        <f t="shared" si="26"/>
        <v>7.4</v>
      </c>
      <c r="AI50" s="90">
        <f t="shared" si="27"/>
        <v>0.25</v>
      </c>
      <c r="AJ50" s="57">
        <f t="shared" si="17"/>
        <v>11.650498853891351</v>
      </c>
    </row>
    <row r="51" spans="2:36" ht="13.8" thickBot="1">
      <c r="B51" s="820" t="s">
        <v>82</v>
      </c>
      <c r="C51" s="821"/>
      <c r="D51" s="822"/>
      <c r="E51" s="820" t="s">
        <v>83</v>
      </c>
      <c r="F51" s="822"/>
      <c r="G51" s="820" t="s">
        <v>84</v>
      </c>
      <c r="H51" s="821"/>
      <c r="I51" s="822"/>
      <c r="J51" s="820" t="s">
        <v>85</v>
      </c>
      <c r="K51" s="822"/>
      <c r="M51" s="92">
        <f t="shared" si="23"/>
        <v>10.75</v>
      </c>
      <c r="N51" s="92">
        <f t="shared" si="2"/>
        <v>4.7752408634765926</v>
      </c>
      <c r="O51" s="92">
        <f t="shared" si="3"/>
        <v>0.44169999999999998</v>
      </c>
      <c r="P51" s="92">
        <f t="shared" si="4"/>
        <v>13.632276963907207</v>
      </c>
      <c r="Q51" s="92"/>
      <c r="R51" s="57">
        <f t="shared" si="19"/>
        <v>6.2910000000000039</v>
      </c>
      <c r="S51" s="57">
        <f t="shared" si="5"/>
        <v>3.9067683041390504</v>
      </c>
      <c r="T51" s="57">
        <f t="shared" si="6"/>
        <v>0.53539999999999999</v>
      </c>
      <c r="U51" s="57">
        <f t="shared" si="20"/>
        <v>10.458085186247397</v>
      </c>
      <c r="V51" s="90">
        <f t="shared" si="7"/>
        <v>5.13</v>
      </c>
      <c r="W51" s="90">
        <f t="shared" si="8"/>
        <v>0.22</v>
      </c>
      <c r="X51" s="57">
        <f t="shared" si="9"/>
        <v>7.6883951460161137</v>
      </c>
      <c r="Y51" s="90">
        <f t="shared" si="10"/>
        <v>8.26</v>
      </c>
      <c r="Z51" s="90">
        <f t="shared" si="11"/>
        <v>0.31900000000000001</v>
      </c>
      <c r="AA51" s="57">
        <f t="shared" si="12"/>
        <v>14.851544706526093</v>
      </c>
      <c r="AB51" s="90">
        <f t="shared" si="24"/>
        <v>2.9</v>
      </c>
      <c r="AC51" s="90">
        <f t="shared" si="25"/>
        <v>0.4</v>
      </c>
      <c r="AD51" s="57">
        <f t="shared" si="13"/>
        <v>6.0518181843196643</v>
      </c>
      <c r="AE51" s="90">
        <f t="shared" si="14"/>
        <v>6.5</v>
      </c>
      <c r="AF51" s="90">
        <f t="shared" si="15"/>
        <v>0.628</v>
      </c>
      <c r="AG51" s="57">
        <f t="shared" si="16"/>
        <v>20.630479349965263</v>
      </c>
      <c r="AH51" s="90">
        <f t="shared" si="26"/>
        <v>7.4</v>
      </c>
      <c r="AI51" s="90">
        <f t="shared" si="27"/>
        <v>0.25</v>
      </c>
      <c r="AJ51" s="57">
        <f t="shared" si="17"/>
        <v>11.719569019084915</v>
      </c>
    </row>
    <row r="52" spans="2:36" ht="13.8" thickTop="1">
      <c r="B52" s="302">
        <v>14</v>
      </c>
      <c r="C52" s="303" t="s">
        <v>86</v>
      </c>
      <c r="D52" s="304">
        <v>1500</v>
      </c>
      <c r="E52" s="311">
        <v>1.5599999999999999E-2</v>
      </c>
      <c r="F52" s="305">
        <v>0.4</v>
      </c>
      <c r="G52" s="306">
        <v>14</v>
      </c>
      <c r="H52" s="303" t="s">
        <v>86</v>
      </c>
      <c r="I52" s="307">
        <v>10.3</v>
      </c>
      <c r="J52" s="305">
        <v>2.9</v>
      </c>
      <c r="K52" s="305">
        <v>0.4</v>
      </c>
      <c r="M52" s="92">
        <f t="shared" si="23"/>
        <v>11</v>
      </c>
      <c r="N52" s="92">
        <f t="shared" si="2"/>
        <v>4.7752408634765926</v>
      </c>
      <c r="O52" s="92">
        <f t="shared" si="3"/>
        <v>0.44169999999999998</v>
      </c>
      <c r="P52" s="92">
        <f t="shared" si="4"/>
        <v>13.771410733408681</v>
      </c>
      <c r="Q52" s="92"/>
      <c r="R52" s="57">
        <f t="shared" si="19"/>
        <v>6.4380000000000042</v>
      </c>
      <c r="S52" s="57">
        <f t="shared" si="5"/>
        <v>3.9067683041390504</v>
      </c>
      <c r="T52" s="57">
        <f t="shared" si="6"/>
        <v>0.53539999999999999</v>
      </c>
      <c r="U52" s="57">
        <f t="shared" si="20"/>
        <v>10.58821926341796</v>
      </c>
      <c r="V52" s="90">
        <f t="shared" si="7"/>
        <v>5.13</v>
      </c>
      <c r="W52" s="90">
        <f t="shared" si="8"/>
        <v>0.22</v>
      </c>
      <c r="X52" s="57">
        <f t="shared" si="9"/>
        <v>7.7275634383324352</v>
      </c>
      <c r="Y52" s="90">
        <f t="shared" si="10"/>
        <v>8.26</v>
      </c>
      <c r="Z52" s="90">
        <f t="shared" si="11"/>
        <v>0.31900000000000001</v>
      </c>
      <c r="AA52" s="57">
        <f t="shared" si="12"/>
        <v>14.961378411689379</v>
      </c>
      <c r="AB52" s="90">
        <f t="shared" si="24"/>
        <v>2.9</v>
      </c>
      <c r="AC52" s="90">
        <f t="shared" si="25"/>
        <v>0.4</v>
      </c>
      <c r="AD52" s="57">
        <f t="shared" si="13"/>
        <v>6.1079909771877627</v>
      </c>
      <c r="AE52" s="90">
        <f t="shared" si="14"/>
        <v>6.5</v>
      </c>
      <c r="AF52" s="90">
        <f t="shared" si="15"/>
        <v>0.628</v>
      </c>
      <c r="AG52" s="57">
        <f t="shared" si="16"/>
        <v>20.931915230556509</v>
      </c>
      <c r="AH52" s="90">
        <f t="shared" si="26"/>
        <v>7.4</v>
      </c>
      <c r="AI52" s="90">
        <f t="shared" si="27"/>
        <v>0.25</v>
      </c>
      <c r="AJ52" s="57">
        <f t="shared" si="17"/>
        <v>11.78743912325632</v>
      </c>
    </row>
    <row r="53" spans="2:36">
      <c r="B53" s="8"/>
      <c r="C53" s="39"/>
      <c r="D53" s="308"/>
      <c r="E53" s="309"/>
      <c r="F53" s="301"/>
      <c r="G53" s="9"/>
      <c r="H53" s="39"/>
      <c r="I53" s="310"/>
      <c r="J53" s="301"/>
      <c r="K53" s="301"/>
      <c r="M53" s="92">
        <f t="shared" si="23"/>
        <v>11.25</v>
      </c>
      <c r="N53" s="92">
        <f t="shared" si="2"/>
        <v>4.7752408634765926</v>
      </c>
      <c r="O53" s="92">
        <f t="shared" si="3"/>
        <v>0.44169999999999998</v>
      </c>
      <c r="P53" s="92">
        <f t="shared" si="4"/>
        <v>13.908790046249266</v>
      </c>
      <c r="Q53" s="92"/>
      <c r="R53" s="57">
        <f t="shared" si="19"/>
        <v>6.5850000000000044</v>
      </c>
      <c r="S53" s="57">
        <f t="shared" si="5"/>
        <v>3.9067683041390504</v>
      </c>
      <c r="T53" s="57">
        <f t="shared" si="6"/>
        <v>0.53539999999999999</v>
      </c>
      <c r="U53" s="57">
        <f t="shared" si="20"/>
        <v>10.716979990231412</v>
      </c>
      <c r="V53" s="90">
        <f t="shared" si="7"/>
        <v>5.13</v>
      </c>
      <c r="W53" s="90">
        <f t="shared" si="8"/>
        <v>0.22</v>
      </c>
      <c r="X53" s="57">
        <f t="shared" si="9"/>
        <v>7.7660402405353262</v>
      </c>
      <c r="Y53" s="90">
        <f t="shared" si="10"/>
        <v>8.26</v>
      </c>
      <c r="Z53" s="90">
        <f t="shared" si="11"/>
        <v>0.31900000000000001</v>
      </c>
      <c r="AA53" s="57">
        <f t="shared" si="12"/>
        <v>15.069517282805291</v>
      </c>
      <c r="AB53" s="90">
        <f t="shared" si="24"/>
        <v>2.9</v>
      </c>
      <c r="AC53" s="90">
        <f t="shared" si="25"/>
        <v>0.4</v>
      </c>
      <c r="AD53" s="57">
        <f t="shared" si="13"/>
        <v>6.1633993697335185</v>
      </c>
      <c r="AE53" s="90">
        <f t="shared" si="14"/>
        <v>6.5</v>
      </c>
      <c r="AF53" s="90">
        <f t="shared" si="15"/>
        <v>0.628</v>
      </c>
      <c r="AG53" s="57">
        <f t="shared" si="16"/>
        <v>21.230801313640502</v>
      </c>
      <c r="AH53" s="90">
        <f t="shared" si="26"/>
        <v>7.4</v>
      </c>
      <c r="AI53" s="90">
        <f t="shared" si="27"/>
        <v>0.25</v>
      </c>
      <c r="AJ53" s="57">
        <f t="shared" si="17"/>
        <v>11.854156718541505</v>
      </c>
    </row>
    <row r="54" spans="2:36">
      <c r="B54" s="815" t="s">
        <v>519</v>
      </c>
      <c r="C54" s="816"/>
      <c r="D54" s="816"/>
      <c r="E54" s="816"/>
      <c r="F54" s="816"/>
      <c r="G54" s="816"/>
      <c r="H54" s="816"/>
      <c r="I54" s="816"/>
      <c r="J54" s="816"/>
      <c r="K54" s="817"/>
      <c r="M54" s="92">
        <f t="shared" si="23"/>
        <v>11.5</v>
      </c>
      <c r="N54" s="92">
        <f t="shared" si="2"/>
        <v>4.7752408634765926</v>
      </c>
      <c r="O54" s="92">
        <f t="shared" si="3"/>
        <v>0.44169999999999998</v>
      </c>
      <c r="P54" s="92">
        <f t="shared" si="4"/>
        <v>14.044475291969215</v>
      </c>
      <c r="Q54" s="92"/>
      <c r="R54" s="57">
        <f t="shared" si="19"/>
        <v>6.7320000000000046</v>
      </c>
      <c r="S54" s="57">
        <f t="shared" si="5"/>
        <v>3.9067683041390504</v>
      </c>
      <c r="T54" s="57">
        <f t="shared" si="6"/>
        <v>0.53539999999999999</v>
      </c>
      <c r="U54" s="57">
        <f t="shared" si="20"/>
        <v>10.84441204371837</v>
      </c>
      <c r="V54" s="90">
        <f t="shared" si="7"/>
        <v>5.13</v>
      </c>
      <c r="W54" s="90">
        <f t="shared" si="8"/>
        <v>0.22</v>
      </c>
      <c r="X54" s="57">
        <f t="shared" si="9"/>
        <v>7.8038527962071509</v>
      </c>
      <c r="Y54" s="90">
        <f t="shared" si="10"/>
        <v>8.26</v>
      </c>
      <c r="Z54" s="90">
        <f t="shared" si="11"/>
        <v>0.31900000000000001</v>
      </c>
      <c r="AA54" s="57">
        <f t="shared" si="12"/>
        <v>15.17602444929908</v>
      </c>
      <c r="AB54" s="90">
        <f t="shared" si="24"/>
        <v>2.9</v>
      </c>
      <c r="AC54" s="90">
        <f t="shared" si="25"/>
        <v>0.4</v>
      </c>
      <c r="AD54" s="57">
        <f t="shared" si="13"/>
        <v>6.2180704869466865</v>
      </c>
      <c r="AE54" s="90">
        <f t="shared" si="14"/>
        <v>6.5</v>
      </c>
      <c r="AF54" s="90">
        <f t="shared" si="15"/>
        <v>0.628</v>
      </c>
      <c r="AG54" s="57">
        <f t="shared" si="16"/>
        <v>21.527215383526293</v>
      </c>
      <c r="AH54" s="90">
        <f t="shared" si="26"/>
        <v>7.4</v>
      </c>
      <c r="AI54" s="90">
        <f t="shared" si="27"/>
        <v>0.25</v>
      </c>
      <c r="AJ54" s="57">
        <f t="shared" si="17"/>
        <v>11.919766461536112</v>
      </c>
    </row>
    <row r="55" spans="2:36">
      <c r="B55" s="815"/>
      <c r="C55" s="816"/>
      <c r="D55" s="816"/>
      <c r="E55" s="816"/>
      <c r="F55" s="816"/>
      <c r="G55" s="816"/>
      <c r="H55" s="816"/>
      <c r="I55" s="816"/>
      <c r="J55" s="816"/>
      <c r="K55" s="817"/>
      <c r="M55" s="92"/>
      <c r="N55" s="92"/>
      <c r="O55" s="92"/>
      <c r="P55" s="92"/>
      <c r="Q55" s="92"/>
      <c r="R55" s="57">
        <f t="shared" ref="R55:R71" si="28">R54+($M$5-0.103)</f>
        <v>6.8790000000000049</v>
      </c>
      <c r="S55" s="57">
        <f t="shared" si="5"/>
        <v>3.9067683041390504</v>
      </c>
      <c r="T55" s="57">
        <f t="shared" si="6"/>
        <v>0.53539999999999999</v>
      </c>
      <c r="U55" s="57">
        <f>S55*R55^T55</f>
        <v>10.970557708144641</v>
      </c>
      <c r="V55" s="90">
        <f t="shared" si="7"/>
        <v>5.13</v>
      </c>
      <c r="W55" s="90">
        <f t="shared" si="8"/>
        <v>0.22</v>
      </c>
      <c r="X55" s="57">
        <f t="shared" si="9"/>
        <v>7.8410267087931862</v>
      </c>
      <c r="Y55" s="90">
        <f t="shared" si="10"/>
        <v>8.26</v>
      </c>
      <c r="Z55" s="90">
        <f t="shared" si="11"/>
        <v>0.31900000000000001</v>
      </c>
      <c r="AA55" s="57">
        <f t="shared" si="12"/>
        <v>15.280959371408951</v>
      </c>
      <c r="AB55" s="90">
        <f t="shared" si="24"/>
        <v>2.9</v>
      </c>
      <c r="AC55" s="90">
        <f t="shared" si="25"/>
        <v>0.4</v>
      </c>
      <c r="AD55" s="57">
        <f t="shared" si="13"/>
        <v>6.2720299235442489</v>
      </c>
      <c r="AE55" s="90">
        <f t="shared" si="14"/>
        <v>6.5</v>
      </c>
      <c r="AF55" s="90">
        <f t="shared" si="15"/>
        <v>0.628</v>
      </c>
      <c r="AG55" s="57">
        <f t="shared" si="16"/>
        <v>21.821231211089057</v>
      </c>
      <c r="AH55" s="90">
        <f t="shared" si="26"/>
        <v>7.4</v>
      </c>
      <c r="AI55" s="90">
        <f t="shared" si="27"/>
        <v>0.25</v>
      </c>
      <c r="AJ55" s="57">
        <f t="shared" si="17"/>
        <v>11.984310348528084</v>
      </c>
    </row>
    <row r="56" spans="2:36">
      <c r="B56" s="826"/>
      <c r="C56" s="827"/>
      <c r="D56" s="828"/>
      <c r="E56" s="25" t="s">
        <v>80</v>
      </c>
      <c r="F56" s="25" t="s">
        <v>81</v>
      </c>
      <c r="G56" s="826"/>
      <c r="H56" s="827"/>
      <c r="I56" s="828"/>
      <c r="J56" s="25" t="s">
        <v>80</v>
      </c>
      <c r="K56" s="25" t="s">
        <v>81</v>
      </c>
      <c r="M56" s="92"/>
      <c r="N56" s="92"/>
      <c r="O56" s="92"/>
      <c r="P56" s="92"/>
      <c r="Q56" s="92"/>
      <c r="R56" s="57">
        <v>7.0330000000000004</v>
      </c>
      <c r="S56" s="57">
        <f t="shared" si="5"/>
        <v>9.6532036198768516</v>
      </c>
      <c r="T56" s="57">
        <f t="shared" si="6"/>
        <v>6.3799999999999996E-2</v>
      </c>
      <c r="U56" s="57">
        <f>S56*R56^T56</f>
        <v>10.932488733891011</v>
      </c>
      <c r="V56" s="90">
        <f t="shared" si="7"/>
        <v>5.13</v>
      </c>
      <c r="W56" s="90">
        <f t="shared" si="8"/>
        <v>0.22</v>
      </c>
      <c r="X56" s="57">
        <f t="shared" si="9"/>
        <v>7.8793120581569127</v>
      </c>
      <c r="Y56" s="90">
        <f t="shared" si="10"/>
        <v>8.26</v>
      </c>
      <c r="Z56" s="90">
        <f t="shared" si="11"/>
        <v>0.31900000000000001</v>
      </c>
      <c r="AA56" s="57">
        <f t="shared" si="12"/>
        <v>15.389265924804342</v>
      </c>
      <c r="AB56" s="90">
        <f t="shared" si="24"/>
        <v>2.9</v>
      </c>
      <c r="AC56" s="90">
        <f t="shared" si="25"/>
        <v>0.4</v>
      </c>
      <c r="AD56" s="57">
        <f t="shared" si="13"/>
        <v>6.3278218658739025</v>
      </c>
      <c r="AE56" s="90">
        <f t="shared" si="14"/>
        <v>6.5</v>
      </c>
      <c r="AF56" s="90">
        <f t="shared" si="15"/>
        <v>0.628</v>
      </c>
      <c r="AG56" s="57">
        <f t="shared" si="16"/>
        <v>22.126751803130642</v>
      </c>
      <c r="AH56" s="90">
        <f t="shared" si="26"/>
        <v>7.4</v>
      </c>
      <c r="AI56" s="90">
        <f t="shared" si="27"/>
        <v>0.25</v>
      </c>
      <c r="AJ56" s="57">
        <f t="shared" si="17"/>
        <v>12.050827617659314</v>
      </c>
    </row>
    <row r="57" spans="2:36" ht="13.8" thickBot="1">
      <c r="B57" s="820" t="s">
        <v>82</v>
      </c>
      <c r="C57" s="821"/>
      <c r="D57" s="822"/>
      <c r="E57" s="820" t="s">
        <v>83</v>
      </c>
      <c r="F57" s="822"/>
      <c r="G57" s="820" t="s">
        <v>84</v>
      </c>
      <c r="H57" s="821"/>
      <c r="I57" s="822"/>
      <c r="J57" s="820" t="s">
        <v>85</v>
      </c>
      <c r="K57" s="822"/>
      <c r="M57" s="57"/>
      <c r="N57" s="57"/>
      <c r="O57" s="57"/>
      <c r="P57" s="57"/>
      <c r="Q57" s="57"/>
      <c r="R57" s="57">
        <f t="shared" si="28"/>
        <v>7.1800000000000006</v>
      </c>
      <c r="S57" s="57">
        <f t="shared" si="5"/>
        <v>9.6532036198768516</v>
      </c>
      <c r="T57" s="57">
        <f t="shared" si="6"/>
        <v>6.3799999999999996E-2</v>
      </c>
      <c r="U57" s="57">
        <f t="shared" ref="U57:U71" si="29">S57*R57^T57</f>
        <v>10.946926612745623</v>
      </c>
      <c r="V57" s="90">
        <f t="shared" si="7"/>
        <v>5.13</v>
      </c>
      <c r="W57" s="90">
        <f t="shared" si="8"/>
        <v>0.22</v>
      </c>
      <c r="X57" s="57">
        <f t="shared" si="9"/>
        <v>7.9152519394326157</v>
      </c>
      <c r="Y57" s="90">
        <f t="shared" si="10"/>
        <v>8.26</v>
      </c>
      <c r="Z57" s="90">
        <f t="shared" si="11"/>
        <v>0.31900000000000001</v>
      </c>
      <c r="AA57" s="57">
        <f t="shared" si="12"/>
        <v>15.491153061205791</v>
      </c>
      <c r="AB57" s="90">
        <f t="shared" si="24"/>
        <v>2.9</v>
      </c>
      <c r="AC57" s="90">
        <f t="shared" si="25"/>
        <v>0.4</v>
      </c>
      <c r="AD57" s="57">
        <f t="shared" si="13"/>
        <v>6.3803980788639256</v>
      </c>
      <c r="AE57" s="90">
        <f t="shared" si="14"/>
        <v>6.5</v>
      </c>
      <c r="AF57" s="90">
        <f t="shared" si="15"/>
        <v>0.628</v>
      </c>
      <c r="AG57" s="57">
        <f t="shared" si="16"/>
        <v>22.41607172837162</v>
      </c>
      <c r="AH57" s="90">
        <f t="shared" si="26"/>
        <v>7.4</v>
      </c>
      <c r="AI57" s="90">
        <f t="shared" si="27"/>
        <v>0.25</v>
      </c>
      <c r="AJ57" s="57">
        <f t="shared" si="17"/>
        <v>12.113309974915285</v>
      </c>
    </row>
    <row r="58" spans="2:36" ht="13.8" thickTop="1">
      <c r="B58" s="302">
        <v>14</v>
      </c>
      <c r="C58" s="303" t="s">
        <v>86</v>
      </c>
      <c r="D58" s="304">
        <v>1500</v>
      </c>
      <c r="E58" s="311">
        <v>1.12E-2</v>
      </c>
      <c r="F58" s="305">
        <v>0.628</v>
      </c>
      <c r="G58" s="306">
        <v>14</v>
      </c>
      <c r="H58" s="303" t="s">
        <v>86</v>
      </c>
      <c r="I58" s="307">
        <v>10.3</v>
      </c>
      <c r="J58" s="305">
        <v>6.5</v>
      </c>
      <c r="K58" s="305">
        <v>0.628</v>
      </c>
      <c r="M58" s="57"/>
      <c r="N58" s="57"/>
      <c r="O58" s="57"/>
      <c r="P58" s="57"/>
      <c r="Q58" s="57"/>
      <c r="R58" s="57">
        <f t="shared" si="28"/>
        <v>7.3270000000000008</v>
      </c>
      <c r="S58" s="57">
        <f t="shared" si="5"/>
        <v>9.6532036198768516</v>
      </c>
      <c r="T58" s="57">
        <f t="shared" si="6"/>
        <v>6.3799999999999996E-2</v>
      </c>
      <c r="U58" s="57">
        <f t="shared" si="29"/>
        <v>10.961090363496956</v>
      </c>
      <c r="V58" s="90">
        <f t="shared" si="7"/>
        <v>5.13</v>
      </c>
      <c r="W58" s="90">
        <f t="shared" si="8"/>
        <v>0.22</v>
      </c>
      <c r="X58" s="57">
        <f t="shared" si="9"/>
        <v>7.9506223873730706</v>
      </c>
      <c r="Y58" s="90">
        <f t="shared" si="10"/>
        <v>8.26</v>
      </c>
      <c r="Z58" s="90">
        <f t="shared" si="11"/>
        <v>0.31900000000000001</v>
      </c>
      <c r="AA58" s="57">
        <f t="shared" si="12"/>
        <v>15.591629364312524</v>
      </c>
      <c r="AB58" s="90">
        <f t="shared" si="24"/>
        <v>2.9</v>
      </c>
      <c r="AC58" s="90">
        <f t="shared" si="25"/>
        <v>0.4</v>
      </c>
      <c r="AD58" s="57">
        <f t="shared" si="13"/>
        <v>6.4323323319313559</v>
      </c>
      <c r="AE58" s="90">
        <f t="shared" si="14"/>
        <v>6.5</v>
      </c>
      <c r="AF58" s="90">
        <f t="shared" si="15"/>
        <v>0.628</v>
      </c>
      <c r="AG58" s="57">
        <f t="shared" si="16"/>
        <v>22.703196336569555</v>
      </c>
      <c r="AH58" s="90">
        <f t="shared" si="26"/>
        <v>7.4</v>
      </c>
      <c r="AI58" s="90">
        <f t="shared" si="27"/>
        <v>0.25</v>
      </c>
      <c r="AJ58" s="57">
        <f t="shared" si="17"/>
        <v>12.174840143736873</v>
      </c>
    </row>
    <row r="59" spans="2:36">
      <c r="B59" s="297"/>
      <c r="C59" s="298"/>
      <c r="D59" s="297"/>
      <c r="E59" s="299"/>
      <c r="F59" s="300"/>
      <c r="G59" s="297"/>
      <c r="H59" s="298"/>
      <c r="I59" s="297"/>
      <c r="J59" s="299"/>
      <c r="K59" s="300"/>
      <c r="L59" s="10"/>
      <c r="M59" s="57"/>
      <c r="N59" s="57"/>
      <c r="O59" s="57"/>
      <c r="P59" s="57"/>
      <c r="Q59" s="57"/>
      <c r="R59" s="57">
        <f t="shared" si="28"/>
        <v>7.4740000000000011</v>
      </c>
      <c r="S59" s="57">
        <f t="shared" si="5"/>
        <v>9.6532036198768516</v>
      </c>
      <c r="T59" s="57">
        <f t="shared" si="6"/>
        <v>6.3799999999999996E-2</v>
      </c>
      <c r="U59" s="57">
        <f t="shared" si="29"/>
        <v>10.97499053683531</v>
      </c>
      <c r="V59" s="90">
        <f t="shared" si="7"/>
        <v>5.13</v>
      </c>
      <c r="W59" s="90">
        <f t="shared" si="8"/>
        <v>0.22</v>
      </c>
      <c r="X59" s="57">
        <f t="shared" si="9"/>
        <v>7.9854435818622189</v>
      </c>
      <c r="Y59" s="90">
        <f t="shared" si="10"/>
        <v>8.26</v>
      </c>
      <c r="Z59" s="90">
        <f t="shared" si="11"/>
        <v>0.31900000000000001</v>
      </c>
      <c r="AA59" s="57">
        <f t="shared" si="12"/>
        <v>15.6907420980202</v>
      </c>
      <c r="AB59" s="90">
        <f t="shared" si="24"/>
        <v>2.9</v>
      </c>
      <c r="AC59" s="90">
        <f t="shared" si="25"/>
        <v>0.4</v>
      </c>
      <c r="AD59" s="57">
        <f t="shared" si="13"/>
        <v>6.4836451115017439</v>
      </c>
      <c r="AE59" s="90">
        <f t="shared" si="14"/>
        <v>6.5</v>
      </c>
      <c r="AF59" s="90">
        <f t="shared" si="15"/>
        <v>0.628</v>
      </c>
      <c r="AG59" s="57">
        <f t="shared" si="16"/>
        <v>22.988185839509619</v>
      </c>
      <c r="AH59" s="90">
        <f t="shared" si="26"/>
        <v>7.4</v>
      </c>
      <c r="AI59" s="90">
        <f t="shared" si="27"/>
        <v>0.25</v>
      </c>
      <c r="AJ59" s="57">
        <f t="shared" si="17"/>
        <v>12.235451309528322</v>
      </c>
    </row>
    <row r="60" spans="2:36">
      <c r="B60" s="815" t="s">
        <v>535</v>
      </c>
      <c r="C60" s="816"/>
      <c r="D60" s="816"/>
      <c r="E60" s="816"/>
      <c r="F60" s="816"/>
      <c r="G60" s="816"/>
      <c r="H60" s="816"/>
      <c r="I60" s="816"/>
      <c r="J60" s="816"/>
      <c r="K60" s="817"/>
      <c r="L60" s="10"/>
      <c r="M60" s="57"/>
      <c r="N60" s="57"/>
      <c r="O60" s="57"/>
      <c r="P60" s="57"/>
      <c r="Q60" s="57"/>
      <c r="R60" s="57">
        <f t="shared" si="28"/>
        <v>7.6210000000000013</v>
      </c>
      <c r="S60" s="57">
        <f t="shared" si="5"/>
        <v>9.6532036198768516</v>
      </c>
      <c r="T60" s="57">
        <f t="shared" si="6"/>
        <v>6.3799999999999996E-2</v>
      </c>
      <c r="U60" s="57">
        <f t="shared" si="29"/>
        <v>10.988637079627617</v>
      </c>
      <c r="V60" s="90">
        <f t="shared" si="7"/>
        <v>5.13</v>
      </c>
      <c r="W60" s="90">
        <f t="shared" si="8"/>
        <v>0.22</v>
      </c>
      <c r="X60" s="57">
        <f t="shared" si="9"/>
        <v>8.0197346076317295</v>
      </c>
      <c r="Y60" s="90">
        <f t="shared" si="10"/>
        <v>8.26</v>
      </c>
      <c r="Z60" s="90">
        <f t="shared" si="11"/>
        <v>0.31900000000000001</v>
      </c>
      <c r="AA60" s="57">
        <f t="shared" si="12"/>
        <v>15.788536050167133</v>
      </c>
      <c r="AB60" s="90">
        <f t="shared" si="24"/>
        <v>2.9</v>
      </c>
      <c r="AC60" s="90">
        <f t="shared" si="25"/>
        <v>0.4</v>
      </c>
      <c r="AD60" s="57">
        <f t="shared" si="13"/>
        <v>6.5343558623541309</v>
      </c>
      <c r="AE60" s="90">
        <f t="shared" si="14"/>
        <v>6.5</v>
      </c>
      <c r="AF60" s="90">
        <f t="shared" si="15"/>
        <v>0.628</v>
      </c>
      <c r="AG60" s="57">
        <f t="shared" si="16"/>
        <v>23.271097649655964</v>
      </c>
      <c r="AH60" s="90">
        <f t="shared" si="26"/>
        <v>7.4</v>
      </c>
      <c r="AI60" s="90">
        <f t="shared" si="27"/>
        <v>0.25</v>
      </c>
      <c r="AJ60" s="57">
        <f t="shared" si="17"/>
        <v>12.29517487564703</v>
      </c>
    </row>
    <row r="61" spans="2:36">
      <c r="B61" s="815"/>
      <c r="C61" s="816"/>
      <c r="D61" s="816"/>
      <c r="E61" s="816"/>
      <c r="F61" s="816"/>
      <c r="G61" s="816"/>
      <c r="H61" s="816"/>
      <c r="I61" s="816"/>
      <c r="J61" s="816"/>
      <c r="K61" s="817"/>
      <c r="L61" s="10"/>
      <c r="M61" s="57"/>
      <c r="N61" s="57"/>
      <c r="O61" s="57"/>
      <c r="P61" s="57"/>
      <c r="Q61" s="57"/>
      <c r="R61" s="57">
        <f t="shared" si="28"/>
        <v>7.7680000000000016</v>
      </c>
      <c r="S61" s="57">
        <f t="shared" si="5"/>
        <v>9.6532036198768516</v>
      </c>
      <c r="T61" s="57">
        <f t="shared" si="6"/>
        <v>6.3799999999999996E-2</v>
      </c>
      <c r="U61" s="57">
        <f t="shared" si="29"/>
        <v>11.0020393803598</v>
      </c>
      <c r="V61" s="90">
        <f t="shared" si="7"/>
        <v>5.13</v>
      </c>
      <c r="W61" s="90">
        <f t="shared" si="8"/>
        <v>0.22</v>
      </c>
      <c r="X61" s="57">
        <f t="shared" si="9"/>
        <v>8.0535135335288697</v>
      </c>
      <c r="Y61" s="90">
        <f t="shared" si="10"/>
        <v>8.26</v>
      </c>
      <c r="Z61" s="90">
        <f t="shared" si="11"/>
        <v>0.31900000000000001</v>
      </c>
      <c r="AA61" s="57">
        <f t="shared" si="12"/>
        <v>15.885053707226641</v>
      </c>
      <c r="AB61" s="90">
        <f t="shared" si="24"/>
        <v>2.9</v>
      </c>
      <c r="AC61" s="90">
        <f t="shared" si="25"/>
        <v>0.4</v>
      </c>
      <c r="AD61" s="57">
        <f t="shared" si="13"/>
        <v>6.5844830595512249</v>
      </c>
      <c r="AE61" s="90">
        <f t="shared" si="14"/>
        <v>6.5</v>
      </c>
      <c r="AF61" s="90">
        <f t="shared" si="15"/>
        <v>0.628</v>
      </c>
      <c r="AG61" s="57">
        <f t="shared" si="16"/>
        <v>23.551986561614953</v>
      </c>
      <c r="AH61" s="90">
        <f t="shared" si="26"/>
        <v>7.4</v>
      </c>
      <c r="AI61" s="90">
        <f t="shared" si="27"/>
        <v>0.25</v>
      </c>
      <c r="AJ61" s="57">
        <f t="shared" si="17"/>
        <v>12.354040591402779</v>
      </c>
    </row>
    <row r="62" spans="2:36">
      <c r="B62" s="826"/>
      <c r="C62" s="827"/>
      <c r="D62" s="828"/>
      <c r="E62" s="25" t="s">
        <v>80</v>
      </c>
      <c r="F62" s="25" t="s">
        <v>81</v>
      </c>
      <c r="G62" s="826"/>
      <c r="H62" s="827"/>
      <c r="I62" s="828"/>
      <c r="J62" s="25" t="s">
        <v>80</v>
      </c>
      <c r="K62" s="25" t="s">
        <v>81</v>
      </c>
      <c r="L62" s="10"/>
      <c r="M62" s="57"/>
      <c r="N62" s="57"/>
      <c r="O62" s="57"/>
      <c r="P62" s="57"/>
      <c r="Q62" s="57"/>
      <c r="R62" s="57">
        <f t="shared" si="28"/>
        <v>7.9150000000000018</v>
      </c>
      <c r="S62" s="57">
        <f t="shared" si="5"/>
        <v>9.6532036198768516</v>
      </c>
      <c r="T62" s="57">
        <f t="shared" si="6"/>
        <v>6.3799999999999996E-2</v>
      </c>
      <c r="U62" s="57">
        <f t="shared" si="29"/>
        <v>11.015206310370765</v>
      </c>
      <c r="V62" s="90">
        <f t="shared" si="7"/>
        <v>5.13</v>
      </c>
      <c r="W62" s="90">
        <f t="shared" si="8"/>
        <v>0.22</v>
      </c>
      <c r="X62" s="57">
        <f t="shared" si="9"/>
        <v>8.0867974846651229</v>
      </c>
      <c r="Y62" s="90">
        <f t="shared" si="10"/>
        <v>8.26</v>
      </c>
      <c r="Z62" s="90">
        <f t="shared" si="11"/>
        <v>0.31900000000000001</v>
      </c>
      <c r="AA62" s="57">
        <f t="shared" si="12"/>
        <v>15.980335413620324</v>
      </c>
      <c r="AB62" s="90">
        <f t="shared" si="24"/>
        <v>2.9</v>
      </c>
      <c r="AC62" s="90">
        <f t="shared" si="25"/>
        <v>0.4</v>
      </c>
      <c r="AD62" s="57">
        <f t="shared" si="13"/>
        <v>6.6340442741419654</v>
      </c>
      <c r="AE62" s="90">
        <f t="shared" si="14"/>
        <v>6.5</v>
      </c>
      <c r="AF62" s="90">
        <f t="shared" si="15"/>
        <v>0.628</v>
      </c>
      <c r="AG62" s="57">
        <f t="shared" si="16"/>
        <v>23.830904918633717</v>
      </c>
      <c r="AH62" s="90">
        <f t="shared" si="26"/>
        <v>7.4</v>
      </c>
      <c r="AI62" s="90">
        <f t="shared" si="27"/>
        <v>0.25</v>
      </c>
      <c r="AJ62" s="57">
        <f t="shared" si="17"/>
        <v>12.412076668629981</v>
      </c>
    </row>
    <row r="63" spans="2:36" ht="13.8" thickBot="1">
      <c r="B63" s="820" t="s">
        <v>82</v>
      </c>
      <c r="C63" s="821"/>
      <c r="D63" s="822"/>
      <c r="E63" s="820" t="s">
        <v>83</v>
      </c>
      <c r="F63" s="822"/>
      <c r="G63" s="820" t="s">
        <v>84</v>
      </c>
      <c r="H63" s="821"/>
      <c r="I63" s="822"/>
      <c r="J63" s="820" t="s">
        <v>85</v>
      </c>
      <c r="K63" s="822"/>
      <c r="L63" s="10"/>
      <c r="M63" s="57"/>
      <c r="N63" s="57"/>
      <c r="O63" s="57"/>
      <c r="P63" s="57"/>
      <c r="Q63" s="57"/>
      <c r="R63" s="57">
        <f t="shared" si="28"/>
        <v>8.0620000000000012</v>
      </c>
      <c r="S63" s="57">
        <f t="shared" si="5"/>
        <v>9.6532036198768516</v>
      </c>
      <c r="T63" s="57">
        <f t="shared" si="6"/>
        <v>6.3799999999999996E-2</v>
      </c>
      <c r="U63" s="57">
        <f t="shared" si="29"/>
        <v>11.028146261338042</v>
      </c>
      <c r="V63" s="90">
        <f t="shared" si="7"/>
        <v>5.13</v>
      </c>
      <c r="W63" s="90">
        <f t="shared" si="8"/>
        <v>0.22</v>
      </c>
      <c r="X63" s="57">
        <f t="shared" si="9"/>
        <v>8.1196027082045017</v>
      </c>
      <c r="Y63" s="90">
        <f t="shared" si="10"/>
        <v>8.26</v>
      </c>
      <c r="Z63" s="90">
        <f t="shared" si="11"/>
        <v>0.31900000000000001</v>
      </c>
      <c r="AA63" s="57">
        <f t="shared" si="12"/>
        <v>16.074419517265053</v>
      </c>
      <c r="AB63" s="90">
        <f t="shared" si="24"/>
        <v>2.9</v>
      </c>
      <c r="AC63" s="90">
        <f t="shared" si="25"/>
        <v>0.4</v>
      </c>
      <c r="AD63" s="57">
        <f t="shared" si="13"/>
        <v>6.683056233280726</v>
      </c>
      <c r="AE63" s="90">
        <f t="shared" si="14"/>
        <v>6.5</v>
      </c>
      <c r="AF63" s="90">
        <f t="shared" si="15"/>
        <v>0.628</v>
      </c>
      <c r="AG63" s="57">
        <f t="shared" si="16"/>
        <v>24.107902765622388</v>
      </c>
      <c r="AH63" s="90">
        <f t="shared" si="26"/>
        <v>7.4</v>
      </c>
      <c r="AI63" s="90">
        <f t="shared" si="27"/>
        <v>0.25</v>
      </c>
      <c r="AJ63" s="57">
        <f t="shared" si="17"/>
        <v>12.46930988804499</v>
      </c>
    </row>
    <row r="64" spans="2:36" ht="13.8" thickTop="1">
      <c r="B64" s="302">
        <v>14</v>
      </c>
      <c r="C64" s="303" t="s">
        <v>86</v>
      </c>
      <c r="D64" s="304">
        <v>1500</v>
      </c>
      <c r="E64" s="311">
        <v>8.3930000000000005E-2</v>
      </c>
      <c r="F64" s="305">
        <v>0.25</v>
      </c>
      <c r="G64" s="306">
        <v>14</v>
      </c>
      <c r="H64" s="303" t="s">
        <v>86</v>
      </c>
      <c r="I64" s="307">
        <v>10.3</v>
      </c>
      <c r="J64" s="305">
        <v>7.4</v>
      </c>
      <c r="K64" s="305">
        <v>0.25</v>
      </c>
      <c r="M64" s="57"/>
      <c r="N64" s="57"/>
      <c r="O64" s="57"/>
      <c r="P64" s="57"/>
      <c r="Q64" s="57"/>
      <c r="R64" s="57">
        <f t="shared" si="28"/>
        <v>8.2090000000000014</v>
      </c>
      <c r="S64" s="57">
        <f t="shared" si="5"/>
        <v>9.6532036198768516</v>
      </c>
      <c r="T64" s="57">
        <f t="shared" si="6"/>
        <v>6.3799999999999996E-2</v>
      </c>
      <c r="U64" s="57">
        <f t="shared" si="29"/>
        <v>11.040867179417527</v>
      </c>
      <c r="V64" s="90">
        <f t="shared" si="7"/>
        <v>5.13</v>
      </c>
      <c r="W64" s="90">
        <f t="shared" si="8"/>
        <v>0.22</v>
      </c>
      <c r="X64" s="57">
        <f t="shared" si="9"/>
        <v>8.1519446334572692</v>
      </c>
      <c r="Y64" s="90">
        <f t="shared" si="10"/>
        <v>8.26</v>
      </c>
      <c r="Z64" s="90">
        <f t="shared" si="11"/>
        <v>0.31900000000000001</v>
      </c>
      <c r="AA64" s="57">
        <f t="shared" si="12"/>
        <v>16.167342502771259</v>
      </c>
      <c r="AB64" s="90">
        <f t="shared" si="24"/>
        <v>2.9</v>
      </c>
      <c r="AC64" s="90">
        <f t="shared" si="25"/>
        <v>0.4</v>
      </c>
      <c r="AD64" s="57">
        <f t="shared" si="13"/>
        <v>6.7315348753303219</v>
      </c>
      <c r="AE64" s="90">
        <f t="shared" si="14"/>
        <v>6.5</v>
      </c>
      <c r="AF64" s="90">
        <f t="shared" si="15"/>
        <v>0.628</v>
      </c>
      <c r="AG64" s="57">
        <f t="shared" si="16"/>
        <v>24.383027990015837</v>
      </c>
      <c r="AH64" s="90">
        <f t="shared" si="26"/>
        <v>7.4</v>
      </c>
      <c r="AI64" s="90">
        <f t="shared" si="27"/>
        <v>0.25</v>
      </c>
      <c r="AJ64" s="57">
        <f t="shared" si="17"/>
        <v>12.525765696452495</v>
      </c>
    </row>
    <row r="65" spans="2:36">
      <c r="M65" s="57"/>
      <c r="N65" s="57"/>
      <c r="O65" s="57"/>
      <c r="P65" s="57"/>
      <c r="Q65" s="57"/>
      <c r="R65" s="57">
        <f t="shared" si="28"/>
        <v>8.3560000000000016</v>
      </c>
      <c r="S65" s="57">
        <f t="shared" si="5"/>
        <v>9.6532036198768516</v>
      </c>
      <c r="T65" s="57">
        <f t="shared" si="6"/>
        <v>6.3799999999999996E-2</v>
      </c>
      <c r="U65" s="57">
        <f t="shared" si="29"/>
        <v>11.053376596390002</v>
      </c>
      <c r="V65" s="90">
        <f t="shared" si="7"/>
        <v>5.13</v>
      </c>
      <c r="W65" s="90">
        <f t="shared" si="8"/>
        <v>0.22</v>
      </c>
      <c r="X65" s="57">
        <f t="shared" si="9"/>
        <v>8.18383792686455</v>
      </c>
      <c r="Y65" s="90">
        <f t="shared" si="10"/>
        <v>8.26</v>
      </c>
      <c r="Z65" s="90">
        <f t="shared" si="11"/>
        <v>0.31900000000000001</v>
      </c>
      <c r="AA65" s="57">
        <f t="shared" si="12"/>
        <v>16.259139113541448</v>
      </c>
      <c r="AB65" s="90">
        <f t="shared" si="24"/>
        <v>2.9</v>
      </c>
      <c r="AC65" s="90">
        <f t="shared" si="25"/>
        <v>0.4</v>
      </c>
      <c r="AD65" s="57">
        <f t="shared" si="13"/>
        <v>6.7794954004493073</v>
      </c>
      <c r="AE65" s="90">
        <f t="shared" si="14"/>
        <v>6.5</v>
      </c>
      <c r="AF65" s="90">
        <f t="shared" si="15"/>
        <v>0.628</v>
      </c>
      <c r="AG65" s="57">
        <f t="shared" si="16"/>
        <v>24.65632645164137</v>
      </c>
      <c r="AH65" s="90">
        <f t="shared" si="26"/>
        <v>7.4</v>
      </c>
      <c r="AI65" s="90">
        <f t="shared" si="27"/>
        <v>0.25</v>
      </c>
      <c r="AJ65" s="57">
        <f t="shared" si="17"/>
        <v>12.581468295737162</v>
      </c>
    </row>
    <row r="66" spans="2:36">
      <c r="M66" s="57"/>
      <c r="N66" s="57"/>
      <c r="O66" s="57"/>
      <c r="P66" s="57"/>
      <c r="Q66" s="57"/>
      <c r="R66" s="57">
        <f t="shared" si="28"/>
        <v>8.5030000000000019</v>
      </c>
      <c r="S66" s="57">
        <f t="shared" si="5"/>
        <v>9.6532036198768516</v>
      </c>
      <c r="T66" s="57">
        <f t="shared" si="6"/>
        <v>6.3799999999999996E-2</v>
      </c>
      <c r="U66" s="57">
        <f t="shared" si="29"/>
        <v>11.065681658124634</v>
      </c>
      <c r="V66" s="90">
        <f t="shared" si="7"/>
        <v>5.13</v>
      </c>
      <c r="W66" s="90">
        <f t="shared" si="8"/>
        <v>0.22</v>
      </c>
      <c r="X66" s="57">
        <f t="shared" si="9"/>
        <v>8.2152965423899076</v>
      </c>
      <c r="Y66" s="90">
        <f t="shared" si="10"/>
        <v>8.26</v>
      </c>
      <c r="Z66" s="90">
        <f t="shared" si="11"/>
        <v>0.31900000000000001</v>
      </c>
      <c r="AA66" s="57">
        <f t="shared" si="12"/>
        <v>16.349842463871937</v>
      </c>
      <c r="AB66" s="90">
        <f t="shared" si="24"/>
        <v>2.9</v>
      </c>
      <c r="AC66" s="90">
        <f t="shared" si="25"/>
        <v>0.4</v>
      </c>
      <c r="AD66" s="57">
        <f t="shared" si="13"/>
        <v>6.8269523171061817</v>
      </c>
      <c r="AE66" s="90">
        <f t="shared" si="14"/>
        <v>6.5</v>
      </c>
      <c r="AF66" s="90">
        <f t="shared" si="15"/>
        <v>0.628</v>
      </c>
      <c r="AG66" s="57">
        <f t="shared" si="16"/>
        <v>24.927842102628137</v>
      </c>
      <c r="AH66" s="90">
        <f t="shared" si="26"/>
        <v>7.4</v>
      </c>
      <c r="AI66" s="90">
        <f t="shared" si="27"/>
        <v>0.25</v>
      </c>
      <c r="AJ66" s="57">
        <f t="shared" si="17"/>
        <v>12.636440724466194</v>
      </c>
    </row>
    <row r="67" spans="2:36">
      <c r="B67" s="92"/>
      <c r="C67" s="92"/>
      <c r="D67" s="92"/>
      <c r="E67" s="92"/>
      <c r="F67" s="93"/>
      <c r="G67" s="92"/>
      <c r="H67" s="92"/>
      <c r="I67" s="92"/>
      <c r="J67" s="57"/>
      <c r="M67" s="57"/>
      <c r="N67" s="57"/>
      <c r="O67" s="57"/>
      <c r="P67" s="57"/>
      <c r="Q67" s="57"/>
      <c r="R67" s="57">
        <f t="shared" si="28"/>
        <v>8.6500000000000021</v>
      </c>
      <c r="S67" s="57">
        <f t="shared" si="5"/>
        <v>9.6532036198768516</v>
      </c>
      <c r="T67" s="57">
        <f t="shared" si="6"/>
        <v>6.3799999999999996E-2</v>
      </c>
      <c r="U67" s="57">
        <f t="shared" si="29"/>
        <v>11.077789150632556</v>
      </c>
      <c r="V67" s="90">
        <f t="shared" si="7"/>
        <v>5.13</v>
      </c>
      <c r="W67" s="90">
        <f t="shared" si="8"/>
        <v>0.22</v>
      </c>
      <c r="X67" s="57">
        <f t="shared" si="9"/>
        <v>8.2463337677738693</v>
      </c>
      <c r="Y67" s="90">
        <f t="shared" si="10"/>
        <v>8.26</v>
      </c>
      <c r="Z67" s="90">
        <f t="shared" si="11"/>
        <v>0.31900000000000001</v>
      </c>
      <c r="AA67" s="57">
        <f t="shared" si="12"/>
        <v>16.439484142034068</v>
      </c>
      <c r="AB67" s="90">
        <f t="shared" si="24"/>
        <v>2.9</v>
      </c>
      <c r="AC67" s="90">
        <f t="shared" si="25"/>
        <v>0.4</v>
      </c>
      <c r="AD67" s="57">
        <f t="shared" si="13"/>
        <v>6.8739194849129204</v>
      </c>
      <c r="AE67" s="90">
        <f t="shared" si="14"/>
        <v>6.5</v>
      </c>
      <c r="AF67" s="90">
        <f t="shared" si="15"/>
        <v>0.628</v>
      </c>
      <c r="AG67" s="57">
        <f t="shared" si="16"/>
        <v>25.197617098280411</v>
      </c>
      <c r="AH67" s="90">
        <f t="shared" si="26"/>
        <v>7.4</v>
      </c>
      <c r="AI67" s="90">
        <f t="shared" si="27"/>
        <v>0.25</v>
      </c>
      <c r="AJ67" s="57">
        <f t="shared" si="17"/>
        <v>12.690704932832819</v>
      </c>
    </row>
    <row r="68" spans="2:36">
      <c r="B68" s="92"/>
      <c r="C68" s="92"/>
      <c r="D68" s="92"/>
      <c r="E68" s="92"/>
      <c r="F68" s="93"/>
      <c r="G68" s="92"/>
      <c r="H68" s="92"/>
      <c r="I68" s="92"/>
      <c r="J68" s="57"/>
      <c r="M68" s="57"/>
      <c r="N68" s="57"/>
      <c r="O68" s="57"/>
      <c r="P68" s="57"/>
      <c r="Q68" s="57"/>
      <c r="R68" s="57">
        <f t="shared" si="28"/>
        <v>8.7970000000000024</v>
      </c>
      <c r="S68" s="57">
        <f t="shared" si="5"/>
        <v>9.6532036198768516</v>
      </c>
      <c r="T68" s="57">
        <f t="shared" si="6"/>
        <v>6.3799999999999996E-2</v>
      </c>
      <c r="U68" s="57">
        <f t="shared" si="29"/>
        <v>11.089705523951828</v>
      </c>
      <c r="V68" s="90">
        <f t="shared" si="7"/>
        <v>5.13</v>
      </c>
      <c r="W68" s="90">
        <f t="shared" si="8"/>
        <v>0.22</v>
      </c>
      <c r="X68" s="57">
        <f t="shared" si="9"/>
        <v>8.2769622670551541</v>
      </c>
      <c r="Y68" s="90">
        <f t="shared" si="10"/>
        <v>8.26</v>
      </c>
      <c r="Z68" s="90">
        <f t="shared" si="11"/>
        <v>0.31900000000000001</v>
      </c>
      <c r="AA68" s="57">
        <f t="shared" si="12"/>
        <v>16.528094305200984</v>
      </c>
      <c r="AB68" s="90">
        <f t="shared" si="24"/>
        <v>2.9</v>
      </c>
      <c r="AC68" s="90">
        <f t="shared" si="25"/>
        <v>0.4</v>
      </c>
      <c r="AD68" s="57">
        <f t="shared" si="13"/>
        <v>6.9204101541263778</v>
      </c>
      <c r="AE68" s="90">
        <f t="shared" si="14"/>
        <v>6.5</v>
      </c>
      <c r="AF68" s="90">
        <f t="shared" si="15"/>
        <v>0.628</v>
      </c>
      <c r="AG68" s="57">
        <f t="shared" si="16"/>
        <v>25.465691899737347</v>
      </c>
      <c r="AH68" s="90">
        <f t="shared" si="26"/>
        <v>7.4</v>
      </c>
      <c r="AI68" s="90">
        <f t="shared" si="27"/>
        <v>0.25</v>
      </c>
      <c r="AJ68" s="57">
        <f t="shared" si="17"/>
        <v>12.744281851587347</v>
      </c>
    </row>
    <row r="69" spans="2:36">
      <c r="B69" s="92"/>
      <c r="C69" s="92"/>
      <c r="D69" s="92"/>
      <c r="E69" s="92"/>
      <c r="F69" s="93"/>
      <c r="G69" s="92"/>
      <c r="H69" s="92"/>
      <c r="I69" s="92"/>
      <c r="J69" s="57"/>
      <c r="M69" s="57"/>
      <c r="N69" s="57"/>
      <c r="O69" s="57"/>
      <c r="P69" s="57"/>
      <c r="Q69" s="57"/>
      <c r="R69" s="57">
        <f t="shared" si="28"/>
        <v>8.9440000000000026</v>
      </c>
      <c r="S69" s="57">
        <f t="shared" si="5"/>
        <v>9.6532036198768516</v>
      </c>
      <c r="T69" s="57">
        <f t="shared" si="6"/>
        <v>6.3799999999999996E-2</v>
      </c>
      <c r="U69" s="57">
        <f t="shared" si="29"/>
        <v>11.101436914077221</v>
      </c>
      <c r="V69" s="90">
        <f t="shared" si="7"/>
        <v>5.13</v>
      </c>
      <c r="W69" s="90">
        <f t="shared" si="8"/>
        <v>0.22</v>
      </c>
      <c r="X69" s="57">
        <f t="shared" si="9"/>
        <v>8.3071941197169767</v>
      </c>
      <c r="Y69" s="90">
        <f t="shared" si="10"/>
        <v>8.26</v>
      </c>
      <c r="Z69" s="90">
        <f t="shared" si="11"/>
        <v>0.31900000000000001</v>
      </c>
      <c r="AA69" s="57">
        <f t="shared" si="12"/>
        <v>16.615701766989869</v>
      </c>
      <c r="AB69" s="90">
        <f t="shared" si="24"/>
        <v>2.9</v>
      </c>
      <c r="AC69" s="90">
        <f t="shared" si="25"/>
        <v>0.4</v>
      </c>
      <c r="AD69" s="57">
        <f t="shared" si="13"/>
        <v>6.9664370021279289</v>
      </c>
      <c r="AE69" s="90">
        <f t="shared" si="14"/>
        <v>6.5</v>
      </c>
      <c r="AF69" s="90">
        <f t="shared" si="15"/>
        <v>0.628</v>
      </c>
      <c r="AG69" s="57">
        <f t="shared" si="16"/>
        <v>25.732105369154297</v>
      </c>
      <c r="AH69" s="90">
        <f t="shared" si="26"/>
        <v>7.4</v>
      </c>
      <c r="AI69" s="90">
        <f t="shared" si="27"/>
        <v>0.25</v>
      </c>
      <c r="AJ69" s="57">
        <f t="shared" si="17"/>
        <v>12.797191455530086</v>
      </c>
    </row>
    <row r="70" spans="2:36">
      <c r="B70" s="92"/>
      <c r="C70" s="92"/>
      <c r="D70" s="92"/>
      <c r="E70" s="92"/>
      <c r="F70" s="93"/>
      <c r="G70" s="92"/>
      <c r="H70" s="92"/>
      <c r="I70" s="92"/>
      <c r="J70" s="57"/>
      <c r="M70" s="57"/>
      <c r="N70" s="57"/>
      <c r="O70" s="57"/>
      <c r="P70" s="57"/>
      <c r="Q70" s="57"/>
      <c r="R70" s="57">
        <f t="shared" si="28"/>
        <v>9.0910000000000029</v>
      </c>
      <c r="S70" s="57">
        <f t="shared" si="5"/>
        <v>9.6532036198768516</v>
      </c>
      <c r="T70" s="57">
        <f t="shared" si="6"/>
        <v>6.3799999999999996E-2</v>
      </c>
      <c r="U70" s="57">
        <f t="shared" si="29"/>
        <v>11.112989163124192</v>
      </c>
      <c r="V70" s="90">
        <f t="shared" si="7"/>
        <v>5.13</v>
      </c>
      <c r="W70" s="90">
        <f t="shared" si="8"/>
        <v>0.22</v>
      </c>
      <c r="X70" s="57">
        <f t="shared" si="9"/>
        <v>8.3370408567769818</v>
      </c>
      <c r="Y70" s="90">
        <f t="shared" si="10"/>
        <v>8.26</v>
      </c>
      <c r="Z70" s="90">
        <f t="shared" si="11"/>
        <v>0.31900000000000001</v>
      </c>
      <c r="AA70" s="57">
        <f t="shared" si="12"/>
        <v>16.702334078305423</v>
      </c>
      <c r="AB70" s="90">
        <f t="shared" si="24"/>
        <v>2.9</v>
      </c>
      <c r="AC70" s="90">
        <f t="shared" si="25"/>
        <v>0.4</v>
      </c>
      <c r="AD70" s="57">
        <f t="shared" si="13"/>
        <v>7.0120121671581304</v>
      </c>
      <c r="AE70" s="90">
        <f t="shared" si="14"/>
        <v>6.5</v>
      </c>
      <c r="AF70" s="90">
        <f t="shared" si="15"/>
        <v>0.628</v>
      </c>
      <c r="AG70" s="57">
        <f t="shared" si="16"/>
        <v>25.996894858064262</v>
      </c>
      <c r="AH70" s="90">
        <f t="shared" si="26"/>
        <v>7.4</v>
      </c>
      <c r="AI70" s="90">
        <f t="shared" si="27"/>
        <v>0.25</v>
      </c>
      <c r="AJ70" s="57">
        <f t="shared" si="17"/>
        <v>12.849452822076939</v>
      </c>
    </row>
    <row r="71" spans="2:36">
      <c r="B71" s="92"/>
      <c r="C71" s="92"/>
      <c r="D71" s="92"/>
      <c r="E71" s="92"/>
      <c r="F71" s="93"/>
      <c r="G71" s="92"/>
      <c r="H71" s="92"/>
      <c r="I71" s="92"/>
      <c r="J71" s="57"/>
      <c r="M71" s="57"/>
      <c r="N71" s="57"/>
      <c r="O71" s="57"/>
      <c r="P71" s="57"/>
      <c r="Q71" s="57"/>
      <c r="R71" s="57">
        <f t="shared" si="28"/>
        <v>9.2380000000000031</v>
      </c>
      <c r="S71" s="57">
        <f t="shared" si="5"/>
        <v>9.6532036198768516</v>
      </c>
      <c r="T71" s="57">
        <f t="shared" si="6"/>
        <v>6.3799999999999996E-2</v>
      </c>
      <c r="U71" s="57">
        <f t="shared" si="29"/>
        <v>11.124367837895285</v>
      </c>
      <c r="V71" s="90">
        <f t="shared" si="7"/>
        <v>5.13</v>
      </c>
      <c r="W71" s="90">
        <f t="shared" si="8"/>
        <v>0.22</v>
      </c>
      <c r="X71" s="57">
        <f t="shared" si="9"/>
        <v>8.3665134941047885</v>
      </c>
      <c r="Y71" s="90">
        <f t="shared" si="10"/>
        <v>8.26</v>
      </c>
      <c r="Z71" s="90">
        <f t="shared" si="11"/>
        <v>0.31900000000000001</v>
      </c>
      <c r="AA71" s="57">
        <f t="shared" si="12"/>
        <v>16.788017602096723</v>
      </c>
      <c r="AB71" s="90">
        <f t="shared" si="24"/>
        <v>2.9</v>
      </c>
      <c r="AC71" s="90">
        <f t="shared" si="25"/>
        <v>0.4</v>
      </c>
      <c r="AD71" s="57">
        <f t="shared" si="13"/>
        <v>7.057147279553841</v>
      </c>
      <c r="AE71" s="90">
        <f t="shared" si="14"/>
        <v>6.5</v>
      </c>
      <c r="AF71" s="90">
        <f t="shared" si="15"/>
        <v>0.628</v>
      </c>
      <c r="AG71" s="57">
        <f t="shared" si="16"/>
        <v>26.260096289510134</v>
      </c>
      <c r="AH71" s="90">
        <f t="shared" si="26"/>
        <v>7.4</v>
      </c>
      <c r="AI71" s="90">
        <f t="shared" si="27"/>
        <v>0.25</v>
      </c>
      <c r="AJ71" s="57">
        <f t="shared" si="17"/>
        <v>12.901084185353186</v>
      </c>
    </row>
    <row r="72" spans="2:36">
      <c r="B72" s="92"/>
      <c r="C72" s="92"/>
      <c r="D72" s="92"/>
      <c r="E72" s="92"/>
      <c r="F72" s="93"/>
      <c r="G72" s="92"/>
      <c r="H72" s="92"/>
      <c r="I72" s="92"/>
      <c r="J72" s="57"/>
      <c r="M72" s="57"/>
      <c r="N72" s="57"/>
      <c r="O72" s="57"/>
      <c r="P72" s="57"/>
      <c r="Q72" s="57"/>
      <c r="R72" s="57">
        <f t="shared" ref="R72:R83" si="30">R71+($M$5-0.103)</f>
        <v>9.3850000000000033</v>
      </c>
      <c r="S72" s="57">
        <f t="shared" si="5"/>
        <v>9.6532036198768516</v>
      </c>
      <c r="T72" s="57">
        <f t="shared" si="6"/>
        <v>6.3799999999999996E-2</v>
      </c>
      <c r="U72" s="57">
        <f t="shared" ref="U72:U83" si="31">S72*R72^T72</f>
        <v>11.135578246998753</v>
      </c>
      <c r="V72" s="90">
        <f t="shared" si="7"/>
        <v>5.13</v>
      </c>
      <c r="W72" s="90">
        <f t="shared" si="8"/>
        <v>0.22</v>
      </c>
      <c r="X72" s="57">
        <f t="shared" si="9"/>
        <v>8.3956225632205825</v>
      </c>
      <c r="Y72" s="90">
        <f t="shared" si="10"/>
        <v>8.26</v>
      </c>
      <c r="Z72" s="90">
        <f t="shared" si="11"/>
        <v>0.31900000000000001</v>
      </c>
      <c r="AA72" s="57">
        <f t="shared" si="12"/>
        <v>16.87277758257477</v>
      </c>
      <c r="AB72" s="90">
        <f t="shared" si="24"/>
        <v>2.9</v>
      </c>
      <c r="AC72" s="90">
        <f t="shared" si="25"/>
        <v>0.4</v>
      </c>
      <c r="AD72" s="57">
        <f t="shared" si="13"/>
        <v>7.1018534907093276</v>
      </c>
      <c r="AE72" s="90">
        <f t="shared" si="14"/>
        <v>6.5</v>
      </c>
      <c r="AF72" s="90">
        <f t="shared" si="15"/>
        <v>0.628</v>
      </c>
      <c r="AG72" s="57">
        <f t="shared" si="16"/>
        <v>26.521744234478859</v>
      </c>
      <c r="AH72" s="90">
        <f t="shared" si="26"/>
        <v>7.4</v>
      </c>
      <c r="AI72" s="90">
        <f t="shared" si="27"/>
        <v>0.25</v>
      </c>
      <c r="AJ72" s="57">
        <f t="shared" si="17"/>
        <v>12.952102986222215</v>
      </c>
    </row>
    <row r="73" spans="2:36">
      <c r="B73" s="92"/>
      <c r="C73" s="92"/>
      <c r="D73" s="92"/>
      <c r="E73" s="92"/>
      <c r="F73" s="93"/>
      <c r="G73" s="92"/>
      <c r="H73" s="92"/>
      <c r="I73" s="92"/>
      <c r="J73" s="57"/>
      <c r="M73" s="57"/>
      <c r="N73" s="57"/>
      <c r="O73" s="57"/>
      <c r="P73" s="57"/>
      <c r="Q73" s="57"/>
      <c r="R73" s="57">
        <f t="shared" si="30"/>
        <v>9.5320000000000036</v>
      </c>
      <c r="S73" s="57">
        <f t="shared" si="5"/>
        <v>9.6532036198768516</v>
      </c>
      <c r="T73" s="57">
        <f t="shared" si="6"/>
        <v>6.3799999999999996E-2</v>
      </c>
      <c r="U73" s="57">
        <f t="shared" si="31"/>
        <v>11.146625456653096</v>
      </c>
      <c r="V73" s="90">
        <f t="shared" si="7"/>
        <v>5.13</v>
      </c>
      <c r="W73" s="90">
        <f t="shared" si="8"/>
        <v>0.22</v>
      </c>
      <c r="X73" s="57">
        <f t="shared" si="9"/>
        <v>8.4243781398014583</v>
      </c>
      <c r="Y73" s="90">
        <f t="shared" si="10"/>
        <v>8.26</v>
      </c>
      <c r="Z73" s="90">
        <f t="shared" si="11"/>
        <v>0.31900000000000001</v>
      </c>
      <c r="AA73" s="57">
        <f t="shared" si="12"/>
        <v>16.956638209381165</v>
      </c>
      <c r="AB73" s="90">
        <f t="shared" ref="AB73:AB83" si="32">am_1</f>
        <v>2.9</v>
      </c>
      <c r="AC73" s="90">
        <f t="shared" ref="AC73:AC83" si="33">nm_1</f>
        <v>0.4</v>
      </c>
      <c r="AD73" s="57">
        <f t="shared" si="13"/>
        <v>7.1461414999601116</v>
      </c>
      <c r="AE73" s="90">
        <f t="shared" si="14"/>
        <v>6.5</v>
      </c>
      <c r="AF73" s="90">
        <f t="shared" si="15"/>
        <v>0.628</v>
      </c>
      <c r="AG73" s="57">
        <f t="shared" si="16"/>
        <v>26.781871983115582</v>
      </c>
      <c r="AH73" s="90">
        <f t="shared" si="26"/>
        <v>7.4</v>
      </c>
      <c r="AI73" s="90">
        <f t="shared" si="27"/>
        <v>0.25</v>
      </c>
      <c r="AJ73" s="57">
        <f t="shared" si="17"/>
        <v>13.002525918613269</v>
      </c>
    </row>
    <row r="74" spans="2:36">
      <c r="B74" s="92"/>
      <c r="C74" s="92"/>
      <c r="D74" s="92"/>
      <c r="E74" s="92"/>
      <c r="F74" s="93"/>
      <c r="G74" s="92"/>
      <c r="H74" s="92"/>
      <c r="I74" s="92"/>
      <c r="J74" s="57"/>
      <c r="M74" s="57"/>
      <c r="N74" s="57"/>
      <c r="O74" s="57"/>
      <c r="P74" s="57"/>
      <c r="Q74" s="57"/>
      <c r="R74" s="57">
        <f t="shared" si="30"/>
        <v>9.6790000000000038</v>
      </c>
      <c r="S74" s="57">
        <f t="shared" ref="S74:S83" si="34">VLOOKUP($R74,knsobn_,4,TRUE)</f>
        <v>9.6532036198768516</v>
      </c>
      <c r="T74" s="57">
        <f t="shared" ref="T74:T83" si="35">VLOOKUP($R74,knsobn_,5,TRUE)</f>
        <v>6.3799999999999996E-2</v>
      </c>
      <c r="U74" s="57">
        <f t="shared" si="31"/>
        <v>11.157514305296953</v>
      </c>
      <c r="V74" s="90">
        <f t="shared" ref="V74:V83" si="36">$J$28</f>
        <v>5.13</v>
      </c>
      <c r="W74" s="90">
        <f t="shared" ref="W74:W83" si="37">$K$28</f>
        <v>0.22</v>
      </c>
      <c r="X74" s="57">
        <f t="shared" ref="X74:X83" si="38">V74*R74^W74</f>
        <v>8.4527898700986448</v>
      </c>
      <c r="Y74" s="90">
        <f t="shared" ref="Y74:Y83" si="39">$J$33</f>
        <v>8.26</v>
      </c>
      <c r="Z74" s="90">
        <f t="shared" ref="Z74:Z83" si="40">$K$33</f>
        <v>0.31900000000000001</v>
      </c>
      <c r="AA74" s="57">
        <f t="shared" ref="AA74:AA83" si="41">Y74*R74^Z74</f>
        <v>17.039622677148028</v>
      </c>
      <c r="AB74" s="90">
        <f t="shared" si="32"/>
        <v>2.9</v>
      </c>
      <c r="AC74" s="90">
        <f t="shared" si="33"/>
        <v>0.4</v>
      </c>
      <c r="AD74" s="57">
        <f t="shared" ref="AD74:AD83" si="42">AB74*R74^AC74</f>
        <v>7.1900215795681497</v>
      </c>
      <c r="AE74" s="90">
        <f t="shared" ref="AE74:AE83" si="43">$J$58</f>
        <v>6.5</v>
      </c>
      <c r="AF74" s="90">
        <f t="shared" ref="AF74:AF83" si="44">$K$58</f>
        <v>0.628</v>
      </c>
      <c r="AG74" s="57">
        <f t="shared" ref="AG74:AG83" si="45">AE74*R74^AF74</f>
        <v>27.040511611149185</v>
      </c>
      <c r="AH74" s="90">
        <f t="shared" si="26"/>
        <v>7.4</v>
      </c>
      <c r="AI74" s="90">
        <f t="shared" si="27"/>
        <v>0.25</v>
      </c>
      <c r="AJ74" s="57">
        <f t="shared" ref="AJ74:AJ83" si="46">AH74*R74^AI74</f>
        <v>13.052368972474545</v>
      </c>
    </row>
    <row r="75" spans="2:36">
      <c r="B75" s="92"/>
      <c r="C75" s="92"/>
      <c r="D75" s="92"/>
      <c r="E75" s="92"/>
      <c r="F75" s="93"/>
      <c r="G75" s="92"/>
      <c r="H75" s="92"/>
      <c r="I75" s="92"/>
      <c r="J75" s="57"/>
      <c r="M75" s="57"/>
      <c r="N75" s="57"/>
      <c r="O75" s="57"/>
      <c r="P75" s="57"/>
      <c r="Q75" s="57"/>
      <c r="R75" s="57">
        <f t="shared" si="30"/>
        <v>9.8260000000000041</v>
      </c>
      <c r="S75" s="57">
        <f t="shared" si="34"/>
        <v>9.6532036198768516</v>
      </c>
      <c r="T75" s="57">
        <f t="shared" si="35"/>
        <v>6.3799999999999996E-2</v>
      </c>
      <c r="U75" s="57">
        <f t="shared" si="31"/>
        <v>11.168249417111291</v>
      </c>
      <c r="V75" s="90">
        <f t="shared" si="36"/>
        <v>5.13</v>
      </c>
      <c r="W75" s="90">
        <f t="shared" si="37"/>
        <v>0.22</v>
      </c>
      <c r="X75" s="57">
        <f t="shared" si="38"/>
        <v>8.4808669954479772</v>
      </c>
      <c r="Y75" s="90">
        <f t="shared" si="39"/>
        <v>8.26</v>
      </c>
      <c r="Z75" s="90">
        <f t="shared" si="40"/>
        <v>0.31900000000000001</v>
      </c>
      <c r="AA75" s="57">
        <f t="shared" si="41"/>
        <v>17.121753240844736</v>
      </c>
      <c r="AB75" s="90">
        <f t="shared" si="32"/>
        <v>2.9</v>
      </c>
      <c r="AC75" s="90">
        <f t="shared" si="33"/>
        <v>0.4</v>
      </c>
      <c r="AD75" s="57">
        <f t="shared" si="42"/>
        <v>7.2335035979691371</v>
      </c>
      <c r="AE75" s="90">
        <f t="shared" si="43"/>
        <v>6.5</v>
      </c>
      <c r="AF75" s="90">
        <f t="shared" si="44"/>
        <v>0.628</v>
      </c>
      <c r="AG75" s="57">
        <f t="shared" si="45"/>
        <v>27.297694041918795</v>
      </c>
      <c r="AH75" s="90">
        <f t="shared" ref="AH75:AH83" si="47">am_4</f>
        <v>7.4</v>
      </c>
      <c r="AI75" s="90">
        <f t="shared" ref="AI75:AI83" si="48">nm_4</f>
        <v>0.25</v>
      </c>
      <c r="AJ75" s="57">
        <f t="shared" si="46"/>
        <v>13.101647473644753</v>
      </c>
    </row>
    <row r="76" spans="2:36">
      <c r="B76" s="92"/>
      <c r="C76" s="92"/>
      <c r="D76" s="92"/>
      <c r="E76" s="92"/>
      <c r="F76" s="93"/>
      <c r="G76" s="92"/>
      <c r="H76" s="92"/>
      <c r="I76" s="92"/>
      <c r="J76" s="57"/>
      <c r="M76" s="57"/>
      <c r="N76" s="57"/>
      <c r="O76" s="57"/>
      <c r="P76" s="57"/>
      <c r="Q76" s="57"/>
      <c r="R76" s="57">
        <f t="shared" si="30"/>
        <v>9.9730000000000043</v>
      </c>
      <c r="S76" s="57">
        <f t="shared" si="34"/>
        <v>9.6532036198768516</v>
      </c>
      <c r="T76" s="57">
        <f t="shared" si="35"/>
        <v>6.3799999999999996E-2</v>
      </c>
      <c r="U76" s="57">
        <f t="shared" si="31"/>
        <v>11.178835214549855</v>
      </c>
      <c r="V76" s="90">
        <f t="shared" si="36"/>
        <v>5.13</v>
      </c>
      <c r="W76" s="90">
        <f t="shared" si="37"/>
        <v>0.22</v>
      </c>
      <c r="X76" s="57">
        <f t="shared" si="38"/>
        <v>8.5086183750375515</v>
      </c>
      <c r="Y76" s="90">
        <f t="shared" si="39"/>
        <v>8.26</v>
      </c>
      <c r="Z76" s="90">
        <f t="shared" si="40"/>
        <v>0.31900000000000001</v>
      </c>
      <c r="AA76" s="57">
        <f t="shared" si="41"/>
        <v>17.203051267267902</v>
      </c>
      <c r="AB76" s="90">
        <f t="shared" si="32"/>
        <v>2.9</v>
      </c>
      <c r="AC76" s="90">
        <f t="shared" si="33"/>
        <v>0.4</v>
      </c>
      <c r="AD76" s="57">
        <f t="shared" si="42"/>
        <v>7.2765970414268999</v>
      </c>
      <c r="AE76" s="90">
        <f t="shared" si="43"/>
        <v>6.5</v>
      </c>
      <c r="AF76" s="90">
        <f t="shared" si="44"/>
        <v>0.628</v>
      </c>
      <c r="AG76" s="57">
        <f t="shared" si="45"/>
        <v>27.553449104354016</v>
      </c>
      <c r="AH76" s="90">
        <f t="shared" si="47"/>
        <v>7.4</v>
      </c>
      <c r="AI76" s="90">
        <f t="shared" si="48"/>
        <v>0.25</v>
      </c>
      <c r="AJ76" s="57">
        <f t="shared" si="46"/>
        <v>13.150376120906746</v>
      </c>
    </row>
    <row r="77" spans="2:36">
      <c r="B77" s="92"/>
      <c r="C77" s="92"/>
      <c r="D77" s="92"/>
      <c r="E77" s="92"/>
      <c r="F77" s="93"/>
      <c r="G77" s="92"/>
      <c r="H77" s="92"/>
      <c r="I77" s="92"/>
      <c r="J77" s="57"/>
      <c r="M77" s="57"/>
      <c r="N77" s="57"/>
      <c r="O77" s="57"/>
      <c r="P77" s="57"/>
      <c r="Q77" s="57"/>
      <c r="R77" s="57">
        <f t="shared" si="30"/>
        <v>10.120000000000005</v>
      </c>
      <c r="S77" s="57">
        <f t="shared" si="34"/>
        <v>9.6532036198768516</v>
      </c>
      <c r="T77" s="57">
        <f t="shared" si="35"/>
        <v>6.3799999999999996E-2</v>
      </c>
      <c r="U77" s="57">
        <f t="shared" si="31"/>
        <v>11.189275929964063</v>
      </c>
      <c r="V77" s="90">
        <f t="shared" si="36"/>
        <v>5.13</v>
      </c>
      <c r="W77" s="90">
        <f t="shared" si="37"/>
        <v>0.22</v>
      </c>
      <c r="X77" s="57">
        <f t="shared" si="38"/>
        <v>8.5360525070802016</v>
      </c>
      <c r="Y77" s="90">
        <f t="shared" si="39"/>
        <v>8.26</v>
      </c>
      <c r="Z77" s="90">
        <f t="shared" si="40"/>
        <v>0.31900000000000001</v>
      </c>
      <c r="AA77" s="57">
        <f t="shared" si="41"/>
        <v>17.28353728299594</v>
      </c>
      <c r="AB77" s="90">
        <f t="shared" si="32"/>
        <v>2.9</v>
      </c>
      <c r="AC77" s="90">
        <f t="shared" si="33"/>
        <v>0.4</v>
      </c>
      <c r="AD77" s="57">
        <f t="shared" si="42"/>
        <v>7.3193110342258034</v>
      </c>
      <c r="AE77" s="90">
        <f t="shared" si="43"/>
        <v>6.5</v>
      </c>
      <c r="AF77" s="90">
        <f t="shared" si="44"/>
        <v>0.628</v>
      </c>
      <c r="AG77" s="57">
        <f t="shared" si="45"/>
        <v>27.80780558722828</v>
      </c>
      <c r="AH77" s="90">
        <f t="shared" si="47"/>
        <v>7.4</v>
      </c>
      <c r="AI77" s="90">
        <f t="shared" si="48"/>
        <v>0.25</v>
      </c>
      <c r="AJ77" s="57">
        <f t="shared" si="46"/>
        <v>13.198569020460795</v>
      </c>
    </row>
    <row r="78" spans="2:36">
      <c r="B78" s="92"/>
      <c r="C78" s="92"/>
      <c r="D78" s="92"/>
      <c r="E78" s="92"/>
      <c r="F78" s="93"/>
      <c r="G78" s="92"/>
      <c r="H78" s="92"/>
      <c r="I78" s="92"/>
      <c r="J78" s="57"/>
      <c r="M78" s="57"/>
      <c r="N78" s="57"/>
      <c r="O78" s="57"/>
      <c r="P78" s="57"/>
      <c r="Q78" s="57"/>
      <c r="R78" s="57">
        <f t="shared" si="30"/>
        <v>10.267000000000005</v>
      </c>
      <c r="S78" s="57">
        <f t="shared" si="34"/>
        <v>9.6532036198768516</v>
      </c>
      <c r="T78" s="57">
        <f t="shared" si="35"/>
        <v>6.3799999999999996E-2</v>
      </c>
      <c r="U78" s="57">
        <f t="shared" si="31"/>
        <v>11.19957561639991</v>
      </c>
      <c r="V78" s="90">
        <f t="shared" si="36"/>
        <v>5.13</v>
      </c>
      <c r="W78" s="90">
        <f t="shared" si="37"/>
        <v>0.22</v>
      </c>
      <c r="X78" s="57">
        <f t="shared" si="38"/>
        <v>8.563177548524024</v>
      </c>
      <c r="Y78" s="90">
        <f t="shared" si="39"/>
        <v>8.26</v>
      </c>
      <c r="Z78" s="90">
        <f t="shared" si="40"/>
        <v>0.31900000000000001</v>
      </c>
      <c r="AA78" s="57">
        <f t="shared" si="41"/>
        <v>17.363231019098606</v>
      </c>
      <c r="AB78" s="90">
        <f t="shared" si="32"/>
        <v>2.9</v>
      </c>
      <c r="AC78" s="90">
        <f t="shared" si="33"/>
        <v>0.4</v>
      </c>
      <c r="AD78" s="57">
        <f t="shared" si="42"/>
        <v>7.3616543575196065</v>
      </c>
      <c r="AE78" s="90">
        <f t="shared" si="43"/>
        <v>6.5</v>
      </c>
      <c r="AF78" s="90">
        <f t="shared" si="44"/>
        <v>0.628</v>
      </c>
      <c r="AG78" s="57">
        <f t="shared" si="45"/>
        <v>28.060791289975612</v>
      </c>
      <c r="AH78" s="90">
        <f t="shared" si="47"/>
        <v>7.4</v>
      </c>
      <c r="AI78" s="90">
        <f t="shared" si="48"/>
        <v>0.25</v>
      </c>
      <c r="AJ78" s="57">
        <f t="shared" si="46"/>
        <v>13.246239718031903</v>
      </c>
    </row>
    <row r="79" spans="2:36">
      <c r="B79" s="92"/>
      <c r="C79" s="92"/>
      <c r="D79" s="92"/>
      <c r="E79" s="92"/>
      <c r="F79" s="93"/>
      <c r="G79" s="92"/>
      <c r="H79" s="92"/>
      <c r="I79" s="92"/>
      <c r="J79" s="57"/>
      <c r="M79" s="57"/>
      <c r="N79" s="57"/>
      <c r="O79" s="57"/>
      <c r="P79" s="57"/>
      <c r="Q79" s="57"/>
      <c r="R79" s="57">
        <f t="shared" si="30"/>
        <v>10.414000000000005</v>
      </c>
      <c r="S79" s="57">
        <f t="shared" si="34"/>
        <v>9.6532036198768516</v>
      </c>
      <c r="T79" s="57">
        <f t="shared" si="35"/>
        <v>6.3799999999999996E-2</v>
      </c>
      <c r="U79" s="57">
        <f t="shared" si="31"/>
        <v>11.209738157636787</v>
      </c>
      <c r="V79" s="90">
        <f t="shared" si="36"/>
        <v>5.13</v>
      </c>
      <c r="W79" s="90">
        <f t="shared" si="37"/>
        <v>0.22</v>
      </c>
      <c r="X79" s="57">
        <f t="shared" si="38"/>
        <v>8.5900013334212488</v>
      </c>
      <c r="Y79" s="90">
        <f t="shared" si="39"/>
        <v>8.26</v>
      </c>
      <c r="Z79" s="90">
        <f t="shared" si="40"/>
        <v>0.31900000000000001</v>
      </c>
      <c r="AA79" s="57">
        <f t="shared" si="41"/>
        <v>17.442151452864127</v>
      </c>
      <c r="AB79" s="90">
        <f t="shared" si="32"/>
        <v>2.9</v>
      </c>
      <c r="AC79" s="90">
        <f t="shared" si="33"/>
        <v>0.4</v>
      </c>
      <c r="AD79" s="57">
        <f t="shared" si="42"/>
        <v>7.4036354669440323</v>
      </c>
      <c r="AE79" s="90">
        <f t="shared" si="43"/>
        <v>6.5</v>
      </c>
      <c r="AF79" s="90">
        <f t="shared" si="44"/>
        <v>0.628</v>
      </c>
      <c r="AG79" s="57">
        <f t="shared" si="45"/>
        <v>28.312433070334297</v>
      </c>
      <c r="AH79" s="90">
        <f t="shared" si="47"/>
        <v>7.4</v>
      </c>
      <c r="AI79" s="90">
        <f t="shared" si="48"/>
        <v>0.25</v>
      </c>
      <c r="AJ79" s="57">
        <f t="shared" si="46"/>
        <v>13.293401228804905</v>
      </c>
    </row>
    <row r="80" spans="2:36">
      <c r="B80" s="92"/>
      <c r="C80" s="92"/>
      <c r="D80" s="92"/>
      <c r="E80" s="92"/>
      <c r="F80" s="93"/>
      <c r="G80" s="92"/>
      <c r="H80" s="92"/>
      <c r="I80" s="92"/>
      <c r="J80" s="57"/>
      <c r="M80" s="57"/>
      <c r="N80" s="57"/>
      <c r="O80" s="57"/>
      <c r="P80" s="57"/>
      <c r="Q80" s="57"/>
      <c r="R80" s="57">
        <f t="shared" si="30"/>
        <v>10.561000000000005</v>
      </c>
      <c r="S80" s="57">
        <f t="shared" si="34"/>
        <v>9.6532036198768516</v>
      </c>
      <c r="T80" s="57">
        <f t="shared" si="35"/>
        <v>6.3799999999999996E-2</v>
      </c>
      <c r="U80" s="57">
        <f t="shared" si="31"/>
        <v>11.219767277531348</v>
      </c>
      <c r="V80" s="90">
        <f t="shared" si="36"/>
        <v>5.13</v>
      </c>
      <c r="W80" s="90">
        <f t="shared" si="37"/>
        <v>0.22</v>
      </c>
      <c r="X80" s="57">
        <f t="shared" si="38"/>
        <v>8.6165313900643685</v>
      </c>
      <c r="Y80" s="90">
        <f t="shared" si="39"/>
        <v>8.26</v>
      </c>
      <c r="Z80" s="90">
        <f t="shared" si="40"/>
        <v>0.31900000000000001</v>
      </c>
      <c r="AA80" s="57">
        <f t="shared" si="41"/>
        <v>17.520316846782137</v>
      </c>
      <c r="AB80" s="90">
        <f t="shared" si="32"/>
        <v>2.9</v>
      </c>
      <c r="AC80" s="90">
        <f t="shared" si="33"/>
        <v>0.4</v>
      </c>
      <c r="AD80" s="57">
        <f t="shared" si="42"/>
        <v>7.4452625090904112</v>
      </c>
      <c r="AE80" s="90">
        <f t="shared" si="43"/>
        <v>6.5</v>
      </c>
      <c r="AF80" s="90">
        <f t="shared" si="44"/>
        <v>0.628</v>
      </c>
      <c r="AG80" s="57">
        <f t="shared" si="45"/>
        <v>28.562756889057564</v>
      </c>
      <c r="AH80" s="90">
        <f t="shared" si="47"/>
        <v>7.4</v>
      </c>
      <c r="AI80" s="90">
        <f t="shared" si="48"/>
        <v>0.25</v>
      </c>
      <c r="AJ80" s="57">
        <f t="shared" si="46"/>
        <v>13.340066065362763</v>
      </c>
    </row>
    <row r="81" spans="2:36">
      <c r="B81" s="92"/>
      <c r="C81" s="92"/>
      <c r="D81" s="92"/>
      <c r="E81" s="92"/>
      <c r="F81" s="93"/>
      <c r="G81" s="92"/>
      <c r="H81" s="92"/>
      <c r="I81" s="92"/>
      <c r="M81" s="57"/>
      <c r="N81" s="57"/>
      <c r="O81" s="57"/>
      <c r="P81" s="57"/>
      <c r="Q81" s="57"/>
      <c r="R81" s="57">
        <f t="shared" si="30"/>
        <v>10.708000000000006</v>
      </c>
      <c r="S81" s="57">
        <f t="shared" si="34"/>
        <v>9.6532036198768516</v>
      </c>
      <c r="T81" s="57">
        <f t="shared" si="35"/>
        <v>6.3799999999999996E-2</v>
      </c>
      <c r="U81" s="57">
        <f t="shared" si="31"/>
        <v>11.22966654872347</v>
      </c>
      <c r="V81" s="90">
        <f t="shared" si="36"/>
        <v>5.13</v>
      </c>
      <c r="W81" s="90">
        <f t="shared" si="37"/>
        <v>0.22</v>
      </c>
      <c r="X81" s="57">
        <f t="shared" si="38"/>
        <v>8.6427749569881502</v>
      </c>
      <c r="Y81" s="90">
        <f t="shared" si="39"/>
        <v>8.26</v>
      </c>
      <c r="Z81" s="90">
        <f t="shared" si="40"/>
        <v>0.31900000000000001</v>
      </c>
      <c r="AA81" s="57">
        <f t="shared" si="41"/>
        <v>17.597744784998241</v>
      </c>
      <c r="AB81" s="90">
        <f t="shared" si="32"/>
        <v>2.9</v>
      </c>
      <c r="AC81" s="90">
        <f t="shared" si="33"/>
        <v>0.4</v>
      </c>
      <c r="AD81" s="57">
        <f t="shared" si="42"/>
        <v>7.4865433369287784</v>
      </c>
      <c r="AE81" s="90">
        <f t="shared" si="43"/>
        <v>6.5</v>
      </c>
      <c r="AF81" s="90">
        <f t="shared" si="44"/>
        <v>0.628</v>
      </c>
      <c r="AG81" s="57">
        <f t="shared" si="45"/>
        <v>28.811787851910161</v>
      </c>
      <c r="AH81" s="90">
        <f t="shared" si="47"/>
        <v>7.4</v>
      </c>
      <c r="AI81" s="90">
        <f t="shared" si="48"/>
        <v>0.25</v>
      </c>
      <c r="AJ81" s="57">
        <f t="shared" si="46"/>
        <v>13.386246263787081</v>
      </c>
    </row>
    <row r="82" spans="2:36">
      <c r="B82" s="57"/>
      <c r="C82" s="57"/>
      <c r="D82" s="57"/>
      <c r="E82" s="57"/>
      <c r="G82" s="57"/>
      <c r="H82" s="57"/>
      <c r="I82" s="57"/>
      <c r="M82" s="57"/>
      <c r="N82" s="57"/>
      <c r="O82" s="57"/>
      <c r="P82" s="57"/>
      <c r="Q82" s="57"/>
      <c r="R82" s="57">
        <f t="shared" si="30"/>
        <v>10.855000000000006</v>
      </c>
      <c r="S82" s="57">
        <f t="shared" si="34"/>
        <v>9.6532036198768516</v>
      </c>
      <c r="T82" s="57">
        <f t="shared" si="35"/>
        <v>6.3799999999999996E-2</v>
      </c>
      <c r="U82" s="57">
        <f t="shared" si="31"/>
        <v>11.239439400755961</v>
      </c>
      <c r="V82" s="90">
        <f t="shared" si="36"/>
        <v>5.13</v>
      </c>
      <c r="W82" s="90">
        <f t="shared" si="37"/>
        <v>0.22</v>
      </c>
      <c r="X82" s="57">
        <f t="shared" si="38"/>
        <v>8.6687389979270772</v>
      </c>
      <c r="Y82" s="90">
        <f t="shared" si="39"/>
        <v>8.26</v>
      </c>
      <c r="Z82" s="90">
        <f t="shared" si="40"/>
        <v>0.31900000000000001</v>
      </c>
      <c r="AA82" s="57">
        <f t="shared" si="41"/>
        <v>17.674452207436644</v>
      </c>
      <c r="AB82" s="90">
        <f t="shared" si="32"/>
        <v>2.9</v>
      </c>
      <c r="AC82" s="90">
        <f t="shared" si="33"/>
        <v>0.4</v>
      </c>
      <c r="AD82" s="57">
        <f t="shared" si="42"/>
        <v>7.5274855242609071</v>
      </c>
      <c r="AE82" s="90">
        <f t="shared" si="43"/>
        <v>6.5</v>
      </c>
      <c r="AF82" s="90">
        <f t="shared" si="44"/>
        <v>0.628</v>
      </c>
      <c r="AG82" s="57">
        <f t="shared" si="45"/>
        <v>29.059550249150206</v>
      </c>
      <c r="AH82" s="90">
        <f t="shared" si="47"/>
        <v>7.4</v>
      </c>
      <c r="AI82" s="90">
        <f t="shared" si="48"/>
        <v>0.25</v>
      </c>
      <c r="AJ82" s="57">
        <f t="shared" si="46"/>
        <v>13.431953408065175</v>
      </c>
    </row>
    <row r="83" spans="2:36">
      <c r="I83" s="57"/>
      <c r="M83" s="57"/>
      <c r="N83" s="57"/>
      <c r="O83" s="57"/>
      <c r="P83" s="57"/>
      <c r="Q83" s="57"/>
      <c r="R83" s="57">
        <f t="shared" si="30"/>
        <v>11.002000000000006</v>
      </c>
      <c r="S83" s="57">
        <f t="shared" si="34"/>
        <v>9.6532036198768516</v>
      </c>
      <c r="T83" s="57">
        <f t="shared" si="35"/>
        <v>6.3799999999999996E-2</v>
      </c>
      <c r="U83" s="57">
        <f t="shared" si="31"/>
        <v>11.249089127654859</v>
      </c>
      <c r="V83" s="90">
        <f t="shared" si="36"/>
        <v>5.13</v>
      </c>
      <c r="W83" s="90">
        <f t="shared" si="37"/>
        <v>0.22</v>
      </c>
      <c r="X83" s="57">
        <f t="shared" si="38"/>
        <v>8.6944302158095503</v>
      </c>
      <c r="Y83" s="90">
        <f t="shared" si="39"/>
        <v>8.26</v>
      </c>
      <c r="Z83" s="90">
        <f t="shared" si="40"/>
        <v>0.31900000000000001</v>
      </c>
      <c r="AA83" s="57">
        <f t="shared" si="41"/>
        <v>17.750455441769379</v>
      </c>
      <c r="AB83" s="90">
        <f t="shared" si="32"/>
        <v>2.9</v>
      </c>
      <c r="AC83" s="90">
        <f t="shared" si="33"/>
        <v>0.4</v>
      </c>
      <c r="AD83" s="57">
        <f t="shared" si="42"/>
        <v>7.5680963792765219</v>
      </c>
      <c r="AE83" s="90">
        <f t="shared" si="43"/>
        <v>6.5</v>
      </c>
      <c r="AF83" s="90">
        <f t="shared" si="44"/>
        <v>0.628</v>
      </c>
      <c r="AG83" s="57">
        <f t="shared" si="45"/>
        <v>29.306067592679206</v>
      </c>
      <c r="AH83" s="90">
        <f t="shared" si="47"/>
        <v>7.4</v>
      </c>
      <c r="AI83" s="90">
        <f t="shared" si="48"/>
        <v>0.25</v>
      </c>
      <c r="AJ83" s="57">
        <f t="shared" si="46"/>
        <v>13.477198652934886</v>
      </c>
    </row>
    <row r="84" spans="2:36">
      <c r="M84" s="57"/>
      <c r="N84" s="57"/>
      <c r="O84" s="57"/>
      <c r="P84" s="57"/>
      <c r="Q84" s="57"/>
      <c r="R84" s="57"/>
      <c r="S84" s="57"/>
      <c r="T84" s="57"/>
      <c r="U84" s="57"/>
      <c r="V84" s="57"/>
      <c r="W84" s="57"/>
      <c r="X84" s="57"/>
      <c r="Y84" s="57"/>
      <c r="Z84" s="57"/>
    </row>
    <row r="85" spans="2:36">
      <c r="M85" s="57"/>
      <c r="N85" s="57"/>
      <c r="O85" s="57"/>
      <c r="P85" s="57"/>
      <c r="Q85" s="57"/>
      <c r="R85" s="57"/>
      <c r="S85" s="57"/>
      <c r="T85" s="57"/>
      <c r="U85" s="57"/>
      <c r="V85" s="57"/>
      <c r="W85" s="57"/>
      <c r="X85" s="57"/>
      <c r="Y85" s="57"/>
      <c r="Z85" s="57"/>
    </row>
    <row r="86" spans="2:36">
      <c r="M86" s="57"/>
      <c r="N86" s="57"/>
      <c r="O86" s="57"/>
      <c r="P86" s="57"/>
      <c r="Q86" s="57"/>
      <c r="R86" s="57"/>
      <c r="S86" s="57"/>
      <c r="T86" s="57"/>
      <c r="U86" s="57"/>
      <c r="V86" s="57"/>
      <c r="W86" s="57"/>
      <c r="X86" s="57"/>
      <c r="Y86" s="57"/>
      <c r="Z86" s="57"/>
    </row>
    <row r="87" spans="2:36">
      <c r="M87" s="57"/>
      <c r="N87" s="57"/>
      <c r="O87" s="57"/>
      <c r="P87" s="57"/>
      <c r="Q87" s="57"/>
      <c r="R87" s="57"/>
      <c r="S87" s="57"/>
      <c r="T87" s="57"/>
      <c r="U87" s="57"/>
      <c r="V87" s="57"/>
      <c r="W87" s="57"/>
      <c r="X87" s="57"/>
      <c r="Y87" s="57"/>
      <c r="Z87" s="57"/>
    </row>
    <row r="88" spans="2:36">
      <c r="M88" s="57"/>
      <c r="N88" s="57"/>
      <c r="O88" s="57"/>
      <c r="P88" s="57"/>
      <c r="Q88" s="57"/>
      <c r="R88" s="57"/>
      <c r="S88" s="57"/>
      <c r="T88" s="57"/>
      <c r="U88" s="57"/>
      <c r="V88" s="57"/>
      <c r="W88" s="57"/>
      <c r="X88" s="57"/>
      <c r="Y88" s="57"/>
      <c r="Z88" s="57"/>
    </row>
    <row r="89" spans="2:36">
      <c r="M89" s="57"/>
      <c r="N89" s="57"/>
      <c r="O89" s="57"/>
      <c r="P89" s="57"/>
      <c r="Q89" s="57"/>
      <c r="R89" s="57"/>
      <c r="S89" s="57"/>
      <c r="T89" s="57"/>
      <c r="U89" s="57"/>
      <c r="V89" s="57"/>
      <c r="W89" s="57"/>
      <c r="X89" s="57"/>
      <c r="Y89" s="57"/>
      <c r="Z89" s="57"/>
    </row>
    <row r="90" spans="2:36">
      <c r="M90" s="57"/>
      <c r="N90" s="57"/>
      <c r="O90" s="57"/>
      <c r="P90" s="57"/>
      <c r="Q90" s="57"/>
      <c r="R90" s="57"/>
      <c r="S90" s="57"/>
      <c r="T90" s="57"/>
      <c r="U90" s="57"/>
      <c r="V90" s="57"/>
      <c r="W90" s="57"/>
      <c r="X90" s="57"/>
      <c r="Y90" s="57"/>
      <c r="Z90" s="57"/>
    </row>
    <row r="91" spans="2:36">
      <c r="M91" s="57"/>
      <c r="N91" s="57"/>
      <c r="O91" s="57"/>
      <c r="P91" s="57"/>
      <c r="Q91" s="57"/>
      <c r="R91" s="57"/>
      <c r="S91" s="57"/>
      <c r="T91" s="57"/>
      <c r="U91" s="57"/>
      <c r="V91" s="57"/>
      <c r="W91" s="57"/>
      <c r="X91" s="57"/>
      <c r="Y91" s="57"/>
      <c r="Z91" s="57"/>
    </row>
    <row r="92" spans="2:36">
      <c r="M92" s="57"/>
      <c r="N92" s="57"/>
      <c r="O92" s="57"/>
      <c r="P92" s="57"/>
      <c r="Q92" s="57"/>
      <c r="R92" s="57"/>
      <c r="S92" s="57"/>
      <c r="T92" s="57"/>
      <c r="U92" s="57"/>
      <c r="V92" s="57"/>
      <c r="W92" s="57"/>
      <c r="X92" s="57"/>
      <c r="Y92" s="57"/>
      <c r="Z92" s="57"/>
    </row>
    <row r="93" spans="2:36">
      <c r="M93" s="57"/>
      <c r="N93" s="57"/>
      <c r="O93" s="57"/>
      <c r="P93" s="57"/>
      <c r="Q93" s="57"/>
      <c r="R93" s="57"/>
      <c r="S93" s="57"/>
      <c r="T93" s="57"/>
      <c r="U93" s="57"/>
      <c r="V93" s="57"/>
      <c r="W93" s="57"/>
      <c r="X93" s="57"/>
      <c r="Y93" s="57"/>
      <c r="Z93" s="57"/>
    </row>
    <row r="94" spans="2:36">
      <c r="M94" s="57"/>
      <c r="N94" s="57"/>
      <c r="O94" s="57"/>
      <c r="P94" s="57"/>
      <c r="Q94" s="57"/>
      <c r="R94" s="57"/>
      <c r="S94" s="57"/>
      <c r="T94" s="57"/>
      <c r="U94" s="57"/>
      <c r="V94" s="57"/>
      <c r="W94" s="57"/>
      <c r="X94" s="57"/>
      <c r="Y94" s="57"/>
      <c r="Z94" s="57"/>
    </row>
    <row r="95" spans="2:36">
      <c r="B95" s="212"/>
      <c r="M95" s="57"/>
      <c r="N95" s="57"/>
      <c r="O95" s="57"/>
      <c r="P95" s="57"/>
      <c r="Q95" s="57"/>
      <c r="R95" s="57"/>
      <c r="S95" s="57"/>
      <c r="T95" s="57"/>
      <c r="U95" s="57"/>
      <c r="V95" s="57"/>
      <c r="W95" s="57"/>
      <c r="X95" s="57"/>
      <c r="Y95" s="57"/>
      <c r="Z95" s="57"/>
    </row>
    <row r="96" spans="2:36">
      <c r="M96" s="57"/>
      <c r="N96" s="57"/>
      <c r="O96" s="57"/>
      <c r="P96" s="57"/>
      <c r="Q96" s="57"/>
      <c r="R96" s="57"/>
      <c r="S96" s="57"/>
      <c r="T96" s="57"/>
      <c r="U96" s="57"/>
      <c r="V96" s="57"/>
      <c r="W96" s="57"/>
      <c r="X96" s="57"/>
      <c r="Y96" s="57"/>
      <c r="Z96" s="57"/>
    </row>
    <row r="97" spans="13:26">
      <c r="M97" s="57"/>
      <c r="N97" s="57"/>
      <c r="O97" s="57"/>
      <c r="P97" s="57"/>
      <c r="Q97" s="57"/>
      <c r="R97" s="57"/>
      <c r="S97" s="57"/>
      <c r="T97" s="57"/>
      <c r="U97" s="57"/>
      <c r="V97" s="57"/>
      <c r="W97" s="57"/>
      <c r="X97" s="57"/>
      <c r="Y97" s="57"/>
      <c r="Z97" s="57"/>
    </row>
    <row r="98" spans="13:26">
      <c r="V98" s="57"/>
      <c r="W98" s="57"/>
      <c r="X98" s="57"/>
      <c r="Y98" s="57"/>
      <c r="Z98" s="57"/>
    </row>
    <row r="99" spans="13:26">
      <c r="V99" s="57"/>
      <c r="W99" s="57"/>
      <c r="X99" s="57"/>
      <c r="Y99" s="57"/>
      <c r="Z99" s="57"/>
    </row>
    <row r="100" spans="13:26">
      <c r="V100" s="57"/>
      <c r="W100" s="57"/>
      <c r="X100" s="57"/>
      <c r="Y100" s="57"/>
      <c r="Z100" s="57"/>
    </row>
    <row r="101" spans="13:26">
      <c r="V101" s="57"/>
      <c r="W101" s="57"/>
      <c r="X101" s="57"/>
      <c r="Y101" s="57"/>
      <c r="Z101" s="57"/>
    </row>
    <row r="102" spans="13:26">
      <c r="V102" s="57"/>
      <c r="W102" s="57"/>
      <c r="X102" s="57"/>
      <c r="Y102" s="57"/>
      <c r="Z102" s="57"/>
    </row>
    <row r="103" spans="13:26">
      <c r="V103" s="57"/>
      <c r="W103" s="57"/>
      <c r="X103" s="57"/>
      <c r="Y103" s="57"/>
      <c r="Z103" s="57"/>
    </row>
    <row r="104" spans="13:26">
      <c r="V104" s="57"/>
      <c r="W104" s="57"/>
      <c r="X104" s="57"/>
      <c r="Y104" s="57"/>
      <c r="Z104" s="57"/>
    </row>
    <row r="105" spans="13:26">
      <c r="V105" s="57"/>
      <c r="W105" s="57"/>
      <c r="X105" s="57"/>
      <c r="Y105" s="57"/>
      <c r="Z105" s="57"/>
    </row>
    <row r="106" spans="13:26">
      <c r="V106" s="57"/>
      <c r="W106" s="57"/>
      <c r="X106" s="57"/>
      <c r="Y106" s="57"/>
      <c r="Z106" s="57"/>
    </row>
    <row r="107" spans="13:26">
      <c r="V107" s="57"/>
      <c r="W107" s="57"/>
      <c r="X107" s="57"/>
      <c r="Y107" s="57"/>
      <c r="Z107" s="57"/>
    </row>
  </sheetData>
  <sheetProtection password="C7BC" sheet="1"/>
  <customSheetViews>
    <customSheetView guid="{136183A0-5E83-4B15-A2A6-F3C23DCC406A}" showGridLines="0">
      <selection activeCell="G53" sqref="G53"/>
      <pageMargins left="0.75" right="0.75" top="1" bottom="1" header="0.5" footer="0.5"/>
      <pageSetup orientation="portrait" horizontalDpi="0" verticalDpi="0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52">
    <mergeCell ref="B60:K60"/>
    <mergeCell ref="B61:K61"/>
    <mergeCell ref="B62:D62"/>
    <mergeCell ref="G62:I62"/>
    <mergeCell ref="B63:D63"/>
    <mergeCell ref="E63:F63"/>
    <mergeCell ref="G63:I63"/>
    <mergeCell ref="J63:K63"/>
    <mergeCell ref="B54:K54"/>
    <mergeCell ref="B55:K55"/>
    <mergeCell ref="B56:D56"/>
    <mergeCell ref="G56:I56"/>
    <mergeCell ref="B57:D57"/>
    <mergeCell ref="E57:F57"/>
    <mergeCell ref="G57:I57"/>
    <mergeCell ref="J57:K57"/>
    <mergeCell ref="B48:K48"/>
    <mergeCell ref="B49:K49"/>
    <mergeCell ref="B50:D50"/>
    <mergeCell ref="G50:I50"/>
    <mergeCell ref="B51:D51"/>
    <mergeCell ref="E51:F51"/>
    <mergeCell ref="G51:I51"/>
    <mergeCell ref="J51:K51"/>
    <mergeCell ref="B5:K5"/>
    <mergeCell ref="B6:D6"/>
    <mergeCell ref="G6:I6"/>
    <mergeCell ref="B7:D7"/>
    <mergeCell ref="E7:F7"/>
    <mergeCell ref="G7:I7"/>
    <mergeCell ref="J7:K7"/>
    <mergeCell ref="B16:K16"/>
    <mergeCell ref="B17:D17"/>
    <mergeCell ref="G17:I17"/>
    <mergeCell ref="B18:D18"/>
    <mergeCell ref="E18:F18"/>
    <mergeCell ref="G18:I18"/>
    <mergeCell ref="J18:K18"/>
    <mergeCell ref="B25:K25"/>
    <mergeCell ref="B26:D26"/>
    <mergeCell ref="G26:I26"/>
    <mergeCell ref="B27:D27"/>
    <mergeCell ref="E27:F27"/>
    <mergeCell ref="G27:I27"/>
    <mergeCell ref="J27:K27"/>
    <mergeCell ref="B30:K30"/>
    <mergeCell ref="B31:D31"/>
    <mergeCell ref="G31:I31"/>
    <mergeCell ref="B32:D32"/>
    <mergeCell ref="E32:F32"/>
    <mergeCell ref="G32:I32"/>
    <mergeCell ref="J32:K32"/>
  </mergeCells>
  <phoneticPr fontId="0" type="noConversion"/>
  <pageMargins left="0.75" right="0.75" top="1" bottom="1" header="0.5" footer="0.5"/>
  <pageSetup orientation="portrait" horizontalDpi="0" verticalDpi="0" r:id="rId2"/>
  <headerFooter alignWithMargins="0"/>
  <drawing r:id="rId3"/>
  <legacyDrawing r:id="rId4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8">
    <tabColor rgb="FF92D050"/>
  </sheetPr>
  <dimension ref="B3:L16"/>
  <sheetViews>
    <sheetView showGridLines="0" workbookViewId="0">
      <selection activeCell="C7" sqref="C7"/>
    </sheetView>
  </sheetViews>
  <sheetFormatPr baseColWidth="10" defaultColWidth="8.88671875" defaultRowHeight="13.2"/>
  <cols>
    <col min="1" max="1" width="2.88671875" customWidth="1"/>
    <col min="2" max="2" width="15" customWidth="1"/>
    <col min="3" max="6" width="9.109375" customWidth="1"/>
    <col min="7" max="7" width="2.6640625" customWidth="1"/>
    <col min="8" max="8" width="15.44140625" customWidth="1"/>
  </cols>
  <sheetData>
    <row r="3" spans="2:12">
      <c r="B3" s="116"/>
      <c r="C3" s="269"/>
      <c r="D3" s="269"/>
      <c r="E3" s="269"/>
      <c r="F3" s="269"/>
      <c r="G3" s="269"/>
      <c r="H3" s="269"/>
      <c r="I3" s="269"/>
      <c r="J3" s="269"/>
      <c r="K3" s="269"/>
      <c r="L3" s="270"/>
    </row>
    <row r="4" spans="2:12">
      <c r="B4" s="118"/>
      <c r="L4" s="271"/>
    </row>
    <row r="5" spans="2:12">
      <c r="B5" s="829" t="s">
        <v>231</v>
      </c>
      <c r="C5" s="830"/>
      <c r="D5" s="830"/>
      <c r="E5" s="830"/>
      <c r="F5" s="830"/>
      <c r="H5" s="830" t="s">
        <v>232</v>
      </c>
      <c r="I5" s="830"/>
      <c r="J5" s="830"/>
      <c r="K5" s="830"/>
      <c r="L5" s="831"/>
    </row>
    <row r="6" spans="2:12">
      <c r="B6" s="118"/>
      <c r="L6" s="271"/>
    </row>
    <row r="7" spans="2:12" ht="15" customHeight="1">
      <c r="B7" s="385" t="s">
        <v>213</v>
      </c>
      <c r="C7" s="86">
        <v>2</v>
      </c>
      <c r="D7" t="s">
        <v>207</v>
      </c>
      <c r="E7" s="8">
        <f>C7*25.4</f>
        <v>50.8</v>
      </c>
      <c r="F7" t="s">
        <v>208</v>
      </c>
      <c r="H7" s="2" t="s">
        <v>213</v>
      </c>
      <c r="I7" s="86">
        <v>25</v>
      </c>
      <c r="J7" t="s">
        <v>243</v>
      </c>
      <c r="K7" s="105">
        <f>I7/25.4</f>
        <v>0.98425196850393704</v>
      </c>
      <c r="L7" s="271" t="s">
        <v>233</v>
      </c>
    </row>
    <row r="8" spans="2:12" ht="15" customHeight="1">
      <c r="B8" s="385" t="s">
        <v>213</v>
      </c>
      <c r="C8" s="86">
        <v>2</v>
      </c>
      <c r="D8" t="s">
        <v>207</v>
      </c>
      <c r="E8" s="8">
        <f>C8*2.54</f>
        <v>5.08</v>
      </c>
      <c r="F8" t="s">
        <v>209</v>
      </c>
      <c r="H8" s="2" t="s">
        <v>213</v>
      </c>
      <c r="I8" s="86">
        <v>10</v>
      </c>
      <c r="J8" t="s">
        <v>244</v>
      </c>
      <c r="K8" s="105">
        <f>I8/2.54</f>
        <v>3.9370078740157481</v>
      </c>
      <c r="L8" s="271" t="s">
        <v>234</v>
      </c>
    </row>
    <row r="9" spans="2:12" ht="15" customHeight="1">
      <c r="B9" s="385" t="s">
        <v>214</v>
      </c>
      <c r="C9" s="86">
        <v>1</v>
      </c>
      <c r="D9" t="s">
        <v>210</v>
      </c>
      <c r="E9" s="8">
        <f>C9*0.4536</f>
        <v>0.4536</v>
      </c>
      <c r="F9" t="s">
        <v>28</v>
      </c>
      <c r="H9" s="2" t="s">
        <v>214</v>
      </c>
      <c r="I9" s="86">
        <v>1</v>
      </c>
      <c r="J9" t="s">
        <v>245</v>
      </c>
      <c r="K9" s="105">
        <f>I9/0.4536</f>
        <v>2.204585537918871</v>
      </c>
      <c r="L9" s="271" t="s">
        <v>235</v>
      </c>
    </row>
    <row r="10" spans="2:12" ht="15" customHeight="1">
      <c r="B10" s="385" t="s">
        <v>215</v>
      </c>
      <c r="C10" s="86">
        <v>1</v>
      </c>
      <c r="D10" t="s">
        <v>211</v>
      </c>
      <c r="E10" s="8">
        <f>C10*4.448</f>
        <v>4.4480000000000004</v>
      </c>
      <c r="F10" t="s">
        <v>168</v>
      </c>
      <c r="H10" s="2" t="s">
        <v>215</v>
      </c>
      <c r="I10" s="86">
        <v>100</v>
      </c>
      <c r="J10" t="s">
        <v>246</v>
      </c>
      <c r="K10" s="105">
        <f>I10/4.448</f>
        <v>22.482014388489208</v>
      </c>
      <c r="L10" s="271" t="s">
        <v>236</v>
      </c>
    </row>
    <row r="11" spans="2:12" ht="15" customHeight="1">
      <c r="B11" s="385" t="s">
        <v>216</v>
      </c>
      <c r="C11" s="86">
        <v>5.7360000000000001E-2</v>
      </c>
      <c r="D11" t="s">
        <v>212</v>
      </c>
      <c r="E11" s="105">
        <f>C11*453.6/2.54^3</f>
        <v>1.5877460416338158</v>
      </c>
      <c r="F11" t="s">
        <v>251</v>
      </c>
      <c r="H11" s="2" t="s">
        <v>216</v>
      </c>
      <c r="I11" s="86">
        <v>1.8</v>
      </c>
      <c r="J11" t="s">
        <v>222</v>
      </c>
      <c r="K11" s="106">
        <f>I11/453.6*2.54^3</f>
        <v>6.5028031746031736E-2</v>
      </c>
      <c r="L11" s="271" t="s">
        <v>237</v>
      </c>
    </row>
    <row r="12" spans="2:12" ht="15" customHeight="1">
      <c r="B12" s="385" t="s">
        <v>217</v>
      </c>
      <c r="C12" s="86">
        <v>1000</v>
      </c>
      <c r="D12" t="s">
        <v>218</v>
      </c>
      <c r="E12" s="8">
        <f>C12*6895/1000000</f>
        <v>6.8949999999999996</v>
      </c>
      <c r="F12" t="s">
        <v>206</v>
      </c>
      <c r="H12" s="2" t="s">
        <v>217</v>
      </c>
      <c r="I12" s="86">
        <v>5.5149999999999997</v>
      </c>
      <c r="J12" t="s">
        <v>247</v>
      </c>
      <c r="K12" s="9">
        <f>I12/6895*1000000</f>
        <v>799.85496736765765</v>
      </c>
      <c r="L12" s="271" t="s">
        <v>238</v>
      </c>
    </row>
    <row r="13" spans="2:12" ht="15" customHeight="1">
      <c r="B13" s="385" t="s">
        <v>219</v>
      </c>
      <c r="C13" s="86">
        <v>0.2</v>
      </c>
      <c r="D13" t="s">
        <v>220</v>
      </c>
      <c r="E13" s="9">
        <f>C13*25.4^2</f>
        <v>129.03200000000001</v>
      </c>
      <c r="F13" t="s">
        <v>252</v>
      </c>
      <c r="H13" s="2" t="s">
        <v>219</v>
      </c>
      <c r="I13" s="86">
        <v>80</v>
      </c>
      <c r="J13" t="s">
        <v>221</v>
      </c>
      <c r="K13" s="105">
        <f>I13/25.4^2</f>
        <v>0.12400024800049601</v>
      </c>
      <c r="L13" s="271" t="s">
        <v>239</v>
      </c>
    </row>
    <row r="14" spans="2:12" ht="15" customHeight="1">
      <c r="B14" s="385" t="s">
        <v>223</v>
      </c>
      <c r="C14" s="86">
        <v>120</v>
      </c>
      <c r="D14" t="s">
        <v>224</v>
      </c>
      <c r="E14" s="8">
        <f>C14*4.448</f>
        <v>533.76</v>
      </c>
      <c r="F14" t="s">
        <v>174</v>
      </c>
      <c r="H14" s="2" t="s">
        <v>223</v>
      </c>
      <c r="I14" s="86">
        <v>450</v>
      </c>
      <c r="J14" t="s">
        <v>248</v>
      </c>
      <c r="K14" s="105">
        <f>I14/4.448</f>
        <v>101.16906474820144</v>
      </c>
      <c r="L14" s="271" t="s">
        <v>240</v>
      </c>
    </row>
    <row r="15" spans="2:12" ht="15" customHeight="1">
      <c r="B15" s="385" t="s">
        <v>225</v>
      </c>
      <c r="C15" s="86">
        <v>80</v>
      </c>
      <c r="D15" t="s">
        <v>229</v>
      </c>
      <c r="E15" s="107">
        <f>(C15-32)/9*5</f>
        <v>26.666666666666664</v>
      </c>
      <c r="F15" t="s">
        <v>230</v>
      </c>
      <c r="H15" s="2" t="s">
        <v>225</v>
      </c>
      <c r="I15" s="86">
        <v>100</v>
      </c>
      <c r="J15" t="s">
        <v>249</v>
      </c>
      <c r="K15" s="9">
        <f>I15/5*9+32</f>
        <v>212</v>
      </c>
      <c r="L15" s="271" t="s">
        <v>241</v>
      </c>
    </row>
    <row r="16" spans="2:12" ht="15" customHeight="1">
      <c r="B16" s="386" t="s">
        <v>228</v>
      </c>
      <c r="C16" s="387">
        <v>2700</v>
      </c>
      <c r="D16" s="104" t="s">
        <v>226</v>
      </c>
      <c r="E16" s="388">
        <f>5/9*C16</f>
        <v>1500</v>
      </c>
      <c r="F16" s="104" t="s">
        <v>227</v>
      </c>
      <c r="G16" s="104"/>
      <c r="H16" s="389" t="s">
        <v>228</v>
      </c>
      <c r="I16" s="387">
        <v>1600</v>
      </c>
      <c r="J16" s="104" t="s">
        <v>250</v>
      </c>
      <c r="K16" s="388">
        <f>9/5*I16</f>
        <v>2880</v>
      </c>
      <c r="L16" s="28" t="s">
        <v>242</v>
      </c>
    </row>
  </sheetData>
  <sheetProtection password="C7BC" sheet="1"/>
  <customSheetViews>
    <customSheetView guid="{136183A0-5E83-4B15-A2A6-F3C23DCC406A}" showGridLines="0">
      <selection activeCell="G53" sqref="G53"/>
      <pageMargins left="0.75" right="0.75" top="1" bottom="1" header="0.5" footer="0.5"/>
      <pageSetup orientation="portrait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2">
    <mergeCell ref="B5:F5"/>
    <mergeCell ref="H5:L5"/>
  </mergeCells>
  <phoneticPr fontId="0" type="noConversion"/>
  <pageMargins left="0.75" right="0.75" top="1" bottom="1" header="0.5" footer="0.5"/>
  <pageSetup orientation="portrait" r:id="rId2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0">
    <tabColor rgb="FF92D050"/>
  </sheetPr>
  <dimension ref="B2:F33"/>
  <sheetViews>
    <sheetView showGridLines="0" showRowColHeaders="0" showOutlineSymbols="0" topLeftCell="A7" workbookViewId="0">
      <selection activeCell="E25" sqref="E25"/>
    </sheetView>
  </sheetViews>
  <sheetFormatPr baseColWidth="10" defaultColWidth="8.88671875" defaultRowHeight="13.2"/>
  <cols>
    <col min="1" max="1" width="5.109375" customWidth="1"/>
    <col min="2" max="3" width="9.109375" customWidth="1"/>
    <col min="4" max="4" width="16.6640625" customWidth="1"/>
    <col min="5" max="5" width="70.5546875" customWidth="1"/>
  </cols>
  <sheetData>
    <row r="2" spans="2:6">
      <c r="B2" s="76" t="s">
        <v>298</v>
      </c>
    </row>
    <row r="4" spans="2:6">
      <c r="B4" s="119" t="s">
        <v>294</v>
      </c>
      <c r="C4" s="120" t="s">
        <v>295</v>
      </c>
      <c r="D4" s="121" t="s">
        <v>296</v>
      </c>
      <c r="E4" s="122" t="s">
        <v>297</v>
      </c>
      <c r="F4" s="2"/>
    </row>
    <row r="5" spans="2:6">
      <c r="B5" s="32" t="s">
        <v>299</v>
      </c>
      <c r="C5" s="126" t="s">
        <v>300</v>
      </c>
      <c r="D5" s="33" t="s">
        <v>305</v>
      </c>
      <c r="E5" s="127" t="s">
        <v>304</v>
      </c>
    </row>
    <row r="6" spans="2:6">
      <c r="B6" s="116" t="s">
        <v>301</v>
      </c>
      <c r="C6" s="117" t="s">
        <v>302</v>
      </c>
      <c r="D6" s="43" t="s">
        <v>306</v>
      </c>
      <c r="E6" s="123" t="s">
        <v>303</v>
      </c>
    </row>
    <row r="7" spans="2:6">
      <c r="B7" s="118"/>
      <c r="D7" s="39"/>
      <c r="E7" s="124" t="s">
        <v>307</v>
      </c>
    </row>
    <row r="8" spans="2:6">
      <c r="B8" s="118"/>
      <c r="D8" s="39"/>
      <c r="E8" s="124" t="s">
        <v>308</v>
      </c>
    </row>
    <row r="9" spans="2:6">
      <c r="B9" s="26"/>
      <c r="C9" s="104"/>
      <c r="D9" s="27" t="s">
        <v>309</v>
      </c>
      <c r="E9" s="125" t="s">
        <v>310</v>
      </c>
    </row>
    <row r="10" spans="2:6">
      <c r="B10" s="152" t="s">
        <v>311</v>
      </c>
      <c r="C10" s="153" t="s">
        <v>358</v>
      </c>
      <c r="D10" s="43" t="s">
        <v>319</v>
      </c>
      <c r="E10" s="123" t="s">
        <v>326</v>
      </c>
    </row>
    <row r="11" spans="2:6">
      <c r="B11" s="118"/>
      <c r="E11" s="124" t="s">
        <v>325</v>
      </c>
    </row>
    <row r="12" spans="2:6">
      <c r="B12" s="118"/>
      <c r="D12" s="39" t="s">
        <v>309</v>
      </c>
      <c r="E12" s="124" t="s">
        <v>312</v>
      </c>
    </row>
    <row r="13" spans="2:6">
      <c r="B13" s="118"/>
      <c r="E13" s="124" t="s">
        <v>324</v>
      </c>
    </row>
    <row r="14" spans="2:6">
      <c r="B14" s="118"/>
      <c r="E14" s="124" t="s">
        <v>357</v>
      </c>
    </row>
    <row r="15" spans="2:6">
      <c r="B15" s="118"/>
      <c r="D15" s="39" t="s">
        <v>217</v>
      </c>
      <c r="E15" s="124" t="s">
        <v>330</v>
      </c>
    </row>
    <row r="16" spans="2:6">
      <c r="B16" s="118"/>
      <c r="D16" s="39"/>
      <c r="E16" s="124" t="s">
        <v>357</v>
      </c>
    </row>
    <row r="17" spans="2:5">
      <c r="B17" s="118"/>
      <c r="D17" s="39" t="s">
        <v>306</v>
      </c>
      <c r="E17" s="124" t="s">
        <v>331</v>
      </c>
    </row>
    <row r="18" spans="2:5">
      <c r="B18" s="118"/>
      <c r="D18" s="39" t="s">
        <v>322</v>
      </c>
      <c r="E18" s="124" t="s">
        <v>323</v>
      </c>
    </row>
    <row r="19" spans="2:5">
      <c r="B19" s="118"/>
      <c r="D19" s="39"/>
      <c r="E19" s="124" t="s">
        <v>356</v>
      </c>
    </row>
    <row r="20" spans="2:5">
      <c r="B20" s="118"/>
      <c r="D20" s="39" t="s">
        <v>353</v>
      </c>
      <c r="E20" s="124" t="s">
        <v>354</v>
      </c>
    </row>
    <row r="21" spans="2:5">
      <c r="B21" s="26"/>
      <c r="C21" s="104"/>
      <c r="D21" s="27" t="s">
        <v>320</v>
      </c>
      <c r="E21" s="125" t="s">
        <v>321</v>
      </c>
    </row>
    <row r="22" spans="2:5">
      <c r="B22" s="317">
        <v>2014</v>
      </c>
      <c r="C22" s="318" t="s">
        <v>465</v>
      </c>
      <c r="D22" s="269"/>
      <c r="E22" s="346" t="s">
        <v>516</v>
      </c>
    </row>
    <row r="23" spans="2:5">
      <c r="B23" s="325"/>
      <c r="C23" s="8"/>
      <c r="E23" s="326" t="s">
        <v>440</v>
      </c>
    </row>
    <row r="24" spans="2:5">
      <c r="B24" s="26"/>
      <c r="C24" s="104"/>
      <c r="D24" s="27"/>
      <c r="E24" s="319" t="s">
        <v>499</v>
      </c>
    </row>
    <row r="25" spans="2:5" ht="26.4">
      <c r="B25" s="391">
        <v>2014.1</v>
      </c>
      <c r="C25" s="392" t="s">
        <v>522</v>
      </c>
      <c r="D25" s="393" t="s">
        <v>217</v>
      </c>
      <c r="E25" s="362" t="s">
        <v>518</v>
      </c>
    </row>
    <row r="26" spans="2:5">
      <c r="B26" s="317">
        <v>2023</v>
      </c>
      <c r="C26" s="390" t="s">
        <v>521</v>
      </c>
      <c r="D26" s="43" t="s">
        <v>322</v>
      </c>
      <c r="E26" s="123" t="s">
        <v>542</v>
      </c>
    </row>
    <row r="27" spans="2:5">
      <c r="B27" s="118"/>
      <c r="D27" s="39" t="s">
        <v>309</v>
      </c>
      <c r="E27" s="124" t="s">
        <v>553</v>
      </c>
    </row>
    <row r="28" spans="2:5">
      <c r="B28" s="118"/>
      <c r="D28" s="39" t="s">
        <v>217</v>
      </c>
      <c r="E28" s="124" t="s">
        <v>554</v>
      </c>
    </row>
    <row r="29" spans="2:5">
      <c r="B29" s="118"/>
      <c r="D29" s="39" t="s">
        <v>306</v>
      </c>
      <c r="E29" s="124" t="s">
        <v>541</v>
      </c>
    </row>
    <row r="30" spans="2:5">
      <c r="B30" s="118"/>
      <c r="E30" s="124" t="s">
        <v>554</v>
      </c>
    </row>
    <row r="31" spans="2:5">
      <c r="B31" s="118"/>
      <c r="D31" s="39" t="s">
        <v>319</v>
      </c>
      <c r="E31" s="124" t="s">
        <v>534</v>
      </c>
    </row>
    <row r="32" spans="2:5">
      <c r="B32" s="118"/>
      <c r="D32" s="39" t="s">
        <v>551</v>
      </c>
      <c r="E32" s="124" t="s">
        <v>552</v>
      </c>
    </row>
    <row r="33" spans="2:5">
      <c r="B33" s="26"/>
      <c r="C33" s="104"/>
      <c r="D33" s="27" t="s">
        <v>60</v>
      </c>
      <c r="E33" s="125" t="s">
        <v>544</v>
      </c>
    </row>
  </sheetData>
  <sheetProtection password="C7BC" sheet="1"/>
  <customSheetViews>
    <customSheetView guid="{136183A0-5E83-4B15-A2A6-F3C23DCC406A}" showGridLines="0" showRowCol="0" outlineSymbols="0">
      <selection activeCell="G53" sqref="G53"/>
      <pageMargins left="0.75" right="0.75" top="1" bottom="1" header="0.5" footer="0.5"/>
      <pageSetup orientation="portrait" horizontalDpi="0" verticalDpi="0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pageMargins left="0.75" right="0.75" top="1" bottom="1" header="0.5" footer="0.5"/>
  <pageSetup orientation="portrait" horizontalDpi="90" verticalDpi="90" r:id="rId2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20</vt:i4>
      </vt:variant>
      <vt:variant>
        <vt:lpstr>Rangos con nombre</vt:lpstr>
      </vt:variant>
      <vt:variant>
        <vt:i4>153</vt:i4>
      </vt:variant>
    </vt:vector>
  </HeadingPairs>
  <TitlesOfParts>
    <vt:vector size="173" baseType="lpstr">
      <vt:lpstr>Intro</vt:lpstr>
      <vt:lpstr>Rocket Performance</vt:lpstr>
      <vt:lpstr>First iteration &amp; Mechanical</vt:lpstr>
      <vt:lpstr>Data and Kn</vt:lpstr>
      <vt:lpstr>Heat Transfer</vt:lpstr>
      <vt:lpstr>Pressure</vt:lpstr>
      <vt:lpstr>Performance</vt:lpstr>
      <vt:lpstr>Nozzle Design</vt:lpstr>
      <vt:lpstr>Nozzle Parameters</vt:lpstr>
      <vt:lpstr>Mechanical Joints</vt:lpstr>
      <vt:lpstr>O-ring Sealant</vt:lpstr>
      <vt:lpstr>Thermomechanical materials</vt:lpstr>
      <vt:lpstr>Thermomechanical analysis</vt:lpstr>
      <vt:lpstr>Output</vt:lpstr>
      <vt:lpstr>Motor Examples</vt:lpstr>
      <vt:lpstr>Class</vt:lpstr>
      <vt:lpstr>Propellant data</vt:lpstr>
      <vt:lpstr>Burnrate</vt:lpstr>
      <vt:lpstr>UnitsConv</vt:lpstr>
      <vt:lpstr>Revisions</vt:lpstr>
      <vt:lpstr>_FoN1</vt:lpstr>
      <vt:lpstr>_FoN2</vt:lpstr>
      <vt:lpstr>abmax</vt:lpstr>
      <vt:lpstr>abo</vt:lpstr>
      <vt:lpstr>ae_1</vt:lpstr>
      <vt:lpstr>aexit</vt:lpstr>
      <vt:lpstr>alpha</vt:lpstr>
      <vt:lpstr>am_0</vt:lpstr>
      <vt:lpstr>am_1</vt:lpstr>
      <vt:lpstr>am_3</vt:lpstr>
      <vt:lpstr>am_4</vt:lpstr>
      <vt:lpstr>an_0</vt:lpstr>
      <vt:lpstr>an_4</vt:lpstr>
      <vt:lpstr>'Data and Kn'!Área_de_impresión</vt:lpstr>
      <vt:lpstr>Output!Área_de_impresión</vt:lpstr>
      <vt:lpstr>Performance!Área_de_impresión</vt:lpstr>
      <vt:lpstr>Pressure!Área_de_impresión</vt:lpstr>
      <vt:lpstr>astarf</vt:lpstr>
      <vt:lpstr>at</vt:lpstr>
      <vt:lpstr>atfinal</vt:lpstr>
      <vt:lpstr>b</vt:lpstr>
      <vt:lpstr>beta</vt:lpstr>
      <vt:lpstr>betaMechanical</vt:lpstr>
      <vt:lpstr>BiAtmCase</vt:lpstr>
      <vt:lpstr>BiCombAb</vt:lpstr>
      <vt:lpstr>BiCombCase</vt:lpstr>
      <vt:lpstr>ca</vt:lpstr>
      <vt:lpstr>cb</vt:lpstr>
      <vt:lpstr>cc</vt:lpstr>
      <vt:lpstr>cd</vt:lpstr>
      <vt:lpstr>ce</vt:lpstr>
      <vt:lpstr>chpressures</vt:lpstr>
      <vt:lpstr>ci</vt:lpstr>
      <vt:lpstr>cstar</vt:lpstr>
      <vt:lpstr>dc</vt:lpstr>
      <vt:lpstr>dcplot</vt:lpstr>
      <vt:lpstr>deltad</vt:lpstr>
      <vt:lpstr>deltap</vt:lpstr>
      <vt:lpstr>deltat</vt:lpstr>
      <vt:lpstr>deltax</vt:lpstr>
      <vt:lpstr>dio</vt:lpstr>
      <vt:lpstr>do</vt:lpstr>
      <vt:lpstr>dto</vt:lpstr>
      <vt:lpstr>e</vt:lpstr>
      <vt:lpstr>ei</vt:lpstr>
      <vt:lpstr>erate</vt:lpstr>
      <vt:lpstr>etac</vt:lpstr>
      <vt:lpstr>etanoz</vt:lpstr>
      <vt:lpstr>exprat</vt:lpstr>
      <vt:lpstr>expratfinal</vt:lpstr>
      <vt:lpstr>fmax</vt:lpstr>
      <vt:lpstr>FoAb</vt:lpstr>
      <vt:lpstr>FoCase</vt:lpstr>
      <vt:lpstr>ftu</vt:lpstr>
      <vt:lpstr>fty</vt:lpstr>
      <vt:lpstr>fueltype</vt:lpstr>
      <vt:lpstr>gstar</vt:lpstr>
      <vt:lpstr>itot</vt:lpstr>
      <vt:lpstr>itsum</vt:lpstr>
      <vt:lpstr>k</vt:lpstr>
      <vt:lpstr>k2ph</vt:lpstr>
      <vt:lpstr>kn</vt:lpstr>
      <vt:lpstr>kndxbn_</vt:lpstr>
      <vt:lpstr>knotherbn_</vt:lpstr>
      <vt:lpstr>knrange</vt:lpstr>
      <vt:lpstr>knsbcobn_</vt:lpstr>
      <vt:lpstr>knselecttab</vt:lpstr>
      <vt:lpstr>knsobn_</vt:lpstr>
      <vt:lpstr>knsubn_</vt:lpstr>
      <vt:lpstr>ks_dx</vt:lpstr>
      <vt:lpstr>ks_er</vt:lpstr>
      <vt:lpstr>ks_fr</vt:lpstr>
      <vt:lpstr>ks_mn</vt:lpstr>
      <vt:lpstr>ks_ot</vt:lpstr>
      <vt:lpstr>ks_so</vt:lpstr>
      <vt:lpstr>ks_su</vt:lpstr>
      <vt:lpstr>kv</vt:lpstr>
      <vt:lpstr>lc</vt:lpstr>
      <vt:lpstr>lgo</vt:lpstr>
      <vt:lpstr>lo</vt:lpstr>
      <vt:lpstr>m</vt:lpstr>
      <vt:lpstr>m_dx</vt:lpstr>
      <vt:lpstr>m_er</vt:lpstr>
      <vt:lpstr>m_fr</vt:lpstr>
      <vt:lpstr>m_mn</vt:lpstr>
      <vt:lpstr>m_ot</vt:lpstr>
      <vt:lpstr>m_so</vt:lpstr>
      <vt:lpstr>m_su</vt:lpstr>
      <vt:lpstr>me</vt:lpstr>
      <vt:lpstr>mef</vt:lpstr>
      <vt:lpstr>mgrain</vt:lpstr>
      <vt:lpstr>motorclass</vt:lpstr>
      <vt:lpstr>n</vt:lpstr>
      <vt:lpstr>ne_1</vt:lpstr>
      <vt:lpstr>nm_1</vt:lpstr>
      <vt:lpstr>nm_3</vt:lpstr>
      <vt:lpstr>nm_4</vt:lpstr>
      <vt:lpstr>note1</vt:lpstr>
      <vt:lpstr>nu</vt:lpstr>
      <vt:lpstr>osi</vt:lpstr>
      <vt:lpstr>otherbn_</vt:lpstr>
      <vt:lpstr>patm</vt:lpstr>
      <vt:lpstr>pbd</vt:lpstr>
      <vt:lpstr>pbout</vt:lpstr>
      <vt:lpstr>pfinal</vt:lpstr>
      <vt:lpstr>pmax</vt:lpstr>
      <vt:lpstr>pmaxperc</vt:lpstr>
      <vt:lpstr>pmselect</vt:lpstr>
      <vt:lpstr>pressures</vt:lpstr>
      <vt:lpstr>propellants</vt:lpstr>
      <vt:lpstr>pselect</vt:lpstr>
      <vt:lpstr>py</vt:lpstr>
      <vt:lpstr>rat</vt:lpstr>
      <vt:lpstr>ravg</vt:lpstr>
      <vt:lpstr>rhopdex</vt:lpstr>
      <vt:lpstr>rhoper</vt:lpstr>
      <vt:lpstr>rhopfr</vt:lpstr>
      <vt:lpstr>rhopgrain</vt:lpstr>
      <vt:lpstr>rhopgraini</vt:lpstr>
      <vt:lpstr>rhopmn</vt:lpstr>
      <vt:lpstr>rhopot</vt:lpstr>
      <vt:lpstr>rhopsorb</vt:lpstr>
      <vt:lpstr>rhopsu</vt:lpstr>
      <vt:lpstr>rhorat</vt:lpstr>
      <vt:lpstr>runiv</vt:lpstr>
      <vt:lpstr>s</vt:lpstr>
      <vt:lpstr>Sf_plateTensileFailure</vt:lpstr>
      <vt:lpstr>Sf_shearFailureBolts</vt:lpstr>
      <vt:lpstr>surfacecondition</vt:lpstr>
      <vt:lpstr>t</vt:lpstr>
      <vt:lpstr>Tatm</vt:lpstr>
      <vt:lpstr>tbinc</vt:lpstr>
      <vt:lpstr>tbout</vt:lpstr>
      <vt:lpstr>Tcomb</vt:lpstr>
      <vt:lpstr>tincp</vt:lpstr>
      <vt:lpstr>to</vt:lpstr>
      <vt:lpstr>to_dx</vt:lpstr>
      <vt:lpstr>to_er</vt:lpstr>
      <vt:lpstr>to_fr</vt:lpstr>
      <vt:lpstr>to_mn</vt:lpstr>
      <vt:lpstr>to_ot</vt:lpstr>
      <vt:lpstr>to_so</vt:lpstr>
      <vt:lpstr>to_su</vt:lpstr>
      <vt:lpstr>tothe</vt:lpstr>
      <vt:lpstr>tthr</vt:lpstr>
      <vt:lpstr>twebfinal</vt:lpstr>
      <vt:lpstr>twebout</vt:lpstr>
      <vt:lpstr>two</vt:lpstr>
      <vt:lpstr>vc</vt:lpstr>
      <vt:lpstr>vg</vt:lpstr>
      <vt:lpstr>xfinal</vt:lpstr>
      <vt:lpstr>xinc</vt:lpstr>
      <vt:lpstr>xincp</vt:lpstr>
    </vt:vector>
  </TitlesOfParts>
  <Company>rockets unlimited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   Nakka</dc:creator>
  <cp:lastModifiedBy>DIEGO RUBEN RODRIGUEZ AGUILERA</cp:lastModifiedBy>
  <cp:lastPrinted>2013-12-11T16:19:33Z</cp:lastPrinted>
  <dcterms:created xsi:type="dcterms:W3CDTF">1999-11-21T17:16:22Z</dcterms:created>
  <dcterms:modified xsi:type="dcterms:W3CDTF">2025-06-01T06:37:32Z</dcterms:modified>
</cp:coreProperties>
</file>