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ardo.valadez\Documents\Repositorios\The-thermal-repository\PFlammam - Lucia V1 rev3\"/>
    </mc:Choice>
  </mc:AlternateContent>
  <bookViews>
    <workbookView xWindow="-105" yWindow="-105" windowWidth="19425" windowHeight="11505" tabRatio="832" firstSheet="1" activeTab="2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1" i="19" l="1"/>
  <c r="J60" i="19"/>
  <c r="C60" i="19"/>
  <c r="L26" i="19"/>
  <c r="L25" i="19"/>
  <c r="U151" i="15" l="1"/>
  <c r="O151" i="15"/>
  <c r="M60" i="15"/>
  <c r="G15" i="19" l="1"/>
  <c r="C28" i="19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AJ19" i="7"/>
  <c r="C30" i="16"/>
  <c r="D40" i="16"/>
  <c r="R72" i="16"/>
  <c r="T72" i="16"/>
  <c r="P74" i="16"/>
  <c r="R11" i="7"/>
  <c r="S11" i="7" s="1"/>
  <c r="S72" i="16" l="1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P43" i="7" s="1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90" i="3"/>
  <c r="AI874" i="3"/>
  <c r="C17" i="3"/>
  <c r="AI865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5" i="3" l="1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C9" i="15" s="1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P21" i="7" l="1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U59" i="7" s="1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C466" i="16"/>
  <c r="C530" i="16"/>
  <c r="C459" i="16"/>
  <c r="C619" i="16"/>
  <c r="C417" i="16"/>
  <c r="C591" i="16"/>
  <c r="C655" i="16"/>
  <c r="C705" i="16"/>
  <c r="C268" i="16"/>
  <c r="C332" i="16"/>
  <c r="C396" i="16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10" i="16"/>
  <c r="C100" i="16"/>
  <c r="E33" i="3"/>
  <c r="R32" i="3"/>
  <c r="D32" i="3"/>
  <c r="J32" i="3"/>
  <c r="T17" i="7"/>
  <c r="R18" i="7"/>
  <c r="AG17" i="7"/>
  <c r="AJ17" i="7"/>
  <c r="S17" i="7"/>
  <c r="AA17" i="7"/>
  <c r="AD17" i="7"/>
  <c r="X17" i="7"/>
  <c r="I75" i="16"/>
  <c r="S31" i="3" l="1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J75" i="16"/>
  <c r="K76" i="16" s="1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502" i="16"/>
  <c r="O638" i="16"/>
  <c r="O263" i="16"/>
  <c r="O391" i="16"/>
  <c r="O519" i="16"/>
  <c r="O647" i="16"/>
  <c r="O272" i="16"/>
  <c r="O400" i="16"/>
  <c r="O528" i="16"/>
  <c r="O656" i="16"/>
  <c r="O289" i="16"/>
  <c r="O554" i="16"/>
  <c r="O682" i="16"/>
  <c r="O315" i="16"/>
  <c r="O443" i="16"/>
  <c r="O571" i="16"/>
  <c r="O699" i="16"/>
  <c r="O676" i="16"/>
  <c r="O236" i="16"/>
  <c r="O269" i="16"/>
  <c r="O276" i="16"/>
  <c r="O277" i="16"/>
  <c r="X38" i="7"/>
  <c r="R39" i="7"/>
  <c r="T38" i="7"/>
  <c r="S38" i="7"/>
  <c r="AD38" i="7"/>
  <c r="AJ38" i="7"/>
  <c r="AG38" i="7"/>
  <c r="AA38" i="7"/>
  <c r="U22" i="7"/>
  <c r="P36" i="7"/>
  <c r="F76" i="16"/>
  <c r="P76" i="16"/>
  <c r="I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40" i="16"/>
  <c r="O84" i="16"/>
  <c r="O96" i="16"/>
  <c r="O139" i="16"/>
  <c r="O161" i="16"/>
  <c r="O166" i="16"/>
  <c r="O124" i="16"/>
  <c r="O172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P16" i="7" l="1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Q77" i="16" s="1"/>
  <c r="U18" i="7"/>
  <c r="J76" i="16"/>
  <c r="J77" i="16" s="1"/>
  <c r="L76" i="16"/>
  <c r="L77" i="16" s="1"/>
  <c r="M48" i="15"/>
  <c r="M49" i="15"/>
  <c r="O510" i="16"/>
  <c r="O446" i="16"/>
  <c r="O382" i="16"/>
  <c r="O318" i="16"/>
  <c r="S76" i="16"/>
  <c r="F77" i="16"/>
  <c r="P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O18" i="7" l="1"/>
  <c r="N18" i="7"/>
  <c r="I77" i="16"/>
  <c r="H78" i="16" s="1"/>
  <c r="R77" i="16"/>
  <c r="K77" i="16"/>
  <c r="K78" i="16" s="1"/>
  <c r="L79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P79" i="16" l="1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79" i="16" l="1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S80" i="16" l="1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Q91" i="16" l="1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I95" i="16" s="1"/>
  <c r="Q93" i="16"/>
  <c r="R94" i="16" s="1"/>
  <c r="S95" i="16" s="1"/>
  <c r="T96" i="16" s="1"/>
  <c r="P93" i="16"/>
  <c r="L96" i="16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Q94" i="16" l="1"/>
  <c r="R95" i="16" s="1"/>
  <c r="S96" i="16" s="1"/>
  <c r="T97" i="16" s="1"/>
  <c r="P94" i="16"/>
  <c r="L97" i="16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Q95" i="16" l="1"/>
  <c r="R96" i="16" s="1"/>
  <c r="S97" i="16" s="1"/>
  <c r="T98" i="16" s="1"/>
  <c r="P95" i="16"/>
  <c r="L98" i="16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P96" i="16" l="1"/>
  <c r="Q96" i="16"/>
  <c r="R97" i="16" s="1"/>
  <c r="S98" i="16" s="1"/>
  <c r="T99" i="16" s="1"/>
  <c r="J99" i="16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Q97" i="16" l="1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I100" i="16" s="1"/>
  <c r="J101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F99" i="16" l="1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P99" i="16" l="1"/>
  <c r="Q99" i="16"/>
  <c r="R100" i="16" s="1"/>
  <c r="S101" i="16" s="1"/>
  <c r="T102" i="16" s="1"/>
  <c r="J102" i="16"/>
  <c r="K102" i="16"/>
  <c r="L103" i="16" s="1"/>
  <c r="G100" i="16"/>
  <c r="H101" i="16" s="1"/>
  <c r="I102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Q100" i="16" l="1"/>
  <c r="R101" i="16" s="1"/>
  <c r="S102" i="16" s="1"/>
  <c r="T103" i="16" s="1"/>
  <c r="P100" i="16"/>
  <c r="J103" i="16"/>
  <c r="F101" i="16"/>
  <c r="K103" i="16"/>
  <c r="L104" i="16" s="1"/>
  <c r="G101" i="16"/>
  <c r="H102" i="16" s="1"/>
  <c r="I103" i="16" s="1"/>
  <c r="J104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P101" i="16" l="1"/>
  <c r="Q101" i="16"/>
  <c r="R102" i="16" s="1"/>
  <c r="S103" i="16" s="1"/>
  <c r="T104" i="16" s="1"/>
  <c r="K104" i="16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P102" i="16" l="1"/>
  <c r="Q102" i="16"/>
  <c r="R103" i="16" s="1"/>
  <c r="S104" i="16" s="1"/>
  <c r="T105" i="16" s="1"/>
  <c r="F103" i="16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Q103" i="16" l="1"/>
  <c r="R104" i="16" s="1"/>
  <c r="S105" i="16" s="1"/>
  <c r="T106" i="16" s="1"/>
  <c r="P103" i="16"/>
  <c r="J106" i="16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Q104" i="16" l="1"/>
  <c r="R105" i="16" s="1"/>
  <c r="S106" i="16" s="1"/>
  <c r="T107" i="16" s="1"/>
  <c r="P104" i="16"/>
  <c r="K107" i="16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P105" i="16" l="1"/>
  <c r="Q105" i="16"/>
  <c r="R106" i="16" s="1"/>
  <c r="S107" i="16" s="1"/>
  <c r="T108" i="16" s="1"/>
  <c r="F106" i="16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P106" i="16" l="1"/>
  <c r="Q106" i="16"/>
  <c r="R107" i="16" s="1"/>
  <c r="S108" i="16" s="1"/>
  <c r="T109" i="16" s="1"/>
  <c r="K109" i="16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Q107" i="16" l="1"/>
  <c r="R108" i="16" s="1"/>
  <c r="S109" i="16" s="1"/>
  <c r="T110" i="16" s="1"/>
  <c r="P107" i="16"/>
  <c r="K110" i="16"/>
  <c r="L111" i="16" s="1"/>
  <c r="F108" i="16"/>
  <c r="G108" i="16"/>
  <c r="H109" i="16" s="1"/>
  <c r="I110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P108" i="16" l="1"/>
  <c r="Q108" i="16"/>
  <c r="R109" i="16" s="1"/>
  <c r="S110" i="16" s="1"/>
  <c r="T111" i="16" s="1"/>
  <c r="J111" i="16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Q109" i="16" l="1"/>
  <c r="R110" i="16" s="1"/>
  <c r="S111" i="16" s="1"/>
  <c r="T112" i="16" s="1"/>
  <c r="P109" i="16"/>
  <c r="K112" i="16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0" i="16" l="1"/>
  <c r="Q110" i="16"/>
  <c r="R111" i="16" s="1"/>
  <c r="S112" i="16" s="1"/>
  <c r="T113" i="16" s="1"/>
  <c r="J113" i="16"/>
  <c r="K113" i="16"/>
  <c r="L114" i="16" s="1"/>
  <c r="F111" i="16"/>
  <c r="G111" i="16"/>
  <c r="H112" i="16" s="1"/>
  <c r="I113" i="16" s="1"/>
  <c r="J114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P111" i="16" l="1"/>
  <c r="Q111" i="16"/>
  <c r="R112" i="16" s="1"/>
  <c r="S113" i="16" s="1"/>
  <c r="T114" i="16" s="1"/>
  <c r="F112" i="16"/>
  <c r="K114" i="16"/>
  <c r="L115" i="16" s="1"/>
  <c r="G112" i="16"/>
  <c r="H113" i="16" s="1"/>
  <c r="I114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P112" i="16" l="1"/>
  <c r="Q112" i="16"/>
  <c r="R113" i="16" s="1"/>
  <c r="S114" i="16" s="1"/>
  <c r="T115" i="16" s="1"/>
  <c r="F113" i="16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Q113" i="16" l="1"/>
  <c r="R114" i="16" s="1"/>
  <c r="S115" i="16" s="1"/>
  <c r="T116" i="16" s="1"/>
  <c r="P113" i="16"/>
  <c r="F114" i="16"/>
  <c r="K116" i="16"/>
  <c r="L117" i="16" s="1"/>
  <c r="G114" i="16"/>
  <c r="H115" i="16" s="1"/>
  <c r="I116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Q114" i="16" l="1"/>
  <c r="R115" i="16" s="1"/>
  <c r="S116" i="16" s="1"/>
  <c r="T117" i="16" s="1"/>
  <c r="P114" i="16"/>
  <c r="J117" i="16"/>
  <c r="K117" i="16"/>
  <c r="L118" i="16" s="1"/>
  <c r="G115" i="16"/>
  <c r="H116" i="16" s="1"/>
  <c r="I117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Q115" i="16" l="1"/>
  <c r="R116" i="16" s="1"/>
  <c r="S117" i="16" s="1"/>
  <c r="T118" i="16" s="1"/>
  <c r="P115" i="16"/>
  <c r="J118" i="16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P116" i="16" l="1"/>
  <c r="Q116" i="16"/>
  <c r="R117" i="16" s="1"/>
  <c r="S118" i="16" s="1"/>
  <c r="T119" i="16" s="1"/>
  <c r="J119" i="16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7" i="16" l="1"/>
  <c r="Q117" i="16"/>
  <c r="R118" i="16" s="1"/>
  <c r="S119" i="16" s="1"/>
  <c r="T120" i="16" s="1"/>
  <c r="F118" i="16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P118" i="16" l="1"/>
  <c r="Q118" i="16"/>
  <c r="R119" i="16" s="1"/>
  <c r="S120" i="16" s="1"/>
  <c r="T121" i="16" s="1"/>
  <c r="F119" i="16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Q119" i="16" l="1"/>
  <c r="R120" i="16" s="1"/>
  <c r="S121" i="16" s="1"/>
  <c r="T122" i="16" s="1"/>
  <c r="P119" i="16"/>
  <c r="F120" i="16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P120" i="16" l="1"/>
  <c r="Q120" i="16"/>
  <c r="R121" i="16" s="1"/>
  <c r="S122" i="16" s="1"/>
  <c r="T123" i="16" s="1"/>
  <c r="J123" i="16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Q121" i="16" l="1"/>
  <c r="R122" i="16" s="1"/>
  <c r="S123" i="16" s="1"/>
  <c r="T124" i="16" s="1"/>
  <c r="P121" i="16"/>
  <c r="K124" i="16"/>
  <c r="L125" i="16" s="1"/>
  <c r="F122" i="16"/>
  <c r="G122" i="16"/>
  <c r="H123" i="16" s="1"/>
  <c r="I124" i="16" s="1"/>
  <c r="E80" i="3"/>
  <c r="D79" i="3"/>
  <c r="J79" i="3"/>
  <c r="R79" i="3"/>
  <c r="F82" i="3"/>
  <c r="K95" i="2"/>
  <c r="E122" i="16"/>
  <c r="D122" i="16"/>
  <c r="S78" i="3"/>
  <c r="T78" i="3" s="1"/>
  <c r="U78" i="3"/>
  <c r="Q122" i="16" l="1"/>
  <c r="R123" i="16" s="1"/>
  <c r="S124" i="16" s="1"/>
  <c r="T125" i="16" s="1"/>
  <c r="P122" i="16"/>
  <c r="J125" i="16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3" i="16" l="1"/>
  <c r="R124" i="16" s="1"/>
  <c r="S125" i="16" s="1"/>
  <c r="T126" i="16" s="1"/>
  <c r="P123" i="16"/>
  <c r="K126" i="16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P124" i="16" l="1"/>
  <c r="Q124" i="16"/>
  <c r="R125" i="16" s="1"/>
  <c r="S126" i="16" s="1"/>
  <c r="T127" i="16" s="1"/>
  <c r="F125" i="16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5" i="16" l="1"/>
  <c r="Q125" i="16"/>
  <c r="R126" i="16" s="1"/>
  <c r="S127" i="16" s="1"/>
  <c r="T128" i="16" s="1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Q127" i="16" l="1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P128" i="16" l="1"/>
  <c r="Q128" i="16"/>
  <c r="R129" i="16" s="1"/>
  <c r="S130" i="16" s="1"/>
  <c r="T131" i="16" s="1"/>
  <c r="F129" i="16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P129" i="16" l="1"/>
  <c r="Q129" i="16"/>
  <c r="R130" i="16" s="1"/>
  <c r="S131" i="16" s="1"/>
  <c r="T132" i="16" s="1"/>
  <c r="F130" i="16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Q130" i="16" l="1"/>
  <c r="R131" i="16" s="1"/>
  <c r="S132" i="16" s="1"/>
  <c r="T133" i="16" s="1"/>
  <c r="P130" i="16"/>
  <c r="J133" i="16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J134" i="16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J135" i="16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P133" i="16" l="1"/>
  <c r="Q133" i="16"/>
  <c r="R134" i="16" s="1"/>
  <c r="S135" i="16" s="1"/>
  <c r="T136" i="16" s="1"/>
  <c r="F134" i="16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J138" i="16" l="1"/>
  <c r="P135" i="16"/>
  <c r="Q135" i="16"/>
  <c r="R136" i="16" s="1"/>
  <c r="S137" i="16" s="1"/>
  <c r="T138" i="16" s="1"/>
  <c r="K138" i="16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J139" i="16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Q137" i="16" l="1"/>
  <c r="R138" i="16" s="1"/>
  <c r="S139" i="16" s="1"/>
  <c r="T140" i="16" s="1"/>
  <c r="P137" i="16"/>
  <c r="F138" i="16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Q138" i="16" l="1"/>
  <c r="R139" i="16" s="1"/>
  <c r="S140" i="16" s="1"/>
  <c r="T141" i="16" s="1"/>
  <c r="P138" i="16"/>
  <c r="J141" i="16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P141" i="16" l="1"/>
  <c r="Q141" i="16"/>
  <c r="R142" i="16" s="1"/>
  <c r="S143" i="16" s="1"/>
  <c r="T144" i="16" s="1"/>
  <c r="F142" i="16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Q142" i="16"/>
  <c r="R143" i="16" s="1"/>
  <c r="S144" i="16" s="1"/>
  <c r="T145" i="16" s="1"/>
  <c r="P142" i="16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P143" i="16" l="1"/>
  <c r="Q143" i="16"/>
  <c r="R144" i="16" s="1"/>
  <c r="S145" i="16" s="1"/>
  <c r="T146" i="16" s="1"/>
  <c r="F144" i="16"/>
  <c r="K146" i="16"/>
  <c r="L147" i="16" s="1"/>
  <c r="G144" i="16"/>
  <c r="H145" i="16" s="1"/>
  <c r="I146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J147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P145" i="16" l="1"/>
  <c r="Q145" i="16"/>
  <c r="R146" i="16" s="1"/>
  <c r="S147" i="16" s="1"/>
  <c r="T148" i="16" s="1"/>
  <c r="F146" i="16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Q146" i="16" l="1"/>
  <c r="R147" i="16" s="1"/>
  <c r="S148" i="16" s="1"/>
  <c r="T149" i="16" s="1"/>
  <c r="P146" i="16"/>
  <c r="J149" i="16"/>
  <c r="F147" i="16"/>
  <c r="K149" i="16"/>
  <c r="L150" i="16" s="1"/>
  <c r="G147" i="16"/>
  <c r="H148" i="16" s="1"/>
  <c r="I149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J150" i="16" l="1"/>
  <c r="P147" i="16"/>
  <c r="Q147" i="16"/>
  <c r="R148" i="16" s="1"/>
  <c r="S149" i="16" s="1"/>
  <c r="T150" i="16" s="1"/>
  <c r="F148" i="16"/>
  <c r="K150" i="16"/>
  <c r="L151" i="16" s="1"/>
  <c r="G148" i="16"/>
  <c r="H149" i="16" s="1"/>
  <c r="I150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P148" i="16" l="1"/>
  <c r="Q148" i="16"/>
  <c r="R149" i="16" s="1"/>
  <c r="S150" i="16" s="1"/>
  <c r="T151" i="16" s="1"/>
  <c r="J151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F150" i="16" l="1"/>
  <c r="Q149" i="16"/>
  <c r="R150" i="16" s="1"/>
  <c r="S151" i="16" s="1"/>
  <c r="T152" i="16" s="1"/>
  <c r="P149" i="16"/>
  <c r="J152" i="16"/>
  <c r="K152" i="16"/>
  <c r="L153" i="16" s="1"/>
  <c r="G150" i="16"/>
  <c r="H151" i="16" s="1"/>
  <c r="I152" i="16" s="1"/>
  <c r="J153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P150" i="16" l="1"/>
  <c r="Q150" i="16"/>
  <c r="R151" i="16" s="1"/>
  <c r="S152" i="16" s="1"/>
  <c r="T153" i="16" s="1"/>
  <c r="F151" i="16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J154" i="16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F153" i="16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F155" i="16" l="1"/>
  <c r="Q154" i="16"/>
  <c r="R155" i="16" s="1"/>
  <c r="S156" i="16" s="1"/>
  <c r="T157" i="16" s="1"/>
  <c r="P154" i="16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5" i="16" l="1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P156" i="16" l="1"/>
  <c r="Q156" i="16"/>
  <c r="R157" i="16" s="1"/>
  <c r="S158" i="16" s="1"/>
  <c r="T159" i="16" s="1"/>
  <c r="K159" i="16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Q157" i="16" l="1"/>
  <c r="R158" i="16" s="1"/>
  <c r="S159" i="16" s="1"/>
  <c r="T160" i="16" s="1"/>
  <c r="P157" i="16"/>
  <c r="J160" i="16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J161" i="16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P159" i="16" l="1"/>
  <c r="Q159" i="16"/>
  <c r="R160" i="16" s="1"/>
  <c r="S161" i="16" s="1"/>
  <c r="T162" i="16" s="1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0" i="16" l="1"/>
  <c r="R161" i="16" s="1"/>
  <c r="S162" i="16" s="1"/>
  <c r="T163" i="16" s="1"/>
  <c r="P160" i="16"/>
  <c r="K163" i="16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P161" i="16" l="1"/>
  <c r="Q161" i="16"/>
  <c r="R162" i="16" s="1"/>
  <c r="S163" i="16" s="1"/>
  <c r="T164" i="16" s="1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F163" i="16" l="1"/>
  <c r="P162" i="16"/>
  <c r="Q162" i="16"/>
  <c r="R163" i="16" s="1"/>
  <c r="S164" i="16" s="1"/>
  <c r="T165" i="16" s="1"/>
  <c r="K165" i="16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3" i="16" l="1"/>
  <c r="R164" i="16" s="1"/>
  <c r="S165" i="16" s="1"/>
  <c r="T166" i="16" s="1"/>
  <c r="P163" i="16"/>
  <c r="J166" i="16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Q164" i="16" l="1"/>
  <c r="R165" i="16" s="1"/>
  <c r="S166" i="16" s="1"/>
  <c r="T167" i="16" s="1"/>
  <c r="P164" i="16"/>
  <c r="F165" i="16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F166" i="16" l="1"/>
  <c r="P165" i="16"/>
  <c r="Q165" i="16"/>
  <c r="R166" i="16" s="1"/>
  <c r="S167" i="16" s="1"/>
  <c r="T168" i="16" s="1"/>
  <c r="J168" i="16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P166" i="16" l="1"/>
  <c r="Q166" i="16"/>
  <c r="R167" i="16" s="1"/>
  <c r="S168" i="16" s="1"/>
  <c r="T169" i="16" s="1"/>
  <c r="K169" i="16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Q167" i="16" l="1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Q168" i="16" l="1"/>
  <c r="R169" i="16" s="1"/>
  <c r="S170" i="16" s="1"/>
  <c r="T171" i="16" s="1"/>
  <c r="P168" i="16"/>
  <c r="K171" i="16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J172" i="16"/>
  <c r="K172" i="16"/>
  <c r="L173" i="16" s="1"/>
  <c r="F170" i="16"/>
  <c r="G170" i="16"/>
  <c r="H171" i="16" s="1"/>
  <c r="I172" i="16" s="1"/>
  <c r="J173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F171" i="16" l="1"/>
  <c r="P170" i="16"/>
  <c r="Q170" i="16"/>
  <c r="R171" i="16" s="1"/>
  <c r="S172" i="16" s="1"/>
  <c r="T173" i="16" s="1"/>
  <c r="K173" i="16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F172" i="16" l="1"/>
  <c r="P171" i="16"/>
  <c r="Q171" i="16"/>
  <c r="R172" i="16" s="1"/>
  <c r="S173" i="16" s="1"/>
  <c r="T174" i="16" s="1"/>
  <c r="J174" i="16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K175" i="16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F174" i="16" l="1"/>
  <c r="Q173" i="16"/>
  <c r="R174" i="16" s="1"/>
  <c r="S175" i="16" s="1"/>
  <c r="T176" i="16" s="1"/>
  <c r="P173" i="16"/>
  <c r="K176" i="16"/>
  <c r="L177" i="16" s="1"/>
  <c r="G174" i="16"/>
  <c r="H175" i="16" s="1"/>
  <c r="I176" i="16" s="1"/>
  <c r="J177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F175" i="16" l="1"/>
  <c r="P174" i="16"/>
  <c r="Q174" i="16"/>
  <c r="R175" i="16" s="1"/>
  <c r="S176" i="16" s="1"/>
  <c r="T177" i="16" s="1"/>
  <c r="K177" i="16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P175" i="16" l="1"/>
  <c r="Q175" i="16"/>
  <c r="R176" i="16" s="1"/>
  <c r="S177" i="16" s="1"/>
  <c r="T178" i="16" s="1"/>
  <c r="K178" i="16"/>
  <c r="L179" i="16" s="1"/>
  <c r="F176" i="16"/>
  <c r="L39" i="4"/>
  <c r="G176" i="16"/>
  <c r="H177" i="16" s="1"/>
  <c r="I178" i="16" s="1"/>
  <c r="J179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P176" i="16" l="1"/>
  <c r="Q176" i="16"/>
  <c r="R177" i="16" s="1"/>
  <c r="S178" i="16" s="1"/>
  <c r="T179" i="16" s="1"/>
  <c r="K179" i="16"/>
  <c r="L180" i="16" s="1"/>
  <c r="F177" i="16"/>
  <c r="G177" i="16"/>
  <c r="H178" i="16" s="1"/>
  <c r="I179" i="16" s="1"/>
  <c r="J180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K180" i="16" l="1"/>
  <c r="L181" i="16" s="1"/>
  <c r="P177" i="16"/>
  <c r="Q177" i="16"/>
  <c r="R178" i="16" s="1"/>
  <c r="S179" i="16" s="1"/>
  <c r="T180" i="16" s="1"/>
  <c r="F178" i="16"/>
  <c r="G178" i="16"/>
  <c r="H179" i="16" s="1"/>
  <c r="I180" i="16" s="1"/>
  <c r="J181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K181" i="16"/>
  <c r="L182" i="16" s="1"/>
  <c r="F179" i="16"/>
  <c r="G179" i="16"/>
  <c r="H180" i="16" s="1"/>
  <c r="I181" i="16" s="1"/>
  <c r="J182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Q179" i="16" l="1"/>
  <c r="R180" i="16" s="1"/>
  <c r="S181" i="16" s="1"/>
  <c r="T182" i="16" s="1"/>
  <c r="P179" i="16"/>
  <c r="K182" i="16"/>
  <c r="L183" i="16" s="1"/>
  <c r="F180" i="16"/>
  <c r="G180" i="16"/>
  <c r="H181" i="16" s="1"/>
  <c r="I182" i="16" s="1"/>
  <c r="J183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K183" i="16" l="1"/>
  <c r="L184" i="16" s="1"/>
  <c r="Q180" i="16"/>
  <c r="R181" i="16" s="1"/>
  <c r="S182" i="16" s="1"/>
  <c r="T183" i="16" s="1"/>
  <c r="P180" i="16"/>
  <c r="F181" i="16"/>
  <c r="G181" i="16"/>
  <c r="H182" i="16" s="1"/>
  <c r="I183" i="16" s="1"/>
  <c r="J184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Q181" i="16" l="1"/>
  <c r="R182" i="16" s="1"/>
  <c r="S183" i="16" s="1"/>
  <c r="T184" i="16" s="1"/>
  <c r="P181" i="16"/>
  <c r="K184" i="16"/>
  <c r="L185" i="16" s="1"/>
  <c r="G182" i="16"/>
  <c r="H183" i="16" s="1"/>
  <c r="I184" i="16" s="1"/>
  <c r="J185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P182" i="16" l="1"/>
  <c r="Q182" i="16"/>
  <c r="R183" i="16" s="1"/>
  <c r="S184" i="16" s="1"/>
  <c r="T185" i="16" s="1"/>
  <c r="K185" i="16"/>
  <c r="L186" i="16" s="1"/>
  <c r="F183" i="16"/>
  <c r="G183" i="16"/>
  <c r="H184" i="16" s="1"/>
  <c r="I185" i="16" s="1"/>
  <c r="J186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K186" i="16" l="1"/>
  <c r="L187" i="16" s="1"/>
  <c r="K187" i="16"/>
  <c r="L188" i="16" s="1"/>
  <c r="Q183" i="16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Q186" i="16" l="1"/>
  <c r="R187" i="16" s="1"/>
  <c r="S188" i="16" s="1"/>
  <c r="T189" i="16" s="1"/>
  <c r="P186" i="16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Q187" i="16" l="1"/>
  <c r="R188" i="16" s="1"/>
  <c r="S189" i="16" s="1"/>
  <c r="T190" i="16" s="1"/>
  <c r="P187" i="16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P189" i="16" l="1"/>
  <c r="Q189" i="16"/>
  <c r="R190" i="16" s="1"/>
  <c r="S191" i="16" s="1"/>
  <c r="T192" i="16" s="1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F192" i="16" l="1"/>
  <c r="P191" i="16"/>
  <c r="Q191" i="16"/>
  <c r="R192" i="16" s="1"/>
  <c r="S193" i="16" s="1"/>
  <c r="T194" i="16" s="1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P192" i="16" l="1"/>
  <c r="Q192" i="16"/>
  <c r="R193" i="16" s="1"/>
  <c r="S194" i="16" s="1"/>
  <c r="T195" i="16" s="1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F194" i="16" l="1"/>
  <c r="P193" i="16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P194" i="16" l="1"/>
  <c r="Q194" i="16"/>
  <c r="R195" i="16" s="1"/>
  <c r="S196" i="16" s="1"/>
  <c r="T197" i="16" s="1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F197" i="16" l="1"/>
  <c r="P196" i="16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F198" i="16" l="1"/>
  <c r="Q197" i="16"/>
  <c r="R198" i="16" s="1"/>
  <c r="S199" i="16" s="1"/>
  <c r="T200" i="16" s="1"/>
  <c r="P197" i="16"/>
  <c r="G198" i="16"/>
  <c r="H199" i="16" s="1"/>
  <c r="I200" i="16" s="1"/>
  <c r="J201" i="16" s="1"/>
  <c r="K202" i="16" s="1"/>
  <c r="L203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P198" i="16" l="1"/>
  <c r="Q198" i="16"/>
  <c r="R199" i="16" s="1"/>
  <c r="S200" i="16" s="1"/>
  <c r="T201" i="16" s="1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Q201" i="16" l="1"/>
  <c r="R202" i="16" s="1"/>
  <c r="S203" i="16" s="1"/>
  <c r="T204" i="16" s="1"/>
  <c r="P201" i="16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Q202" i="16" l="1"/>
  <c r="R203" i="16" s="1"/>
  <c r="S204" i="16" s="1"/>
  <c r="T205" i="16" s="1"/>
  <c r="P202" i="16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Q203" i="16" l="1"/>
  <c r="R204" i="16" s="1"/>
  <c r="S205" i="16" s="1"/>
  <c r="T206" i="16" s="1"/>
  <c r="P203" i="16"/>
  <c r="J206" i="16"/>
  <c r="K207" i="16" s="1"/>
  <c r="L208" i="16" s="1"/>
  <c r="E204" i="16"/>
  <c r="F204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L209" i="16"/>
  <c r="G205" i="16"/>
  <c r="H206" i="16" s="1"/>
  <c r="I207" i="16" s="1"/>
  <c r="J208" i="16" s="1"/>
  <c r="K209" i="16" s="1"/>
  <c r="L210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P205" i="16" l="1"/>
  <c r="Q205" i="16"/>
  <c r="R206" i="16" s="1"/>
  <c r="S207" i="16" s="1"/>
  <c r="T208" i="16" s="1"/>
  <c r="F206" i="16"/>
  <c r="G206" i="16"/>
  <c r="H207" i="16" s="1"/>
  <c r="I208" i="16" s="1"/>
  <c r="J209" i="16" s="1"/>
  <c r="K210" i="16" s="1"/>
  <c r="L211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G207" i="16" l="1"/>
  <c r="H208" i="16" s="1"/>
  <c r="I209" i="16" s="1"/>
  <c r="J210" i="16" s="1"/>
  <c r="K211" i="16" s="1"/>
  <c r="G208" i="16"/>
  <c r="H209" i="16" s="1"/>
  <c r="I210" i="16" s="1"/>
  <c r="J211" i="16" s="1"/>
  <c r="Q206" i="16"/>
  <c r="R207" i="16" s="1"/>
  <c r="S208" i="16" s="1"/>
  <c r="T209" i="16" s="1"/>
  <c r="P206" i="16"/>
  <c r="L212" i="16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Q207" i="16" l="1"/>
  <c r="R208" i="16" s="1"/>
  <c r="S209" i="16" s="1"/>
  <c r="T210" i="16" s="1"/>
  <c r="P207" i="16"/>
  <c r="L214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Q209" i="16" l="1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P210" i="16" l="1"/>
  <c r="Q210" i="16"/>
  <c r="R211" i="16" s="1"/>
  <c r="S212" i="16" s="1"/>
  <c r="T213" i="16" s="1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Q213" i="16" l="1"/>
  <c r="R214" i="16" s="1"/>
  <c r="S215" i="16" s="1"/>
  <c r="T216" i="16" s="1"/>
  <c r="P213" i="16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Q220" i="16" l="1"/>
  <c r="R221" i="16" s="1"/>
  <c r="S222" i="16" s="1"/>
  <c r="T223" i="16" s="1"/>
  <c r="P220" i="16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1" i="16" l="1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J62" i="19"/>
  <c r="K30" i="19" s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>
  <authors>
    <author>Leonardo Valadez Ortiz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<sst xmlns="http://schemas.openxmlformats.org/spreadsheetml/2006/main" count="2098" uniqueCount="1227">
  <si>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</si>
  <si>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</si>
  <si>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</si>
  <si>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</si>
  <si>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</si>
  <si>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</si>
  <si>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</si>
  <si>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</si>
  <si>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</si>
  <si>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</si>
  <si>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</si>
  <si>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</si>
  <si>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</si>
  <si>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</si>
  <si>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</si>
  <si>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</si>
  <si>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</si>
  <si>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</si>
  <si>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</si>
  <si>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</si>
  <si>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</si>
  <si>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</si>
  <si>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</si>
  <si>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</si>
  <si>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</si>
  <si>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</si>
  <si>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</si>
  <si>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</si>
  <si>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</si>
  <si>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</si>
  <si>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</si>
  <si>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</si>
  <si>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</si>
  <si>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</si>
  <si>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</si>
  <si>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</si>
  <si>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</si>
  <si>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</si>
  <si>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</si>
  <si>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</si>
  <si>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</si>
  <si>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</si>
  <si>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</si>
  <si>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</si>
  <si>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</si>
  <si>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</si>
  <si>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</si>
  <si>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</si>
  <si>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</si>
  <si>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</si>
  <si>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</si>
  <si>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</si>
  <si>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</si>
  <si>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</si>
  <si>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</si>
  <si>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</si>
  <si>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</si>
  <si>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</si>
  <si>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</si>
  <si>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</si>
  <si>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</si>
  <si>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</si>
  <si>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</si>
  <si>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</si>
  <si>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</si>
  <si>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</si>
  <si>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</si>
  <si>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</si>
  <si>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</si>
  <si>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</si>
  <si>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</si>
  <si>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</si>
  <si>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</si>
  <si>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</si>
  <si>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</si>
  <si>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</si>
  <si>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</si>
  <si>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</si>
  <si>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</si>
  <si>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</si>
  <si>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</si>
  <si>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</si>
  <si>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</si>
  <si>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</si>
  <si>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</si>
  <si>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</si>
  <si>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</si>
  <si>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</si>
  <si>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</si>
  <si>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</si>
  <si>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</si>
  <si>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</si>
  <si>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</si>
  <si>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</si>
  <si>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</si>
  <si>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</si>
  <si>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</si>
  <si>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</si>
  <si>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</si>
  <si>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</si>
  <si>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</si>
  <si>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</si>
  <si>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</si>
  <si>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</si>
  <si>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</si>
  <si>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</si>
  <si>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</si>
  <si>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</si>
  <si>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</si>
  <si>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</si>
  <si>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</si>
  <si>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</si>
  <si>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</si>
  <si>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</si>
  <si>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</si>
  <si>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</si>
  <si>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</si>
  <si>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</si>
  <si>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</si>
  <si>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</si>
  <si>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</si>
  <si>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</si>
  <si>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</si>
  <si>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</si>
  <si>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</si>
  <si>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</si>
  <si>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</si>
  <si>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</si>
  <si>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</si>
  <si>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</si>
  <si>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</si>
  <si>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</si>
  <si>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</si>
  <si>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</si>
  <si>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</si>
  <si>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</si>
  <si>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</si>
  <si>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</si>
  <si>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</si>
  <si>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</si>
  <si>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</si>
  <si>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</si>
  <si>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</si>
  <si>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</si>
  <si>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</si>
  <si>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</si>
  <si>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</si>
  <si>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</si>
  <si>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</si>
  <si>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</si>
  <si>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</si>
  <si>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</si>
  <si>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</si>
  <si>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</si>
  <si>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</si>
  <si>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</si>
  <si>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</si>
  <si>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</si>
  <si>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</si>
  <si>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</si>
  <si>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</si>
  <si>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</si>
  <si>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</si>
  <si>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</si>
  <si>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</si>
  <si>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</si>
  <si>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</si>
  <si>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</si>
  <si>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</si>
  <si>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</si>
  <si>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</si>
  <si>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</si>
  <si>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</si>
  <si>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</si>
  <si>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</si>
  <si>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</si>
  <si>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</si>
  <si>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</si>
  <si>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</si>
  <si>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</si>
  <si>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</si>
  <si>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</si>
  <si>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</si>
  <si>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</si>
  <si>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</si>
  <si>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</si>
  <si>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</si>
  <si>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</si>
  <si>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</si>
  <si>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</si>
  <si>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</si>
  <si>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</si>
  <si>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</si>
  <si>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</si>
  <si>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</si>
  <si>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</si>
  <si>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</si>
  <si>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</si>
  <si>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</si>
  <si>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</si>
  <si>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</si>
  <si>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</si>
  <si>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</si>
  <si>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</si>
  <si>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</si>
  <si>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</si>
  <si>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</si>
  <si>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</si>
  <si>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</si>
  <si>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</si>
  <si>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</si>
  <si>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</si>
  <si>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</si>
  <si>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</si>
  <si>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</si>
  <si>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</si>
  <si>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</si>
  <si>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</si>
  <si>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</si>
  <si>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</si>
  <si>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</si>
  <si>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</si>
  <si>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</si>
  <si>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</si>
  <si>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</si>
  <si>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</si>
  <si>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</si>
  <si>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</si>
  <si>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</si>
  <si>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</si>
  <si>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</si>
  <si>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</si>
  <si>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</si>
  <si>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</si>
  <si>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</si>
  <si>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</si>
  <si>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</si>
  <si>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</si>
  <si>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</si>
  <si>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</si>
  <si>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</si>
  <si>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</si>
  <si>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</si>
  <si>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</si>
  <si>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</si>
  <si>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</si>
  <si>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</si>
  <si>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</si>
  <si>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</si>
  <si>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</si>
  <si>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</si>
  <si>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</si>
  <si>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</si>
  <si>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</si>
  <si>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</si>
  <si>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</si>
  <si>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</si>
  <si>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</si>
  <si>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</si>
  <si>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</si>
  <si>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</si>
  <si>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</si>
  <si>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</si>
  <si>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</si>
  <si>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</si>
  <si>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</si>
  <si>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</si>
  <si>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</si>
  <si>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</si>
  <si>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</si>
  <si>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</si>
  <si>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</si>
  <si>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</si>
  <si>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</si>
  <si>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</si>
  <si>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</si>
  <si>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</si>
  <si>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</si>
  <si>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</si>
  <si>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</si>
  <si>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</si>
  <si>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</si>
  <si>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</si>
  <si>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</si>
  <si>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</si>
  <si>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</si>
  <si>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</si>
  <si>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</si>
  <si>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</si>
  <si>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</si>
  <si>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</si>
  <si>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</si>
  <si>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</si>
  <si>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</si>
  <si>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</si>
  <si>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</si>
  <si>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</si>
  <si>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</si>
  <si>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</si>
  <si>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</si>
  <si>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</si>
  <si>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</si>
  <si>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</si>
  <si>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</si>
  <si>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</si>
  <si>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</si>
  <si>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</si>
  <si>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</si>
  <si>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</si>
  <si>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</si>
  <si>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</si>
  <si>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</si>
  <si>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</si>
  <si>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</si>
  <si>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</si>
  <si>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</si>
  <si>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</si>
  <si>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</si>
  <si>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</si>
  <si>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</si>
  <si>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</si>
  <si>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</si>
  <si>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</si>
  <si>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</si>
  <si>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</si>
  <si>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</si>
  <si>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</si>
  <si>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</si>
  <si>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</si>
  <si>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</si>
  <si>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</si>
  <si>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</si>
  <si>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</si>
  <si>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</si>
  <si>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</si>
  <si>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</si>
  <si>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</si>
  <si>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</si>
  <si>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</si>
  <si>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</si>
  <si>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</si>
  <si>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</si>
  <si>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</si>
  <si>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</si>
  <si>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</si>
  <si>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</si>
  <si>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</si>
  <si>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</si>
  <si>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</si>
  <si>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</si>
  <si>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</si>
  <si>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</si>
  <si>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</si>
  <si>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</si>
  <si>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</si>
  <si>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</si>
  <si>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</si>
  <si>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</si>
  <si>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</si>
  <si>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</si>
  <si>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</si>
  <si>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</si>
  <si>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</si>
  <si>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</si>
  <si>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</si>
  <si>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</si>
  <si>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</si>
  <si>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</si>
  <si>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</si>
  <si>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</si>
  <si>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</si>
  <si>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</si>
  <si>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</si>
  <si>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</si>
  <si>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</si>
  <si>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</si>
  <si>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</si>
  <si>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</si>
  <si>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</si>
  <si>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</si>
  <si>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</si>
  <si>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</si>
  <si>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</si>
  <si>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</si>
  <si>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</si>
  <si>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</si>
  <si>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</si>
  <si>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</si>
  <si>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</si>
  <si>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</si>
  <si>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</si>
  <si>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</si>
  <si>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</si>
  <si>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</si>
  <si>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</si>
  <si>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</si>
  <si>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</si>
  <si>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</si>
  <si>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</si>
  <si>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</si>
  <si>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</si>
  <si>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</si>
  <si>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</si>
  <si>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</si>
  <si>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</si>
  <si>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</si>
  <si>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</si>
  <si>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</si>
  <si>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</si>
  <si>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</si>
  <si>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</si>
  <si>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</si>
  <si>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</si>
  <si>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</si>
  <si>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</si>
  <si>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</si>
  <si>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</si>
  <si>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</si>
  <si>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</si>
  <si>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</si>
  <si>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</si>
  <si>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</si>
  <si>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</si>
  <si>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</si>
  <si>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</si>
  <si>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</si>
  <si>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</si>
  <si>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</si>
  <si>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</si>
  <si>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</si>
  <si>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</si>
  <si>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</si>
  <si>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</si>
  <si>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</si>
  <si>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</si>
  <si>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</si>
  <si>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</si>
  <si>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</si>
  <si>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</si>
  <si>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</si>
  <si>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</si>
  <si>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</si>
  <si>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</si>
  <si>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</si>
  <si>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</si>
  <si>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</si>
  <si>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</si>
  <si>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</si>
  <si>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</si>
  <si>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</si>
  <si>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</si>
  <si>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</si>
  <si>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</si>
  <si>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</si>
  <si>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</si>
  <si>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</si>
  <si>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</si>
  <si>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</si>
  <si>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</si>
  <si>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</si>
  <si>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</si>
  <si>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</si>
  <si>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</si>
  <si>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</si>
  <si>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</si>
  <si>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</si>
  <si>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</si>
  <si>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</si>
  <si>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</si>
  <si>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</si>
  <si>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</si>
  <si>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</si>
  <si>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</si>
  <si>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</si>
  <si>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</si>
  <si>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</si>
  <si>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</si>
  <si>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</si>
  <si>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</si>
  <si>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</si>
  <si>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</si>
  <si>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</si>
  <si>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</si>
  <si>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</si>
  <si>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</si>
  <si>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</si>
  <si>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</si>
  <si>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</si>
  <si>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</si>
  <si>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</si>
  <si>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</si>
  <si>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</si>
  <si>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</si>
  <si>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</si>
  <si>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</si>
  <si>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</si>
  <si>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</si>
  <si>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</si>
  <si>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</si>
  <si>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</si>
  <si>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</si>
  <si>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</si>
  <si>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</si>
  <si>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</si>
  <si>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</si>
  <si>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</si>
  <si>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</si>
  <si>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</si>
  <si>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</si>
  <si>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</si>
  <si>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</si>
  <si>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</si>
  <si>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</si>
  <si>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</si>
  <si>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</si>
  <si>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</si>
  <si>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</si>
  <si>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</si>
  <si>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</si>
  <si>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</si>
  <si>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</si>
  <si>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</si>
  <si>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</si>
  <si>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</si>
  <si>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</si>
  <si>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</si>
  <si>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</si>
  <si>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</si>
  <si>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</si>
  <si>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</si>
  <si>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</si>
  <si>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</si>
  <si>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</si>
  <si>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</si>
  <si>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</si>
  <si>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</si>
  <si>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</si>
  <si>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</si>
  <si>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</si>
  <si>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</si>
  <si>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</si>
  <si>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</si>
  <si>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</si>
  <si>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</si>
  <si>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</si>
  <si>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</si>
  <si>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</si>
  <si>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</si>
  <si>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</si>
  <si>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</si>
  <si>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</si>
  <si>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</si>
  <si>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</si>
  <si>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</si>
  <si>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</si>
  <si>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</si>
  <si>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</si>
  <si>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</si>
  <si>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</si>
  <si>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</si>
  <si>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</si>
  <si>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</si>
  <si>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</si>
  <si>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</si>
  <si>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</si>
  <si>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</si>
  <si>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</si>
  <si>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</si>
  <si>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</si>
  <si>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</si>
  <si>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</si>
  <si>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</si>
  <si>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</si>
  <si>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</si>
  <si>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</si>
  <si>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</si>
  <si>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</si>
  <si>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</si>
  <si>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</si>
  <si>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</si>
  <si>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</si>
  <si>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</si>
  <si>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</si>
  <si>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</si>
  <si>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</si>
  <si>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</si>
  <si>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</si>
  <si>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</si>
  <si>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</si>
  <si>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</si>
  <si>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</si>
  <si>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</si>
  <si>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</si>
  <si>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</si>
  <si>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</si>
  <si>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</si>
  <si>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</si>
  <si>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</si>
  <si>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</si>
  <si>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</si>
  <si>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</si>
  <si>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</si>
  <si>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</si>
  <si>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</si>
  <si>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</si>
  <si>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</si>
  <si>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</si>
  <si>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</si>
  <si>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</si>
  <si>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</si>
  <si>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</si>
  <si>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</si>
  <si>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</si>
  <si>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</si>
  <si>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</si>
  <si>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</si>
  <si>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</si>
  <si>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</si>
  <si>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</si>
  <si>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</si>
  <si>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</si>
  <si>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</si>
  <si>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</si>
  <si>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</si>
  <si>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</si>
  <si>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</si>
  <si>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</si>
  <si>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</si>
  <si>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</si>
  <si>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</si>
  <si>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</si>
  <si>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</si>
  <si>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</si>
  <si>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</si>
  <si>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</si>
  <si>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</si>
  <si>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</si>
  <si>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</si>
  <si>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</si>
  <si>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</si>
  <si>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</si>
  <si>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</si>
  <si>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</si>
  <si>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</si>
  <si>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</si>
  <si>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</si>
  <si>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</si>
  <si>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</si>
  <si>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</si>
  <si>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</si>
  <si>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</si>
  <si>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</si>
  <si>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</si>
  <si>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</si>
  <si>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</si>
  <si>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</si>
  <si>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</si>
  <si>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</si>
  <si>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</si>
  <si>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</si>
  <si>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</si>
  <si>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</si>
  <si>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</si>
  <si>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</si>
  <si>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</si>
  <si>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</si>
  <si>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</si>
  <si>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</si>
  <si>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</si>
  <si>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</si>
  <si>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</si>
  <si>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</si>
  <si>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</si>
  <si>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</si>
  <si>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</si>
  <si>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</si>
  <si>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</si>
  <si>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</si>
  <si>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</si>
  <si>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</si>
  <si>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</si>
  <si>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</si>
  <si>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</si>
  <si>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</si>
  <si>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</si>
  <si>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</si>
  <si>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</si>
  <si>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</si>
  <si>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</si>
  <si>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</si>
  <si>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</si>
  <si>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</si>
  <si>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</si>
  <si>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</si>
  <si>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</si>
  <si>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</si>
  <si>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</si>
  <si>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</si>
  <si>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</si>
  <si>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</si>
  <si>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</si>
  <si>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</si>
  <si>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</si>
  <si>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</si>
  <si>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</si>
  <si>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</si>
  <si>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</si>
  <si>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</si>
  <si>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</si>
  <si>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</si>
  <si>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</si>
  <si>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</si>
  <si>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</si>
  <si>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</si>
  <si>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</si>
  <si>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</si>
  <si>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</si>
  <si>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</si>
  <si>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</si>
  <si>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</si>
  <si>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</si>
  <si>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</si>
  <si>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</si>
  <si>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</si>
  <si>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</si>
  <si>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</si>
  <si>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</si>
  <si>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</si>
  <si>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</si>
  <si>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</si>
  <si>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</si>
  <si>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</si>
  <si>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</si>
  <si>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</si>
  <si>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</si>
  <si>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</si>
  <si>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</si>
  <si>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</si>
  <si>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</si>
  <si>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</si>
  <si>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</si>
  <si>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</si>
  <si>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</si>
  <si>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</si>
  <si>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</si>
  <si>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</si>
  <si>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</si>
  <si>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</si>
  <si>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</si>
  <si>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</si>
  <si>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</si>
  <si>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</si>
  <si>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</si>
  <si>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</si>
  <si>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</si>
  <si>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</si>
  <si>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</si>
  <si>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</si>
  <si>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</si>
  <si>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</si>
  <si>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</si>
  <si>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</si>
  <si>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</si>
  <si>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</si>
  <si>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</si>
  <si>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</si>
  <si>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</si>
  <si>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</si>
  <si>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</si>
  <si>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</si>
  <si>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</si>
  <si>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</si>
  <si>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</si>
  <si>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</si>
  <si>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</si>
  <si>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</si>
  <si>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</si>
  <si>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</si>
  <si>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</si>
  <si>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</si>
  <si>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</si>
  <si>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</si>
  <si>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</si>
  <si>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</si>
  <si>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</si>
  <si>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</si>
  <si>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</si>
  <si>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</si>
  <si>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</si>
  <si>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</si>
  <si>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</si>
  <si>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</si>
  <si>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</si>
  <si>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</si>
  <si>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</si>
  <si>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</si>
  <si>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</si>
  <si>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</si>
  <si>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</si>
  <si>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</si>
  <si>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</si>
  <si>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</si>
  <si>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</si>
  <si>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</si>
  <si>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</si>
  <si>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</si>
  <si>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</si>
  <si>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</si>
  <si>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</si>
  <si>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</si>
  <si>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</si>
  <si>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</si>
  <si>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</si>
  <si>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</si>
  <si>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</si>
  <si>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</si>
  <si>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</si>
  <si>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</si>
  <si>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</si>
  <si>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</si>
  <si>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</si>
  <si>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</si>
  <si>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</si>
  <si>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</si>
  <si>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</si>
  <si>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</si>
  <si>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</si>
  <si>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</si>
  <si>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</si>
  <si>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</si>
  <si>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</si>
  <si>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</si>
  <si>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</si>
  <si>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</si>
  <si>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</si>
  <si>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</si>
  <si>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</si>
  <si>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</si>
  <si>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</si>
  <si>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</si>
  <si>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</si>
  <si>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</si>
  <si>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</si>
  <si>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</si>
  <si>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</si>
  <si>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</si>
  <si>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</si>
  <si>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</si>
  <si>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</si>
  <si>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</si>
  <si>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</si>
  <si>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</si>
  <si>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</si>
  <si>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</si>
  <si>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</si>
  <si>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</si>
  <si>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</si>
  <si>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</si>
  <si>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</si>
  <si>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</si>
  <si>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</si>
  <si>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</si>
  <si>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</si>
  <si>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</si>
  <si>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</si>
  <si>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</si>
  <si>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</si>
  <si>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</si>
  <si>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</si>
  <si>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</si>
  <si>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</si>
  <si>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</si>
  <si>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</si>
  <si>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</si>
  <si>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</si>
  <si>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</si>
  <si>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</si>
  <si>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</si>
  <si>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</si>
  <si>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</si>
  <si>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</si>
  <si>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</si>
  <si>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</si>
  <si>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</si>
  <si>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</si>
  <si>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</si>
  <si>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</si>
  <si>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</si>
  <si>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</si>
  <si>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</si>
  <si>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</si>
  <si>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</si>
  <si>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</si>
  <si>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</si>
  <si>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</si>
  <si>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</si>
  <si>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</si>
  <si>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</si>
  <si>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</si>
  <si>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</si>
  <si>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</si>
  <si>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</si>
  <si>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</si>
  <si>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</si>
  <si>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</si>
  <si>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</si>
  <si>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</si>
  <si>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</si>
  <si>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</si>
  <si>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</si>
  <si>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</si>
  <si>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</si>
  <si>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</si>
  <si>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</si>
  <si>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</si>
  <si>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</si>
  <si>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</si>
  <si>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</si>
  <si>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</si>
  <si>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</si>
  <si>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</si>
  <si>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</si>
  <si>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</si>
  <si>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</si>
  <si>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</si>
  <si>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</si>
  <si>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</si>
  <si>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</si>
  <si>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</si>
  <si>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</si>
  <si>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</si>
  <si>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</si>
  <si>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</si>
  <si>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</si>
  <si>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</si>
  <si>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</si>
  <si>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</si>
  <si>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</si>
  <si>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</si>
  <si>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</si>
  <si>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</si>
  <si>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</si>
  <si>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</si>
  <si>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</si>
  <si>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</si>
  <si>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</si>
  <si>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</si>
  <si>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</si>
  <si>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</si>
  <si>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</si>
  <si>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</si>
  <si>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</si>
  <si>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</si>
  <si>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</si>
  <si>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</si>
  <si>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</si>
  <si>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</si>
  <si>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</si>
  <si>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</si>
  <si>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</si>
  <si>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</si>
  <si>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</si>
  <si>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</si>
  <si>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</si>
  <si>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</si>
  <si>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</si>
  <si>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</si>
  <si>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</si>
  <si>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</si>
  <si>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</si>
  <si>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</si>
  <si>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</si>
  <si>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</si>
  <si>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</si>
  <si>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</si>
  <si>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</si>
  <si>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</si>
  <si>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</si>
  <si>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</si>
  <si>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</si>
  <si>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</si>
  <si>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</si>
  <si>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</si>
  <si>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</si>
  <si>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</si>
  <si>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</si>
  <si>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</si>
  <si>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</si>
  <si>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</si>
  <si>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</si>
  <si>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</si>
  <si>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</si>
  <si>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</si>
  <si>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</si>
  <si>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</si>
  <si>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</si>
  <si>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</si>
  <si>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</si>
  <si>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</si>
  <si>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</si>
  <si>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</si>
  <si>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</si>
  <si>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</si>
  <si>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</si>
  <si>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</si>
  <si>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</si>
  <si>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</si>
  <si>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</si>
  <si>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</si>
  <si>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</si>
  <si>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</si>
  <si>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</si>
  <si>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</si>
  <si>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</si>
  <si>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</si>
  <si>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</si>
  <si>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</si>
  <si>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</si>
  <si>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</si>
  <si>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</si>
  <si>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</si>
  <si>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</si>
  <si>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</si>
  <si>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</si>
  <si>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</si>
  <si>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</si>
  <si>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</si>
  <si>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</si>
  <si>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</si>
  <si>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</si>
  <si>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</si>
  <si>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</si>
  <si>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</si>
  <si>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</si>
  <si>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</si>
  <si>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</si>
  <si>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</si>
  <si>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</si>
  <si>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</si>
  <si>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</si>
  <si>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</si>
  <si>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</si>
  <si>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</si>
  <si>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</si>
  <si>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</si>
  <si>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</si>
  <si>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</si>
  <si>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</si>
  <si>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</si>
  <si>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</si>
  <si>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</si>
  <si>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</si>
  <si>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</si>
  <si>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</si>
  <si>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</si>
  <si>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</si>
  <si>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</si>
  <si>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</si>
  <si>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</si>
  <si>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</si>
  <si>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</si>
  <si>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</si>
  <si>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</si>
  <si>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</si>
  <si>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</si>
  <si>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</si>
  <si>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</si>
  <si>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</si>
  <si>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</si>
  <si>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</si>
  <si>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</si>
  <si>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</si>
  <si>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</si>
  <si>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</si>
  <si>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</si>
  <si>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</si>
  <si>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</si>
  <si>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</si>
  <si>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</si>
  <si>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</si>
  <si>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</si>
  <si>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</si>
  <si>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</si>
  <si>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</si>
  <si>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</si>
  <si>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</si>
  <si>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</si>
  <si>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</si>
  <si>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</si>
  <si>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</si>
  <si>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</si>
  <si>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</si>
  <si>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</si>
  <si>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</si>
  <si>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</si>
  <si>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</si>
  <si>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</si>
  <si>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</si>
  <si>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</si>
  <si>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</si>
  <si>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</si>
  <si>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</si>
  <si>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</si>
  <si>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</si>
  <si>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</si>
  <si>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</si>
  <si>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</si>
  <si>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</si>
  <si>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</si>
  <si>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</si>
  <si>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</si>
  <si>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</si>
  <si>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</si>
  <si>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</si>
  <si>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</si>
  <si>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</si>
  <si>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</si>
  <si>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</si>
  <si>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</si>
  <si>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</si>
  <si>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</si>
  <si>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</si>
  <si>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</si>
  <si>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</si>
  <si>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</si>
  <si>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</si>
  <si>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</si>
  <si>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</si>
  <si>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</si>
  <si>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</si>
  <si>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</si>
  <si>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</si>
  <si>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</si>
  <si>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</si>
  <si>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</si>
  <si>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</si>
  <si>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</si>
  <si>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</si>
  <si>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</si>
  <si>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</si>
  <si>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</si>
  <si>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</si>
  <si>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</si>
  <si>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</si>
  <si>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</si>
  <si>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</si>
  <si>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</si>
  <si>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</si>
  <si>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</si>
  <si>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</si>
  <si>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</si>
  <si>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</si>
  <si>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</si>
  <si>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</si>
  <si>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</si>
  <si>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</si>
  <si>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</si>
  <si>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</si>
  <si>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</si>
  <si>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</si>
  <si>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</si>
  <si>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</si>
  <si>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</si>
  <si>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</si>
  <si>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</si>
  <si>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</si>
  <si>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</si>
  <si>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</si>
  <si>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</si>
  <si>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</si>
  <si>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</si>
  <si>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</si>
  <si>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</si>
  <si>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</si>
  <si>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</si>
  <si>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</si>
  <si>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</si>
  <si>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</si>
  <si>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</si>
  <si>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</si>
  <si>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</si>
  <si>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</si>
  <si>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</si>
  <si>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</si>
  <si>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</si>
  <si>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</si>
  <si>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</si>
  <si>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</si>
  <si>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</si>
  <si>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</si>
  <si>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</si>
  <si>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</si>
  <si>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</si>
  <si>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</si>
  <si>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</si>
  <si>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</si>
  <si>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</si>
  <si>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</si>
  <si>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</si>
  <si>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</si>
  <si>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</si>
  <si>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</si>
  <si>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</si>
  <si>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</si>
  <si>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</si>
  <si>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</si>
  <si>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</si>
  <si>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</si>
  <si>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</si>
  <si>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</si>
  <si>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</si>
  <si>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</si>
  <si>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</si>
  <si>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</si>
  <si>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</si>
  <si>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</si>
  <si>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</si>
  <si>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</si>
  <si>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</si>
  <si>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r>
      <t xml:space="preserve">Para tornilos de acuerdo con </t>
    </r>
    <r>
      <rPr>
        <b/>
        <sz val="10"/>
        <rFont val="Arial"/>
        <family val="2"/>
      </rPr>
      <t>SAE J429</t>
    </r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</si>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</sst>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FC186BF7-28EA-4796-886C-5EC42C2470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4BE56CFC-8B8C-465F-8FA1-931BE387E0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EC187F39-D942-4CC5-A807-8C17974D79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5071C5-3540-4FE0-A83D-867368F1C6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0D14F6-5A90-4A0A-9C52-4FF0438DF1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965AD5-DCE0-4427-9D65-6B641E955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CE3C4D7-BB93-44E8-B1F2-1A185A9A6424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D080A00A-87A1-454D-9D8D-EAE2B5655F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758B0DD-E6BA-462C-A0A9-450D3633FFBA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7B4450C7-BA47-475C-AA2B-3C1A260A8B59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FE1F3C8B-E0C4-4514-8C7B-4A2C955F1B37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=""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=""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=""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=""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=""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=""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=""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83236" y="28026063"/>
          <a:ext cx="5394960" cy="2733799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=""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=""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=""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=""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=""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0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=""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=""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=""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=""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=""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=""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=""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=""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=""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=""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=""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=""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647606"/>
          <a:ext cx="5896622" cy="3729869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=""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=""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=""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=""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=""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=""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=""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=""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=""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=""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=""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=""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=""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=""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=""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=""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63783" y="3391989"/>
          <a:ext cx="500743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=""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=""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=""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=""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=""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402911" y="3244423"/>
          <a:ext cx="5678340" cy="3205122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=""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=""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=""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=""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=""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=""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=""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=""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=""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=""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=""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=""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=""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=""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=""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=""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=""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=""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6"/>
  <sheetViews>
    <sheetView tabSelected="1" topLeftCell="A174" zoomScale="77" zoomScaleNormal="85" workbookViewId="0">
      <selection activeCell="J183" sqref="J183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1192</v>
      </c>
      <c r="J11" s="789" t="s">
        <v>1193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1113</v>
      </c>
      <c r="S22" s="789" t="s">
        <v>1114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1088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1087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1086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1085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1113</v>
      </c>
      <c r="S37" s="789" t="s">
        <v>1114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5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5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1076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1079</v>
      </c>
    </row>
    <row r="58" spans="2:24">
      <c r="L58" s="415" t="s">
        <v>1050</v>
      </c>
      <c r="N58">
        <f>PI()*M60^2*(1/4)</f>
        <v>966.51600642514586</v>
      </c>
      <c r="O58" s="415" t="s">
        <v>1075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1080</v>
      </c>
      <c r="U59" t="s">
        <v>1068</v>
      </c>
    </row>
    <row r="60" spans="2:24" ht="13.5" thickBot="1">
      <c r="L60" s="8" t="s">
        <v>1074</v>
      </c>
      <c r="M60">
        <f>M59-M61*2</f>
        <v>35.080000000000005</v>
      </c>
      <c r="N60" s="8" t="s">
        <v>2</v>
      </c>
      <c r="O60" s="8" t="s">
        <v>1074</v>
      </c>
      <c r="P60">
        <f>+P59-P61*2</f>
        <v>31.080000000000005</v>
      </c>
      <c r="Q60" s="8" t="s">
        <v>2</v>
      </c>
    </row>
    <row r="61" spans="2:24" ht="13.5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1071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1070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1072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1073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1123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1069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75">
      <c r="B72">
        <v>3</v>
      </c>
      <c r="C72">
        <v>151</v>
      </c>
      <c r="L72" s="771" t="s">
        <v>1056</v>
      </c>
      <c r="M72" s="10">
        <f>2*((M61*M65)/(M59*M62))</f>
        <v>8.0985781990521328</v>
      </c>
      <c r="N72" s="8" t="s">
        <v>87</v>
      </c>
      <c r="O72" s="771" t="s">
        <v>1056</v>
      </c>
      <c r="P72" s="10">
        <f>2*((M61*P65)/(M59*M62))</f>
        <v>4.8591469194312795</v>
      </c>
      <c r="Q72" s="8" t="s">
        <v>87</v>
      </c>
    </row>
    <row r="73" spans="2:24" ht="15.7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7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1077</v>
      </c>
    </row>
    <row r="85" spans="2:16">
      <c r="L85" s="8" t="s">
        <v>1078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1081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1167</v>
      </c>
      <c r="F93" s="789" t="s">
        <v>1168</v>
      </c>
      <c r="L93" s="8" t="s">
        <v>1083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1084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1082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1127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1075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1080</v>
      </c>
      <c r="U101" t="s">
        <v>1068</v>
      </c>
    </row>
    <row r="102" spans="2:24" ht="13.5" thickBot="1">
      <c r="L102" s="8" t="s">
        <v>1074</v>
      </c>
      <c r="M102">
        <f>M101-M103*2</f>
        <v>35.08</v>
      </c>
      <c r="N102" s="8" t="s">
        <v>2</v>
      </c>
      <c r="O102" s="8" t="s">
        <v>1074</v>
      </c>
      <c r="P102">
        <f>+P101-P103*2</f>
        <v>31.08</v>
      </c>
      <c r="Q102" s="8" t="s">
        <v>2</v>
      </c>
    </row>
    <row r="103" spans="2:24" ht="13.5" thickBot="1">
      <c r="B103" s="789" t="s">
        <v>53</v>
      </c>
      <c r="C103" s="789" t="s">
        <v>90</v>
      </c>
      <c r="D103" s="789" t="s">
        <v>1169</v>
      </c>
      <c r="E103" s="789" t="s">
        <v>1170</v>
      </c>
      <c r="G103" s="789" t="s">
        <v>1171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1172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1071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1070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1072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1073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1069</v>
      </c>
      <c r="P112" s="737"/>
      <c r="Q112" s="738"/>
    </row>
    <row r="113" spans="12:17">
      <c r="L113" s="415"/>
      <c r="P113" s="737"/>
      <c r="Q113" s="738"/>
    </row>
    <row r="114" spans="12:17" ht="15.7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7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7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1128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1077</v>
      </c>
    </row>
    <row r="127" spans="12:17">
      <c r="L127" s="8" t="s">
        <v>1078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5:17">
      <c r="L129" s="722" t="s">
        <v>964</v>
      </c>
      <c r="M129">
        <v>415</v>
      </c>
      <c r="N129" s="8" t="s">
        <v>87</v>
      </c>
    </row>
    <row r="130" spans="5:17">
      <c r="L130" s="2" t="s">
        <v>965</v>
      </c>
      <c r="M130">
        <v>200000</v>
      </c>
      <c r="N130" s="8" t="s">
        <v>87</v>
      </c>
    </row>
    <row r="131" spans="5:17">
      <c r="L131" s="725" t="s">
        <v>968</v>
      </c>
      <c r="M131">
        <v>0.28999999999999998</v>
      </c>
    </row>
    <row r="132" spans="5:17">
      <c r="J132" t="s">
        <v>1174</v>
      </c>
    </row>
    <row r="133" spans="5:17">
      <c r="L133" s="415" t="s">
        <v>1081</v>
      </c>
    </row>
    <row r="134" spans="5:17">
      <c r="L134" s="8" t="s">
        <v>213</v>
      </c>
      <c r="M134">
        <v>0.23699999999999999</v>
      </c>
      <c r="N134" s="8" t="s">
        <v>802</v>
      </c>
    </row>
    <row r="135" spans="5:17">
      <c r="L135" s="8" t="s">
        <v>1083</v>
      </c>
      <c r="M135">
        <f>M134*((PI()/4)*((M101/1000)^2-(M102/1000)^2))</f>
        <v>3.9720949140422398E-5</v>
      </c>
      <c r="N135" s="8" t="s">
        <v>1041</v>
      </c>
    </row>
    <row r="136" spans="5:17">
      <c r="L136" s="8" t="s">
        <v>1084</v>
      </c>
      <c r="M136">
        <v>7850</v>
      </c>
      <c r="N136" s="8" t="s">
        <v>805</v>
      </c>
      <c r="P136" s="8"/>
    </row>
    <row r="137" spans="5:17">
      <c r="L137" s="8" t="s">
        <v>1082</v>
      </c>
      <c r="M137">
        <f>M136*M135</f>
        <v>0.31180945075231581</v>
      </c>
      <c r="N137" s="8" t="s">
        <v>104</v>
      </c>
    </row>
    <row r="139" spans="5:17">
      <c r="E139" t="s">
        <v>1173</v>
      </c>
    </row>
    <row r="141" spans="5:17">
      <c r="Q141" s="415"/>
    </row>
    <row r="145" spans="2:23">
      <c r="L145" s="789" t="s">
        <v>1209</v>
      </c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1065</v>
      </c>
      <c r="S145" t="s">
        <v>1062</v>
      </c>
      <c r="T145" t="s">
        <v>1067</v>
      </c>
      <c r="U145" t="s">
        <v>1063</v>
      </c>
      <c r="V145" t="s">
        <v>1064</v>
      </c>
      <c r="W145" s="789" t="s">
        <v>1208</v>
      </c>
    </row>
    <row r="146" spans="2:23">
      <c r="L146" s="789" t="s">
        <v>1204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1206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1203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1207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1205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1059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1066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1217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>
      <c r="B158" s="8" t="s">
        <v>688</v>
      </c>
      <c r="M158" s="151" t="s">
        <v>142</v>
      </c>
      <c r="N158" t="s">
        <v>1030</v>
      </c>
    </row>
    <row r="159" spans="2:23">
      <c r="B159" s="8" t="s">
        <v>689</v>
      </c>
      <c r="M159" t="s">
        <v>1024</v>
      </c>
      <c r="N159" t="s">
        <v>1025</v>
      </c>
      <c r="O159" t="s">
        <v>6</v>
      </c>
      <c r="P159" t="s">
        <v>45</v>
      </c>
    </row>
    <row r="160" spans="2:23">
      <c r="M160" s="39" t="s">
        <v>1026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1027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690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1028</v>
      </c>
      <c r="N163">
        <v>7.82</v>
      </c>
      <c r="O163">
        <f>26.7</f>
        <v>26.7</v>
      </c>
      <c r="P163">
        <f>O163-2*N163</f>
        <v>11.059999999999999</v>
      </c>
    </row>
    <row r="165" spans="2:19" ht="13.5" thickBot="1">
      <c r="B165" s="8" t="s">
        <v>691</v>
      </c>
      <c r="M165" t="s">
        <v>1024</v>
      </c>
      <c r="N165" t="s">
        <v>1025</v>
      </c>
      <c r="O165" t="s">
        <v>6</v>
      </c>
      <c r="P165" t="s">
        <v>45</v>
      </c>
      <c r="Q165" s="789" t="s">
        <v>1126</v>
      </c>
      <c r="R165" s="789"/>
    </row>
    <row r="166" spans="2:19" ht="13.5" thickBot="1">
      <c r="M166" s="757" t="s">
        <v>1026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.5" thickBot="1">
      <c r="M167" s="39" t="s">
        <v>1027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.5" thickBot="1">
      <c r="B168" s="8" t="s">
        <v>692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1210</v>
      </c>
    </row>
    <row r="173" spans="2:19">
      <c r="S173" s="789" t="s">
        <v>1211</v>
      </c>
    </row>
    <row r="174" spans="2:19">
      <c r="S174">
        <v>12</v>
      </c>
    </row>
    <row r="175" spans="2:19">
      <c r="S175">
        <v>14</v>
      </c>
    </row>
    <row r="179" spans="2:5">
      <c r="B179" t="s">
        <v>941</v>
      </c>
    </row>
    <row r="180" spans="2:5">
      <c r="B180" s="765" t="s">
        <v>142</v>
      </c>
      <c r="C180" s="143" t="s">
        <v>937</v>
      </c>
    </row>
    <row r="181" spans="2:5">
      <c r="B181" s="765" t="s">
        <v>139</v>
      </c>
      <c r="C181" s="143" t="s">
        <v>938</v>
      </c>
    </row>
    <row r="182" spans="2:5">
      <c r="B182" s="765" t="s">
        <v>140</v>
      </c>
      <c r="C182" s="143" t="s">
        <v>939</v>
      </c>
    </row>
    <row r="183" spans="2:5">
      <c r="B183" s="765" t="s">
        <v>141</v>
      </c>
      <c r="C183" s="143" t="s">
        <v>940</v>
      </c>
    </row>
    <row r="184" spans="2:5">
      <c r="B184" s="765" t="s">
        <v>769</v>
      </c>
      <c r="C184" s="143" t="s">
        <v>942</v>
      </c>
    </row>
    <row r="185" spans="2:5">
      <c r="B185" s="795" t="s">
        <v>772</v>
      </c>
      <c r="C185" s="143" t="s">
        <v>1225</v>
      </c>
    </row>
    <row r="186" spans="2:5">
      <c r="B186" s="795" t="s">
        <v>775</v>
      </c>
      <c r="C186" s="143" t="s">
        <v>1226</v>
      </c>
    </row>
    <row r="188" spans="2:5">
      <c r="B188" s="796" t="s">
        <v>1194</v>
      </c>
    </row>
    <row r="189" spans="2:5">
      <c r="B189" s="795" t="s">
        <v>142</v>
      </c>
      <c r="C189" s="143" t="s">
        <v>1195</v>
      </c>
    </row>
    <row r="190" spans="2:5">
      <c r="B190" s="795" t="s">
        <v>139</v>
      </c>
      <c r="C190" s="143" t="s">
        <v>1196</v>
      </c>
      <c r="E190" s="789" t="s">
        <v>1202</v>
      </c>
    </row>
    <row r="191" spans="2:5">
      <c r="B191" s="795" t="s">
        <v>1199</v>
      </c>
      <c r="C191" s="143" t="s">
        <v>1200</v>
      </c>
    </row>
    <row r="192" spans="2:5">
      <c r="B192" s="795" t="s">
        <v>141</v>
      </c>
      <c r="C192" s="143" t="s">
        <v>1201</v>
      </c>
    </row>
    <row r="194" spans="2:18">
      <c r="B194" s="796" t="s">
        <v>1197</v>
      </c>
    </row>
    <row r="195" spans="2:18">
      <c r="B195" s="795" t="s">
        <v>142</v>
      </c>
      <c r="C195" s="143" t="s">
        <v>1198</v>
      </c>
    </row>
    <row r="197" spans="2:18">
      <c r="B197" t="s">
        <v>1212</v>
      </c>
    </row>
    <row r="198" spans="2:18">
      <c r="B198" t="s">
        <v>142</v>
      </c>
      <c r="C198" s="143" t="s">
        <v>1213</v>
      </c>
    </row>
    <row r="200" spans="2:18">
      <c r="B200" s="789" t="s">
        <v>1214</v>
      </c>
    </row>
    <row r="201" spans="2:18">
      <c r="B201" s="789" t="s">
        <v>142</v>
      </c>
      <c r="C201" s="143" t="s">
        <v>1215</v>
      </c>
    </row>
    <row r="202" spans="2:18">
      <c r="B202" s="789" t="s">
        <v>139</v>
      </c>
      <c r="C202" s="789" t="s">
        <v>1218</v>
      </c>
      <c r="N202" t="s">
        <v>1031</v>
      </c>
      <c r="Q202" t="s">
        <v>1032</v>
      </c>
    </row>
    <row r="203" spans="2:18">
      <c r="M203" t="s">
        <v>1024</v>
      </c>
      <c r="N203" t="s">
        <v>1025</v>
      </c>
      <c r="O203" t="s">
        <v>6</v>
      </c>
      <c r="P203" t="s">
        <v>45</v>
      </c>
      <c r="Q203" t="s">
        <v>6</v>
      </c>
      <c r="R203" t="s">
        <v>1033</v>
      </c>
    </row>
    <row r="204" spans="2:18" ht="13.5" thickBot="1">
      <c r="M204" s="39" t="s">
        <v>1026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.5" thickBot="1">
      <c r="M205" s="757" t="s">
        <v>1027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>
    <sortState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/>
    <hyperlink ref="C181" r:id="rId2" display="https://tuboreymonterrey.com.mx/"/>
    <hyperlink ref="C182" r:id="rId3" display="https://www.tubosmonterrey.com/"/>
    <hyperlink ref="C183" r:id="rId4" display="https://aluminext.mx/"/>
    <hyperlink ref="C184" r:id="rId5" display="https://tubosdeacero.mx/index.html"/>
    <hyperlink ref="C189" r:id="rId6" location="servicios"/>
    <hyperlink ref="C190" r:id="rId7"/>
    <hyperlink ref="C195" r:id="rId8"/>
    <hyperlink ref="C191" r:id="rId9"/>
    <hyperlink ref="C192" r:id="rId10"/>
    <hyperlink ref="C198" r:id="rId11"/>
    <hyperlink ref="C201" r:id="rId12"/>
    <hyperlink ref="C185" r:id="rId13"/>
    <hyperlink ref="C186" r:id="rId14"/>
  </hyperlinks>
  <pageMargins left="0.7" right="0.7" top="0.75" bottom="0.75" header="0.3" footer="0.3"/>
  <pageSetup orientation="portrait" r:id="rId15"/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D43" sqref="D4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1089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40625" defaultRowHeight="12.75"/>
  <cols>
    <col min="1" max="1" width="2.85546875" style="572" customWidth="1"/>
    <col min="2" max="2" width="21.42578125" style="572" customWidth="1"/>
    <col min="3" max="3" width="15.7109375" style="582" customWidth="1"/>
    <col min="4" max="4" width="10.7109375" style="582" bestFit="1" customWidth="1"/>
    <col min="5" max="7" width="9.7109375" style="572" bestFit="1" customWidth="1"/>
    <col min="8" max="8" width="9.85546875" style="710" bestFit="1" customWidth="1"/>
    <col min="9" max="12" width="9.7109375" style="572" bestFit="1" customWidth="1"/>
    <col min="13" max="13" width="9.140625" style="572"/>
    <col min="14" max="14" width="16.7109375" style="572" customWidth="1"/>
    <col min="15" max="15" width="9.140625" style="572"/>
    <col min="16" max="20" width="9.7109375" style="572" bestFit="1" customWidth="1"/>
    <col min="21" max="16384" width="9.14062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9" t="s">
        <v>796</v>
      </c>
      <c r="D4" s="800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1079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7" t="s">
        <v>796</v>
      </c>
      <c r="D19" s="798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1122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9" t="s">
        <v>796</v>
      </c>
      <c r="D34" s="800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1124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E49" zoomScaleNormal="100" workbookViewId="0">
      <selection activeCell="O84" sqref="O84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5">
      <c r="B1"/>
    </row>
    <row r="2" spans="2:5">
      <c r="B2" s="720" t="s">
        <v>1093</v>
      </c>
    </row>
    <row r="3" spans="2:5">
      <c r="B3" s="789" t="s">
        <v>1090</v>
      </c>
      <c r="C3" s="10">
        <f>dc</f>
        <v>31.08</v>
      </c>
      <c r="D3" s="789" t="s">
        <v>2</v>
      </c>
    </row>
    <row r="4" spans="2:5">
      <c r="B4" s="789" t="s">
        <v>1091</v>
      </c>
      <c r="C4" s="10">
        <f>dto</f>
        <v>10.171462348013772</v>
      </c>
      <c r="D4" s="789" t="s">
        <v>2</v>
      </c>
    </row>
    <row r="5" spans="2:5">
      <c r="B5" s="789" t="s">
        <v>1092</v>
      </c>
      <c r="C5" s="10">
        <f>'Nozzle Design'!C11</f>
        <v>21.576930002592544</v>
      </c>
      <c r="D5" s="789" t="s">
        <v>2</v>
      </c>
    </row>
    <row r="6" spans="2:5">
      <c r="B6" s="789" t="s">
        <v>1094</v>
      </c>
      <c r="C6" s="4">
        <f>etac*tothe</f>
        <v>1634</v>
      </c>
      <c r="D6" s="789" t="s">
        <v>73</v>
      </c>
    </row>
    <row r="7" spans="2:5">
      <c r="B7" s="789" t="s">
        <v>1094</v>
      </c>
      <c r="C7">
        <f>CONVERT(C6,"K","C")</f>
        <v>1360.85</v>
      </c>
      <c r="D7" s="789" t="s">
        <v>66</v>
      </c>
    </row>
    <row r="8" spans="2:5">
      <c r="B8" s="789" t="s">
        <v>1095</v>
      </c>
      <c r="C8" s="10">
        <f>pmax</f>
        <v>4.9969130252874665</v>
      </c>
      <c r="D8" s="789" t="s">
        <v>87</v>
      </c>
    </row>
    <row r="9" spans="2:5">
      <c r="B9" s="789" t="s">
        <v>1096</v>
      </c>
    </row>
    <row r="10" spans="2:5">
      <c r="B10" s="789" t="s">
        <v>1097</v>
      </c>
      <c r="E10" s="10">
        <f>C5/2</f>
        <v>10.788465001296272</v>
      </c>
    </row>
    <row r="11" spans="2:5">
      <c r="B11" s="789" t="s">
        <v>1098</v>
      </c>
    </row>
    <row r="12" spans="2:5">
      <c r="B12" s="789" t="s">
        <v>1103</v>
      </c>
      <c r="C12">
        <f>k2ph</f>
        <v>1.133</v>
      </c>
    </row>
    <row r="13" spans="2:5">
      <c r="B13" s="789" t="s">
        <v>1104</v>
      </c>
      <c r="C13" s="10">
        <f>mef</f>
        <v>2.5992897854448858</v>
      </c>
      <c r="D13" s="789" t="s">
        <v>64</v>
      </c>
    </row>
    <row r="14" spans="2:5">
      <c r="B14" s="789" t="s">
        <v>1106</v>
      </c>
      <c r="C14" s="10">
        <f>(C4-C3)/1</f>
        <v>-20.908537651986226</v>
      </c>
      <c r="D14" s="789"/>
    </row>
    <row r="15" spans="2:5">
      <c r="B15" s="789" t="s">
        <v>1107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1100</v>
      </c>
      <c r="C17" s="790">
        <v>0.05</v>
      </c>
      <c r="O17" s="789" t="s">
        <v>1121</v>
      </c>
      <c r="P17">
        <f>P18+I31</f>
        <v>1436.6299999999999</v>
      </c>
    </row>
    <row r="18" spans="2:19">
      <c r="B18" s="789" t="s">
        <v>1099</v>
      </c>
      <c r="C18" s="789" t="s">
        <v>1101</v>
      </c>
      <c r="D18" s="789" t="s">
        <v>1102</v>
      </c>
      <c r="E18" s="789" t="s">
        <v>1105</v>
      </c>
      <c r="O18" s="789" t="s">
        <v>1117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1115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1116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1110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1108</v>
      </c>
      <c r="H24" s="789" t="s">
        <v>1111</v>
      </c>
      <c r="I24" s="789" t="s">
        <v>1120</v>
      </c>
      <c r="J24" s="789" t="s">
        <v>1125</v>
      </c>
      <c r="K24" s="789" t="s">
        <v>1118</v>
      </c>
      <c r="L24" s="789" t="s">
        <v>1109</v>
      </c>
      <c r="M24" s="789" t="s">
        <v>1119</v>
      </c>
      <c r="N24" s="789" t="s">
        <v>1112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M73"/>
  <sheetViews>
    <sheetView topLeftCell="A28" zoomScale="85" zoomScaleNormal="85" workbookViewId="0">
      <selection activeCell="M49" sqref="M49"/>
    </sheetView>
  </sheetViews>
  <sheetFormatPr defaultColWidth="11.42578125" defaultRowHeight="12.75"/>
  <cols>
    <col min="3" max="5" width="12" bestFit="1" customWidth="1"/>
    <col min="6" max="6" width="12.85546875" customWidth="1"/>
    <col min="9" max="9" width="17.42578125" customWidth="1"/>
  </cols>
  <sheetData>
    <row r="2" spans="2:9">
      <c r="B2" s="720" t="s">
        <v>1129</v>
      </c>
      <c r="F2" t="s">
        <v>1175</v>
      </c>
      <c r="I2" t="s">
        <v>1183</v>
      </c>
    </row>
    <row r="3" spans="2:9">
      <c r="F3" t="s">
        <v>1182</v>
      </c>
      <c r="I3" t="s">
        <v>1184</v>
      </c>
    </row>
    <row r="4" spans="2:9">
      <c r="B4" s="789" t="s">
        <v>1130</v>
      </c>
      <c r="I4" t="s">
        <v>1185</v>
      </c>
    </row>
    <row r="5" spans="2:9">
      <c r="B5" s="789" t="s">
        <v>1131</v>
      </c>
      <c r="H5" t="s">
        <v>1187</v>
      </c>
      <c r="I5" t="s">
        <v>1186</v>
      </c>
    </row>
    <row r="6" spans="2:9">
      <c r="B6" s="789" t="s">
        <v>1132</v>
      </c>
      <c r="C6">
        <f>pmax*((PI()*('First iteration &amp; Mechanical'!M60)^2)/4)</f>
        <v>4829.5964216546363</v>
      </c>
      <c r="D6" s="789" t="s">
        <v>1133</v>
      </c>
      <c r="H6" t="s">
        <v>1189</v>
      </c>
      <c r="I6" t="s">
        <v>1188</v>
      </c>
    </row>
    <row r="7" spans="2:9">
      <c r="B7" s="789" t="s">
        <v>1132</v>
      </c>
      <c r="C7">
        <f>pmax*((PI()*('First iteration &amp; Mechanical'!P60)^2)/4)</f>
        <v>3790.9991926570601</v>
      </c>
      <c r="D7" s="789" t="s">
        <v>1134</v>
      </c>
      <c r="H7" t="s">
        <v>1191</v>
      </c>
      <c r="I7" t="s">
        <v>1190</v>
      </c>
    </row>
    <row r="8" spans="2:9">
      <c r="F8" s="789"/>
    </row>
    <row r="9" spans="2:9">
      <c r="B9" s="789" t="s">
        <v>1135</v>
      </c>
    </row>
    <row r="10" spans="2:9">
      <c r="B10" s="789" t="s">
        <v>1136</v>
      </c>
      <c r="C10">
        <f>fmax</f>
        <v>495.59239714220945</v>
      </c>
    </row>
    <row r="12" spans="2:9">
      <c r="B12" s="789" t="s">
        <v>1137</v>
      </c>
    </row>
    <row r="13" spans="2:9">
      <c r="B13" s="789" t="s">
        <v>1138</v>
      </c>
      <c r="C13">
        <v>1.5</v>
      </c>
    </row>
    <row r="15" spans="2:9">
      <c r="B15" s="789" t="s">
        <v>1139</v>
      </c>
      <c r="G15">
        <f>C37</f>
        <v>4</v>
      </c>
    </row>
    <row r="16" spans="2:9">
      <c r="B16" s="789" t="s">
        <v>1140</v>
      </c>
      <c r="D16" s="789" t="str">
        <f>"M" &amp;C17</f>
        <v>M3</v>
      </c>
    </row>
    <row r="17" spans="2:13">
      <c r="B17" s="789" t="s">
        <v>1157</v>
      </c>
      <c r="C17">
        <v>3</v>
      </c>
      <c r="D17" s="789" t="s">
        <v>2</v>
      </c>
    </row>
    <row r="18" spans="2:13">
      <c r="B18" s="789" t="s">
        <v>1161</v>
      </c>
      <c r="D18" s="789" t="str">
        <f>'First iteration &amp; Mechanical'!L57</f>
        <v>ASTM A53</v>
      </c>
    </row>
    <row r="19" spans="2:13">
      <c r="B19" s="789" t="s">
        <v>842</v>
      </c>
      <c r="C19">
        <f>'First iteration &amp; Mechanical'!M65</f>
        <v>240</v>
      </c>
      <c r="D19" s="789" t="s">
        <v>87</v>
      </c>
    </row>
    <row r="20" spans="2:13">
      <c r="B20" s="789" t="s">
        <v>843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13">
      <c r="B23" s="789" t="s">
        <v>1160</v>
      </c>
      <c r="C23">
        <f>'First iteration &amp; Mechanical'!M61</f>
        <v>3.56</v>
      </c>
      <c r="D23" s="789" t="s">
        <v>2</v>
      </c>
      <c r="I23" s="789" t="s">
        <v>1219</v>
      </c>
    </row>
    <row r="24" spans="2:13">
      <c r="B24" s="789" t="s">
        <v>1141</v>
      </c>
      <c r="D24" s="789" t="str">
        <f>C25 &amp;"."&amp; C26</f>
        <v>10.9</v>
      </c>
      <c r="E24" s="789" t="s">
        <v>713</v>
      </c>
      <c r="F24" s="789" t="s">
        <v>1180</v>
      </c>
      <c r="G24" s="789" t="s">
        <v>1178</v>
      </c>
      <c r="I24" s="789" t="s">
        <v>1220</v>
      </c>
      <c r="J24">
        <v>8</v>
      </c>
    </row>
    <row r="25" spans="2:13">
      <c r="B25" s="789" t="s">
        <v>1176</v>
      </c>
      <c r="C25">
        <v>10</v>
      </c>
      <c r="D25" s="789"/>
      <c r="I25" s="789" t="s">
        <v>842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1177</v>
      </c>
      <c r="C26">
        <v>9</v>
      </c>
      <c r="D26" s="789"/>
      <c r="I26" s="789" t="s">
        <v>843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842</v>
      </c>
      <c r="C27">
        <f>C28*0.9</f>
        <v>900</v>
      </c>
      <c r="D27" s="789" t="s">
        <v>87</v>
      </c>
      <c r="I27" s="789" t="s">
        <v>67</v>
      </c>
      <c r="K27" s="789" t="s">
        <v>844</v>
      </c>
      <c r="M27" s="789" t="s">
        <v>1221</v>
      </c>
    </row>
    <row r="28" spans="2:13">
      <c r="B28" s="789" t="s">
        <v>843</v>
      </c>
      <c r="C28">
        <f>C25*100</f>
        <v>1000</v>
      </c>
      <c r="D28" s="789" t="s">
        <v>87</v>
      </c>
      <c r="I28" s="789" t="s">
        <v>1061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1142</v>
      </c>
      <c r="J29" s="789" t="s">
        <v>1179</v>
      </c>
    </row>
    <row r="30" spans="2:13">
      <c r="B30" s="204" t="s">
        <v>1061</v>
      </c>
      <c r="C30">
        <v>0.28999999999999998</v>
      </c>
      <c r="D30" s="789" t="s">
        <v>64</v>
      </c>
      <c r="I30" s="789" t="s">
        <v>1143</v>
      </c>
      <c r="K30">
        <f>J62</f>
        <v>1.6446591612469941</v>
      </c>
    </row>
    <row r="31" spans="2:13">
      <c r="B31" s="789" t="s">
        <v>1142</v>
      </c>
      <c r="C31" s="789" t="s">
        <v>1179</v>
      </c>
    </row>
    <row r="32" spans="2:13">
      <c r="B32" s="789" t="s">
        <v>1181</v>
      </c>
      <c r="C32" s="789">
        <v>0.5</v>
      </c>
      <c r="D32" s="789" t="s">
        <v>2</v>
      </c>
    </row>
    <row r="33" spans="2:4">
      <c r="B33" s="789" t="s">
        <v>1143</v>
      </c>
      <c r="D33">
        <f>Sf_shearFailureBolts</f>
        <v>1.5901949830766202</v>
      </c>
    </row>
    <row r="35" spans="2:4">
      <c r="B35" s="789" t="s">
        <v>1144</v>
      </c>
    </row>
    <row r="36" spans="2:4">
      <c r="B36" s="789" t="s">
        <v>1147</v>
      </c>
      <c r="C36">
        <f>(C6*C13)/C37</f>
        <v>1811.0986581204886</v>
      </c>
      <c r="D36" s="789" t="s">
        <v>1133</v>
      </c>
    </row>
    <row r="37" spans="2:4">
      <c r="B37" s="789" t="s">
        <v>1145</v>
      </c>
      <c r="C37">
        <v>4</v>
      </c>
    </row>
    <row r="38" spans="2:4">
      <c r="B38" s="789" t="s">
        <v>1146</v>
      </c>
    </row>
    <row r="39" spans="2:4">
      <c r="B39" s="789" t="s">
        <v>1147</v>
      </c>
      <c r="C39">
        <f>(C7*C13)/C40</f>
        <v>947.74979816426503</v>
      </c>
      <c r="D39" s="789" t="s">
        <v>1134</v>
      </c>
    </row>
    <row r="40" spans="2:4">
      <c r="B40" s="789" t="s">
        <v>1145</v>
      </c>
      <c r="C40">
        <v>6</v>
      </c>
    </row>
    <row r="42" spans="2:4">
      <c r="B42" s="415" t="s">
        <v>1148</v>
      </c>
    </row>
    <row r="43" spans="2:4">
      <c r="B43" s="789" t="s">
        <v>1149</v>
      </c>
    </row>
    <row r="44" spans="2:4">
      <c r="B44" t="s">
        <v>1150</v>
      </c>
    </row>
    <row r="45" spans="2:4">
      <c r="B45" s="789" t="s">
        <v>1151</v>
      </c>
    </row>
    <row r="46" spans="2:4">
      <c r="B46" s="789" t="s">
        <v>1152</v>
      </c>
    </row>
    <row r="47" spans="2:4">
      <c r="B47" s="789" t="s">
        <v>1153</v>
      </c>
    </row>
    <row r="48" spans="2:4">
      <c r="B48" s="789" t="s">
        <v>1154</v>
      </c>
    </row>
    <row r="50" spans="2:11">
      <c r="B50" s="789" t="s">
        <v>1162</v>
      </c>
    </row>
    <row r="51" spans="2:11">
      <c r="B51" s="789" t="s">
        <v>1147</v>
      </c>
      <c r="C51">
        <f>C52*C19*(C55-C54)*C23</f>
        <v>4323.88110363123</v>
      </c>
    </row>
    <row r="52" spans="2:11">
      <c r="B52" s="789" t="s">
        <v>1155</v>
      </c>
      <c r="C52" s="10">
        <f>IF(C56&lt;0.3,(1-0.9+3*C53*C56),1)</f>
        <v>0.16788599468374679</v>
      </c>
    </row>
    <row r="53" spans="2:11">
      <c r="B53" s="789" t="s">
        <v>1156</v>
      </c>
      <c r="C53" s="793">
        <f>1/C37</f>
        <v>0.25</v>
      </c>
    </row>
    <row r="54" spans="2:11">
      <c r="B54" s="789" t="s">
        <v>1157</v>
      </c>
      <c r="C54" s="10">
        <f>C17</f>
        <v>3</v>
      </c>
      <c r="D54" s="789" t="s">
        <v>2</v>
      </c>
    </row>
    <row r="55" spans="2:11">
      <c r="B55" s="789" t="s">
        <v>1158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1159</v>
      </c>
      <c r="C56" s="10">
        <f>C54/C55</f>
        <v>9.051465957832909E-2</v>
      </c>
    </row>
    <row r="57" spans="2:11">
      <c r="B57" s="789" t="s">
        <v>1138</v>
      </c>
      <c r="C57">
        <f>C51/C36</f>
        <v>2.3874354300049241</v>
      </c>
    </row>
    <row r="59" spans="2:11">
      <c r="B59" s="789" t="s">
        <v>1154</v>
      </c>
      <c r="I59" s="789" t="s">
        <v>1222</v>
      </c>
    </row>
    <row r="60" spans="2:11">
      <c r="B60" s="789" t="s">
        <v>1147</v>
      </c>
      <c r="C60">
        <f>0.32*C28*C17^2</f>
        <v>2880</v>
      </c>
      <c r="I60" s="789" t="s">
        <v>1147</v>
      </c>
      <c r="J60">
        <f>0.32*L26*C17^2</f>
        <v>2978.6399999999994</v>
      </c>
    </row>
    <row r="61" spans="2:11">
      <c r="B61" s="789" t="s">
        <v>1138</v>
      </c>
      <c r="C61">
        <f>C60/C36</f>
        <v>1.5901949830766202</v>
      </c>
      <c r="D61" s="720" t="s">
        <v>1166</v>
      </c>
      <c r="I61" s="789" t="s">
        <v>1224</v>
      </c>
      <c r="J61">
        <f>0.32*L25*C17^2</f>
        <v>2581.4879999999998</v>
      </c>
    </row>
    <row r="62" spans="2:11">
      <c r="I62" s="789" t="s">
        <v>1138</v>
      </c>
      <c r="J62">
        <f>J60/C36</f>
        <v>1.6446591612469941</v>
      </c>
      <c r="K62" s="720" t="s">
        <v>1166</v>
      </c>
    </row>
    <row r="63" spans="2:11">
      <c r="B63" s="789" t="s">
        <v>1163</v>
      </c>
      <c r="I63" s="789" t="s">
        <v>1223</v>
      </c>
      <c r="J63">
        <f>J61/C36</f>
        <v>1.4253712730807284</v>
      </c>
    </row>
    <row r="64" spans="2:11">
      <c r="B64" s="789" t="s">
        <v>1147</v>
      </c>
      <c r="C64" s="10">
        <f>MAX(C60,C51)</f>
        <v>4323.88110363123</v>
      </c>
      <c r="D64" s="789" t="s">
        <v>1216</v>
      </c>
    </row>
    <row r="65" spans="2:4">
      <c r="B65" s="789" t="s">
        <v>1165</v>
      </c>
      <c r="C65" s="10">
        <f>(C64*SQRT(3))/(2*C23*C19)</f>
        <v>4.382714043408404</v>
      </c>
      <c r="D65" s="789" t="s">
        <v>2</v>
      </c>
    </row>
    <row r="66" spans="2:4">
      <c r="B66" s="789" t="s">
        <v>1157</v>
      </c>
      <c r="C66" s="10">
        <f>C54</f>
        <v>3</v>
      </c>
      <c r="D66" s="789" t="s">
        <v>2</v>
      </c>
    </row>
    <row r="67" spans="2:4">
      <c r="B67" s="789" t="s">
        <v>1164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"/>
  <sheetViews>
    <sheetView workbookViewId="0">
      <selection activeCell="I10" sqref="I10"/>
    </sheetView>
  </sheetViews>
  <sheetFormatPr defaultColWidth="11.42578125" defaultRowHeight="12.7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I235" sqref="I235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5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5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2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5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5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5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4.2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5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2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5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.7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5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7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5546875" defaultRowHeight="12.75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7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4.2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4.2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4.2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4.2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4.2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801" t="s">
        <v>349</v>
      </c>
      <c r="C19" s="802"/>
      <c r="D19" s="802"/>
      <c r="E19" s="803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B2:M16"/>
  <sheetViews>
    <sheetView workbookViewId="0">
      <selection activeCell="H28" sqref="H28"/>
    </sheetView>
  </sheetViews>
  <sheetFormatPr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4" t="s">
        <v>1029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5" t="s">
        <v>59</v>
      </c>
      <c r="D3" s="806"/>
      <c r="E3" s="806"/>
      <c r="F3" s="807"/>
    </row>
    <row r="4" spans="1:8" ht="14.25">
      <c r="C4" s="365" t="s">
        <v>60</v>
      </c>
      <c r="D4" s="808" t="s">
        <v>61</v>
      </c>
      <c r="E4" s="809"/>
      <c r="F4" s="810"/>
    </row>
    <row r="5" spans="1:8" ht="14.25">
      <c r="C5" s="366"/>
      <c r="D5" s="811" t="s">
        <v>62</v>
      </c>
      <c r="E5" s="812"/>
      <c r="F5" s="81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5" t="s">
        <v>365</v>
      </c>
      <c r="C5" s="826"/>
      <c r="D5" s="826"/>
      <c r="E5" s="826"/>
      <c r="F5" s="826"/>
      <c r="G5" s="826"/>
      <c r="H5" s="826"/>
      <c r="I5" s="826"/>
      <c r="J5" s="826"/>
      <c r="K5" s="82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0"/>
      <c r="C6" s="820"/>
      <c r="D6" s="820"/>
      <c r="E6" s="25" t="s">
        <v>80</v>
      </c>
      <c r="F6" s="25" t="s">
        <v>81</v>
      </c>
      <c r="G6" s="820"/>
      <c r="H6" s="820"/>
      <c r="I6" s="82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21" t="s">
        <v>82</v>
      </c>
      <c r="C7" s="821"/>
      <c r="D7" s="821"/>
      <c r="E7" s="821" t="s">
        <v>83</v>
      </c>
      <c r="F7" s="821"/>
      <c r="G7" s="821" t="s">
        <v>84</v>
      </c>
      <c r="H7" s="821"/>
      <c r="I7" s="821"/>
      <c r="J7" s="821" t="s">
        <v>85</v>
      </c>
      <c r="K7" s="82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0"/>
      <c r="C17" s="820"/>
      <c r="D17" s="820"/>
      <c r="E17" s="25" t="s">
        <v>80</v>
      </c>
      <c r="F17" s="25" t="s">
        <v>81</v>
      </c>
      <c r="G17" s="820"/>
      <c r="H17" s="820"/>
      <c r="I17" s="82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21" t="s">
        <v>82</v>
      </c>
      <c r="C18" s="821"/>
      <c r="D18" s="821"/>
      <c r="E18" s="821" t="s">
        <v>83</v>
      </c>
      <c r="F18" s="821"/>
      <c r="G18" s="822" t="s">
        <v>84</v>
      </c>
      <c r="H18" s="823"/>
      <c r="I18" s="824"/>
      <c r="J18" s="822" t="s">
        <v>85</v>
      </c>
      <c r="K18" s="82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0"/>
      <c r="C26" s="820"/>
      <c r="D26" s="820"/>
      <c r="E26" s="25" t="s">
        <v>80</v>
      </c>
      <c r="F26" s="25" t="s">
        <v>81</v>
      </c>
      <c r="G26" s="820"/>
      <c r="H26" s="820"/>
      <c r="I26" s="82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21" t="s">
        <v>82</v>
      </c>
      <c r="C27" s="821"/>
      <c r="D27" s="821"/>
      <c r="E27" s="821" t="s">
        <v>83</v>
      </c>
      <c r="F27" s="821"/>
      <c r="G27" s="822" t="s">
        <v>84</v>
      </c>
      <c r="H27" s="823"/>
      <c r="I27" s="824"/>
      <c r="J27" s="822" t="s">
        <v>85</v>
      </c>
      <c r="K27" s="82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0"/>
      <c r="C31" s="820"/>
      <c r="D31" s="820"/>
      <c r="E31" s="25" t="s">
        <v>80</v>
      </c>
      <c r="F31" s="25" t="s">
        <v>81</v>
      </c>
      <c r="G31" s="820"/>
      <c r="H31" s="820"/>
      <c r="I31" s="82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21" t="s">
        <v>82</v>
      </c>
      <c r="C32" s="821"/>
      <c r="D32" s="821"/>
      <c r="E32" s="821" t="s">
        <v>83</v>
      </c>
      <c r="F32" s="821"/>
      <c r="G32" s="822" t="s">
        <v>84</v>
      </c>
      <c r="H32" s="823"/>
      <c r="I32" s="824"/>
      <c r="J32" s="822" t="s">
        <v>85</v>
      </c>
      <c r="K32" s="82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8"/>
      <c r="C50" s="829"/>
      <c r="D50" s="830"/>
      <c r="E50" s="25" t="s">
        <v>80</v>
      </c>
      <c r="F50" s="25" t="s">
        <v>81</v>
      </c>
      <c r="G50" s="828"/>
      <c r="H50" s="829"/>
      <c r="I50" s="83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2" t="s">
        <v>82</v>
      </c>
      <c r="C51" s="823"/>
      <c r="D51" s="824"/>
      <c r="E51" s="822" t="s">
        <v>83</v>
      </c>
      <c r="F51" s="824"/>
      <c r="G51" s="822" t="s">
        <v>84</v>
      </c>
      <c r="H51" s="823"/>
      <c r="I51" s="824"/>
      <c r="J51" s="822" t="s">
        <v>85</v>
      </c>
      <c r="K51" s="82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8"/>
      <c r="C56" s="829"/>
      <c r="D56" s="830"/>
      <c r="E56" s="25" t="s">
        <v>80</v>
      </c>
      <c r="F56" s="25" t="s">
        <v>81</v>
      </c>
      <c r="G56" s="828"/>
      <c r="H56" s="829"/>
      <c r="I56" s="83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2" t="s">
        <v>82</v>
      </c>
      <c r="C57" s="823"/>
      <c r="D57" s="824"/>
      <c r="E57" s="822" t="s">
        <v>83</v>
      </c>
      <c r="F57" s="824"/>
      <c r="G57" s="822" t="s">
        <v>84</v>
      </c>
      <c r="H57" s="823"/>
      <c r="I57" s="824"/>
      <c r="J57" s="822" t="s">
        <v>85</v>
      </c>
      <c r="K57" s="82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8"/>
      <c r="C62" s="829"/>
      <c r="D62" s="830"/>
      <c r="E62" s="25" t="s">
        <v>80</v>
      </c>
      <c r="F62" s="25" t="s">
        <v>81</v>
      </c>
      <c r="G62" s="828"/>
      <c r="H62" s="829"/>
      <c r="I62" s="83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2" t="s">
        <v>82</v>
      </c>
      <c r="C63" s="823"/>
      <c r="D63" s="824"/>
      <c r="E63" s="822" t="s">
        <v>83</v>
      </c>
      <c r="F63" s="824"/>
      <c r="G63" s="822" t="s">
        <v>84</v>
      </c>
      <c r="H63" s="823"/>
      <c r="I63" s="824"/>
      <c r="J63" s="822" t="s">
        <v>85</v>
      </c>
      <c r="K63" s="82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2025-06-17T17:39:17Z</dcterms:modified>
</cp:coreProperties>
</file>