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The-thermal-repository\102-spreadsheet-tools\"/>
    </mc:Choice>
  </mc:AlternateContent>
  <bookViews>
    <workbookView xWindow="14295" yWindow="0" windowWidth="14610" windowHeight="15585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0" hidden="1">'1spool-GasTurbineCycle'!$D$119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0" hidden="1">2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0" hidden="1">1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0" hidden="1">0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0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0" hidden="1">'1spool-GasTurbineCycle'!$D$122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0" hidden="1">2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0" hidden="1">2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0" hidden="1">3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0" hidden="1">292.17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0" hidden="1">3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5" i="8" l="1"/>
  <c r="D201" i="7"/>
  <c r="D94" i="5"/>
  <c r="D95" i="5"/>
  <c r="D98" i="7"/>
  <c r="D130" i="8"/>
  <c r="D76" i="8"/>
  <c r="D35" i="8"/>
  <c r="D112" i="8" l="1"/>
  <c r="D63" i="8"/>
  <c r="D4" i="8"/>
  <c r="D5" i="8" s="1"/>
  <c r="D6" i="8" s="1"/>
  <c r="D132" i="8" s="1"/>
  <c r="D113" i="8" l="1"/>
  <c r="D118" i="8"/>
  <c r="D122" i="8" s="1"/>
  <c r="D93" i="8"/>
  <c r="D62" i="8"/>
  <c r="D12" i="8"/>
  <c r="D33" i="8"/>
  <c r="D49" i="8"/>
  <c r="D25" i="2"/>
  <c r="E28" i="3"/>
  <c r="E29" i="3" s="1"/>
  <c r="D30" i="7"/>
  <c r="D54" i="7" s="1"/>
  <c r="D29" i="7"/>
  <c r="D53" i="7" s="1"/>
  <c r="D22" i="8"/>
  <c r="D9" i="8" l="1"/>
  <c r="D89" i="8"/>
  <c r="D87" i="8"/>
  <c r="D142" i="8"/>
  <c r="D69" i="8"/>
  <c r="D68" i="8"/>
  <c r="D67" i="8"/>
  <c r="D66" i="8"/>
  <c r="D11" i="8" l="1"/>
  <c r="D91" i="8"/>
  <c r="D8" i="8"/>
  <c r="D7" i="8"/>
  <c r="D70" i="8"/>
  <c r="D72" i="8" s="1"/>
  <c r="D25" i="7"/>
  <c r="D90" i="8" l="1"/>
  <c r="D92" i="8"/>
  <c r="D88" i="8"/>
  <c r="D7" i="7"/>
  <c r="D64" i="7" s="1"/>
  <c r="D98" i="8" l="1"/>
  <c r="D99" i="8" s="1"/>
  <c r="D104" i="8" s="1"/>
  <c r="D96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 s="1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59" i="7"/>
  <c r="J60" i="7"/>
  <c r="I58" i="7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109" i="7"/>
  <c r="D183" i="7" s="1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61" i="7" s="1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 s="1"/>
  <c r="M149" i="3" s="1"/>
  <c r="P146" i="3"/>
  <c r="L146" i="3"/>
  <c r="L148" i="3" s="1"/>
  <c r="M148" i="3" s="1"/>
  <c r="P145" i="3"/>
  <c r="P147" i="3" s="1"/>
  <c r="P144" i="3"/>
  <c r="P143" i="3"/>
  <c r="J112" i="3"/>
  <c r="K112" i="3" s="1"/>
  <c r="M112" i="3" s="1"/>
  <c r="I112" i="3"/>
  <c r="D112" i="3"/>
  <c r="E112" i="3" s="1"/>
  <c r="G112" i="3" s="1"/>
  <c r="L109" i="3"/>
  <c r="L108" i="3"/>
  <c r="F109" i="3"/>
  <c r="F110" i="3" s="1"/>
  <c r="F108" i="3"/>
  <c r="J82" i="3"/>
  <c r="K82" i="3" s="1"/>
  <c r="M82" i="3" s="1"/>
  <c r="I82" i="3"/>
  <c r="D82" i="3"/>
  <c r="E82" i="3" s="1"/>
  <c r="G82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60" i="3" s="1"/>
  <c r="M10" i="1"/>
  <c r="M11" i="1" s="1"/>
  <c r="F130" i="5"/>
  <c r="M162" i="3"/>
  <c r="I106" i="3"/>
  <c r="I107" i="3" s="1"/>
  <c r="I169" i="1"/>
  <c r="I162" i="1"/>
  <c r="I159" i="1"/>
  <c r="I112" i="1"/>
  <c r="I82" i="1"/>
  <c r="I78" i="1"/>
  <c r="I79" i="1" s="1"/>
  <c r="I87" i="1" s="1"/>
  <c r="I88" i="1" s="1"/>
  <c r="I93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K156" i="1" s="1"/>
  <c r="M156" i="1" s="1"/>
  <c r="J58" i="1"/>
  <c r="P144" i="1"/>
  <c r="P146" i="1" s="1"/>
  <c r="P147" i="1" s="1"/>
  <c r="P145" i="1"/>
  <c r="P143" i="1"/>
  <c r="P142" i="1"/>
  <c r="L109" i="1"/>
  <c r="L108" i="1" s="1"/>
  <c r="J55" i="1"/>
  <c r="J57" i="1" s="1"/>
  <c r="L145" i="1"/>
  <c r="L147" i="1"/>
  <c r="M147" i="1" s="1"/>
  <c r="J169" i="1"/>
  <c r="K169" i="1" s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9" i="1" s="1"/>
  <c r="K79" i="1" s="1"/>
  <c r="M79" i="1" s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J80" i="1"/>
  <c r="K78" i="1"/>
  <c r="M78" i="1" s="1"/>
  <c r="G161" i="1"/>
  <c r="D162" i="1"/>
  <c r="D55" i="1"/>
  <c r="D56" i="1"/>
  <c r="AJ50" i="1"/>
  <c r="F109" i="1"/>
  <c r="D112" i="1"/>
  <c r="E112" i="1" s="1"/>
  <c r="G112" i="1" s="1"/>
  <c r="E28" i="1"/>
  <c r="E29" i="1" s="1"/>
  <c r="D82" i="1"/>
  <c r="E82" i="1" s="1"/>
  <c r="G82" i="1" s="1"/>
  <c r="D7" i="1"/>
  <c r="D60" i="1" s="1"/>
  <c r="D68" i="1"/>
  <c r="E68" i="1"/>
  <c r="G68" i="1" s="1"/>
  <c r="D16" i="1"/>
  <c r="J81" i="1"/>
  <c r="K81" i="1" s="1"/>
  <c r="K80" i="1"/>
  <c r="F108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 s="1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D51" i="1"/>
  <c r="F110" i="1"/>
  <c r="I27" i="1"/>
  <c r="I25" i="1" s="1"/>
  <c r="I51" i="1"/>
  <c r="I61" i="7" l="1"/>
  <c r="D78" i="3"/>
  <c r="D79" i="3" s="1"/>
  <c r="P148" i="3"/>
  <c r="J157" i="1"/>
  <c r="K157" i="1" s="1"/>
  <c r="M157" i="1" s="1"/>
  <c r="J79" i="3"/>
  <c r="I94" i="1"/>
  <c r="I100" i="1" s="1"/>
  <c r="I101" i="1" s="1"/>
  <c r="D97" i="8"/>
  <c r="D102" i="8" s="1"/>
  <c r="D103" i="8" s="1"/>
  <c r="D111" i="8" s="1"/>
  <c r="D120" i="8" s="1"/>
  <c r="D121" i="8" s="1"/>
  <c r="D128" i="8" s="1"/>
  <c r="D129" i="8" s="1"/>
  <c r="D133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90" i="2"/>
  <c r="D99" i="2" s="1"/>
  <c r="D107" i="2" s="1"/>
  <c r="E71" i="2"/>
  <c r="J107" i="3"/>
  <c r="K106" i="3"/>
  <c r="M106" i="3" s="1"/>
  <c r="G115" i="7"/>
  <c r="G116" i="7" s="1"/>
  <c r="G123" i="7" s="1"/>
  <c r="G124" i="7" s="1"/>
  <c r="G135" i="7" s="1"/>
  <c r="G147" i="7" s="1"/>
  <c r="G103" i="7"/>
  <c r="G104" i="7" s="1"/>
  <c r="G105" i="7" s="1"/>
  <c r="G180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K88" i="7"/>
  <c r="K97" i="7" s="1"/>
  <c r="K98" i="7" s="1"/>
  <c r="K106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0" i="7"/>
  <c r="J115" i="7"/>
  <c r="J116" i="7" s="1"/>
  <c r="J123" i="7" s="1"/>
  <c r="J124" i="7" s="1"/>
  <c r="J135" i="7" s="1"/>
  <c r="J147" i="7" s="1"/>
  <c r="D103" i="7"/>
  <c r="D104" i="7" s="1"/>
  <c r="D105" i="7" s="1"/>
  <c r="D180" i="7" s="1"/>
  <c r="H87" i="7"/>
  <c r="H103" i="7"/>
  <c r="H104" i="7" s="1"/>
  <c r="H105" i="7" s="1"/>
  <c r="H180" i="7" s="1"/>
  <c r="D116" i="7"/>
  <c r="D123" i="7" s="1"/>
  <c r="D124" i="7" s="1"/>
  <c r="D135" i="7" s="1"/>
  <c r="D147" i="7" s="1"/>
  <c r="E116" i="7"/>
  <c r="H123" i="7"/>
  <c r="H124" i="7" s="1"/>
  <c r="H135" i="7" s="1"/>
  <c r="H147" i="7" s="1"/>
  <c r="J105" i="7"/>
  <c r="J180" i="7" s="1"/>
  <c r="F53" i="7"/>
  <c r="K117" i="7" l="1"/>
  <c r="D92" i="5"/>
  <c r="D93" i="5" s="1"/>
  <c r="E93" i="5" s="1"/>
  <c r="G93" i="5" s="1"/>
  <c r="K79" i="3"/>
  <c r="M79" i="3" s="1"/>
  <c r="J87" i="3"/>
  <c r="D105" i="8"/>
  <c r="D106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F118" i="7" s="1"/>
  <c r="F125" i="7" s="1"/>
  <c r="F126" i="7" s="1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3"/>
  <c r="G107" i="3" s="1"/>
  <c r="E87" i="3"/>
  <c r="G87" i="3" s="1"/>
  <c r="D88" i="3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8" i="3" l="1"/>
  <c r="K87" i="3"/>
  <c r="M87" i="3" s="1"/>
  <c r="K85" i="1"/>
  <c r="M85" i="1" s="1"/>
  <c r="J86" i="3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J93" i="3" l="1"/>
  <c r="K93" i="3" s="1"/>
  <c r="M93" i="3" s="1"/>
  <c r="K88" i="3"/>
  <c r="M88" i="3" s="1"/>
  <c r="D88" i="1"/>
  <c r="E87" i="1"/>
  <c r="G87" i="1" s="1"/>
  <c r="K168" i="3"/>
  <c r="J169" i="3"/>
  <c r="K169" i="3" s="1"/>
  <c r="D95" i="2"/>
  <c r="D97" i="2" s="1"/>
  <c r="D98" i="2" s="1"/>
  <c r="D102" i="2" s="1"/>
  <c r="D92" i="2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101" i="2"/>
  <c r="D106" i="2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J92" i="3" l="1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I102" i="5" l="1"/>
  <c r="J101" i="5"/>
  <c r="L101" i="5" s="1"/>
  <c r="J69" i="3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21" i="5" l="1"/>
  <c r="I116" i="5"/>
  <c r="I178" i="5"/>
  <c r="J178" i="5" s="1"/>
  <c r="L178" i="5" s="1"/>
  <c r="J102" i="5"/>
  <c r="L102" i="5" s="1"/>
  <c r="E118" i="2"/>
  <c r="E119" i="2" s="1"/>
  <c r="D114" i="1"/>
  <c r="D118" i="1"/>
  <c r="E110" i="1"/>
  <c r="G110" i="1" s="1"/>
  <c r="D119" i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 s="1"/>
  <c r="K118" i="3"/>
  <c r="M118" i="3" s="1"/>
  <c r="J131" i="3"/>
  <c r="J121" i="3"/>
  <c r="D151" i="2"/>
  <c r="I147" i="3"/>
  <c r="I154" i="3"/>
  <c r="H35" i="2"/>
  <c r="D152" i="2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 s="1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E156" i="2" l="1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14" i="8" l="1"/>
  <c r="D83" i="8" l="1"/>
  <c r="D81" i="8" l="1"/>
  <c r="D123" i="8" l="1"/>
  <c r="D131" i="8" l="1"/>
  <c r="D139" i="8" s="1"/>
  <c r="D140" i="8" l="1"/>
  <c r="D141" i="8" s="1"/>
  <c r="D137" i="8" l="1"/>
  <c r="D138" i="8"/>
  <c r="D143" i="8" s="1"/>
  <c r="D144" i="8" s="1"/>
  <c r="D136" i="8" s="1"/>
  <c r="D148" i="8" l="1"/>
  <c r="D150" i="8" s="1"/>
  <c r="D152" i="8" l="1"/>
  <c r="D151" i="8"/>
  <c r="I178" i="1" l="1"/>
  <c r="I177" i="1"/>
  <c r="S176" i="1"/>
  <c r="I185" i="7"/>
  <c r="N148" i="5"/>
  <c r="N144" i="5"/>
  <c r="G174" i="5"/>
  <c r="H75" i="7"/>
  <c r="H69" i="7"/>
  <c r="H80" i="7"/>
  <c r="F77" i="7"/>
  <c r="F132" i="7"/>
  <c r="F221" i="7"/>
  <c r="H137" i="7"/>
  <c r="H138" i="7"/>
  <c r="E150" i="7"/>
  <c r="E146" i="7"/>
  <c r="I127" i="1"/>
  <c r="D69" i="7"/>
  <c r="D75" i="7"/>
  <c r="D80" i="7"/>
  <c r="J71" i="5"/>
  <c r="I66" i="5"/>
  <c r="J202" i="7"/>
  <c r="I160" i="5"/>
  <c r="D119" i="7"/>
  <c r="F69" i="7"/>
  <c r="F80" i="7"/>
  <c r="F75" i="7"/>
  <c r="E185" i="7"/>
  <c r="I218" i="5"/>
  <c r="J63" i="5"/>
  <c r="I217" i="5"/>
  <c r="J207" i="5"/>
  <c r="F185" i="7"/>
  <c r="G221" i="7"/>
  <c r="G132" i="7"/>
  <c r="G77" i="7"/>
  <c r="E205" i="7"/>
  <c r="G129" i="5"/>
  <c r="N107" i="5"/>
  <c r="N108" i="5"/>
  <c r="J205" i="7"/>
  <c r="D117" i="5"/>
  <c r="I149" i="1"/>
  <c r="J220" i="7"/>
  <c r="J219" i="7"/>
  <c r="F119" i="7"/>
  <c r="K220" i="7"/>
  <c r="K219" i="7"/>
  <c r="D218" i="5"/>
  <c r="D217" i="5"/>
  <c r="F206" i="7"/>
  <c r="I182" i="5"/>
  <c r="G168" i="5"/>
  <c r="D77" i="7"/>
  <c r="D132" i="7"/>
  <c r="D221" i="7"/>
  <c r="H219" i="7"/>
  <c r="H220" i="7"/>
  <c r="L141" i="5"/>
  <c r="J172" i="1"/>
  <c r="I148" i="5"/>
  <c r="I115" i="1"/>
  <c r="I206" i="7"/>
  <c r="I164" i="5"/>
  <c r="J28" i="5"/>
  <c r="E207" i="5"/>
  <c r="D169" i="5"/>
  <c r="M106" i="1"/>
  <c r="M130" i="1"/>
  <c r="G159" i="7"/>
  <c r="L155" i="5"/>
  <c r="J185" i="7"/>
  <c r="I163" i="7"/>
  <c r="N74" i="5"/>
  <c r="N219" i="5"/>
  <c r="N220" i="5"/>
  <c r="N130" i="5"/>
  <c r="M118" i="1"/>
  <c r="K175" i="1"/>
  <c r="K177" i="1"/>
  <c r="E170" i="5"/>
  <c r="G170" i="5"/>
  <c r="D125" i="5"/>
  <c r="G219" i="7"/>
  <c r="G217" i="7"/>
  <c r="G220" i="7"/>
  <c r="I148" i="1"/>
  <c r="I179" i="1"/>
  <c r="I69" i="1"/>
  <c r="I180" i="1"/>
  <c r="L174" i="5"/>
  <c r="G137" i="7"/>
  <c r="G138" i="7"/>
  <c r="K136" i="5"/>
  <c r="K63" i="5"/>
  <c r="N183" i="5"/>
  <c r="D122" i="7"/>
  <c r="D127" i="7"/>
  <c r="J160" i="1"/>
  <c r="K185" i="7"/>
  <c r="D206" i="7"/>
  <c r="E112" i="5"/>
  <c r="G112" i="5"/>
  <c r="H206" i="7"/>
  <c r="E80" i="7"/>
  <c r="E69" i="7"/>
  <c r="E75" i="7"/>
  <c r="F122" i="7"/>
  <c r="F127" i="7"/>
  <c r="E215" i="5"/>
  <c r="E217" i="5"/>
  <c r="K217" i="7"/>
  <c r="J162" i="7"/>
  <c r="F207" i="7"/>
  <c r="F212" i="7"/>
  <c r="G185" i="7"/>
  <c r="K75" i="7"/>
  <c r="K69" i="7"/>
  <c r="K80" i="7"/>
  <c r="G171" i="7"/>
  <c r="G173" i="7"/>
  <c r="I135" i="5"/>
  <c r="E73" i="5"/>
  <c r="D66" i="5"/>
  <c r="K146" i="1"/>
  <c r="M146" i="1"/>
  <c r="H110" i="7"/>
  <c r="K146" i="7"/>
  <c r="K150" i="7"/>
  <c r="F133" i="7"/>
  <c r="G146" i="7"/>
  <c r="G150" i="7"/>
  <c r="K165" i="1"/>
  <c r="I146" i="7"/>
  <c r="I150" i="7"/>
  <c r="J206" i="7"/>
  <c r="J200" i="7"/>
  <c r="J186" i="7"/>
  <c r="J189" i="7"/>
  <c r="K141" i="1"/>
  <c r="M141" i="1"/>
  <c r="G202" i="7"/>
  <c r="K118" i="1"/>
  <c r="J125" i="1"/>
  <c r="D138" i="7"/>
  <c r="D137" i="7"/>
  <c r="J29" i="5"/>
  <c r="D182" i="5"/>
  <c r="I80" i="7"/>
  <c r="I75" i="7"/>
  <c r="I69" i="7"/>
  <c r="J115" i="1"/>
  <c r="E206" i="7"/>
  <c r="N135" i="5"/>
  <c r="N136" i="5"/>
  <c r="E163" i="7"/>
  <c r="G130" i="5"/>
  <c r="J74" i="5"/>
  <c r="F159" i="7"/>
  <c r="I138" i="7"/>
  <c r="I137" i="7"/>
  <c r="E151" i="7"/>
  <c r="E157" i="7"/>
  <c r="G175" i="5"/>
  <c r="M124" i="1"/>
  <c r="G144" i="5"/>
  <c r="S169" i="1"/>
  <c r="J95" i="1"/>
  <c r="J102" i="1"/>
  <c r="K163" i="7"/>
  <c r="I207" i="5"/>
  <c r="I208" i="5"/>
  <c r="J208" i="5"/>
  <c r="L208" i="5"/>
  <c r="F171" i="7"/>
  <c r="F173" i="7"/>
  <c r="N184" i="5"/>
  <c r="N187" i="5"/>
  <c r="N164" i="5"/>
  <c r="G206" i="7"/>
  <c r="G200" i="7"/>
  <c r="I173" i="7"/>
  <c r="I171" i="7"/>
  <c r="N161" i="5"/>
  <c r="K162" i="7"/>
  <c r="L170" i="5"/>
  <c r="G186" i="7"/>
  <c r="G189" i="7"/>
  <c r="E128" i="5"/>
  <c r="G128" i="5"/>
  <c r="J132" i="5"/>
  <c r="L132" i="5"/>
  <c r="K107" i="1"/>
  <c r="M107" i="1"/>
  <c r="K154" i="1"/>
  <c r="M154" i="1"/>
  <c r="I200" i="7"/>
  <c r="I202" i="7"/>
  <c r="D171" i="5"/>
  <c r="E171" i="5"/>
  <c r="G171" i="5"/>
  <c r="J197" i="7"/>
  <c r="J207" i="7"/>
  <c r="J212" i="7"/>
  <c r="I220" i="5"/>
  <c r="I219" i="5"/>
  <c r="I74" i="5"/>
  <c r="D110" i="7"/>
  <c r="J153" i="1"/>
  <c r="K153" i="1"/>
  <c r="M153" i="1"/>
  <c r="I200" i="5"/>
  <c r="D149" i="5"/>
  <c r="J126" i="1"/>
  <c r="J127" i="1"/>
  <c r="F110" i="7"/>
  <c r="I110" i="7"/>
  <c r="S171" i="1"/>
  <c r="E200" i="7"/>
  <c r="E202" i="7"/>
  <c r="I117" i="5"/>
  <c r="H159" i="7"/>
  <c r="J135" i="1"/>
  <c r="J113" i="1"/>
  <c r="J114" i="1"/>
  <c r="G156" i="5"/>
  <c r="I108" i="5"/>
  <c r="I107" i="5"/>
  <c r="J221" i="7"/>
  <c r="J132" i="7"/>
  <c r="J77" i="7"/>
  <c r="J136" i="1"/>
  <c r="J137" i="1"/>
  <c r="K137" i="7"/>
  <c r="K138" i="7"/>
  <c r="G184" i="7"/>
  <c r="I109" i="1"/>
  <c r="I108" i="1"/>
  <c r="I147" i="1"/>
  <c r="I145" i="1"/>
  <c r="H119" i="7"/>
  <c r="L91" i="5"/>
  <c r="J174" i="5"/>
  <c r="D160" i="5"/>
  <c r="F213" i="7"/>
  <c r="F205" i="7"/>
  <c r="G207" i="7"/>
  <c r="G212" i="7"/>
  <c r="I164" i="1"/>
  <c r="N160" i="5"/>
  <c r="G158" i="7"/>
  <c r="G172" i="7"/>
  <c r="D77" i="5"/>
  <c r="E77" i="5"/>
  <c r="G77" i="5"/>
  <c r="E171" i="7"/>
  <c r="E173" i="7"/>
  <c r="J98" i="5"/>
  <c r="L98" i="5"/>
  <c r="K206" i="7"/>
  <c r="N218" i="5"/>
  <c r="N217" i="5"/>
  <c r="E196" i="5"/>
  <c r="G196" i="5"/>
  <c r="G119" i="7"/>
  <c r="K119" i="7"/>
  <c r="F220" i="7"/>
  <c r="F217" i="7"/>
  <c r="F219" i="7"/>
  <c r="H171" i="7"/>
  <c r="H173" i="7"/>
  <c r="N188" i="5"/>
  <c r="N182" i="5"/>
  <c r="I130" i="5"/>
  <c r="L130" i="5"/>
  <c r="J180" i="1"/>
  <c r="J179" i="1"/>
  <c r="I198" i="5"/>
  <c r="J198" i="5"/>
  <c r="L198" i="5"/>
  <c r="J138" i="7"/>
  <c r="J137" i="7"/>
  <c r="I152" i="1"/>
  <c r="I153" i="1"/>
  <c r="O162" i="1"/>
  <c r="M145" i="1"/>
  <c r="H151" i="7"/>
  <c r="H157" i="7"/>
  <c r="H217" i="7"/>
  <c r="H114" i="7"/>
  <c r="H122" i="7"/>
  <c r="H127" i="7"/>
  <c r="D171" i="7"/>
  <c r="D158" i="7"/>
  <c r="D172" i="7"/>
  <c r="D173" i="7"/>
  <c r="M69" i="1"/>
  <c r="G154" i="5"/>
  <c r="F158" i="7"/>
  <c r="F172" i="7"/>
  <c r="K110" i="1"/>
  <c r="M110" i="1"/>
  <c r="L195" i="5"/>
  <c r="J195" i="5"/>
  <c r="J204" i="5"/>
  <c r="J178" i="7"/>
  <c r="I165" i="1"/>
  <c r="I170" i="1"/>
  <c r="N204" i="5"/>
  <c r="J177" i="1"/>
  <c r="S177" i="1"/>
  <c r="J178" i="1"/>
  <c r="I159" i="7"/>
  <c r="J99" i="5"/>
  <c r="L99" i="5"/>
  <c r="E206" i="5"/>
  <c r="G206" i="5"/>
  <c r="K171" i="1"/>
  <c r="E197" i="5"/>
  <c r="G197" i="5"/>
  <c r="K123" i="1"/>
  <c r="M123" i="1"/>
  <c r="K200" i="7"/>
  <c r="K202" i="7"/>
  <c r="N215" i="5"/>
  <c r="I213" i="7"/>
  <c r="I205" i="7"/>
  <c r="G114" i="7"/>
  <c r="G122" i="7"/>
  <c r="G127" i="7"/>
  <c r="E110" i="7"/>
  <c r="G157" i="5"/>
  <c r="G208" i="5"/>
  <c r="E190" i="7"/>
  <c r="E184" i="7"/>
  <c r="J146" i="7"/>
  <c r="J150" i="7"/>
  <c r="K120" i="1"/>
  <c r="M120" i="1"/>
  <c r="K109" i="1"/>
  <c r="M109" i="1"/>
  <c r="N72" i="5"/>
  <c r="N77" i="5"/>
  <c r="D108" i="5"/>
  <c r="D107" i="5"/>
  <c r="D155" i="5"/>
  <c r="E155" i="5"/>
  <c r="G155" i="5"/>
  <c r="J171" i="7"/>
  <c r="J173" i="7"/>
  <c r="K114" i="7"/>
  <c r="K122" i="7"/>
  <c r="K127" i="7"/>
  <c r="K157" i="7"/>
  <c r="K151" i="7"/>
  <c r="I125" i="1"/>
  <c r="I126" i="1"/>
  <c r="J75" i="7"/>
  <c r="J80" i="7"/>
  <c r="J69" i="7"/>
  <c r="K213" i="7"/>
  <c r="K205" i="7"/>
  <c r="D203" i="5"/>
  <c r="E203" i="5"/>
  <c r="G203" i="5"/>
  <c r="H102" i="7"/>
  <c r="H169" i="7"/>
  <c r="H170" i="7"/>
  <c r="H194" i="7"/>
  <c r="H195" i="7"/>
  <c r="H213" i="7"/>
  <c r="H205" i="7"/>
  <c r="F163" i="7"/>
  <c r="D185" i="7"/>
  <c r="K77" i="7"/>
  <c r="K221" i="7"/>
  <c r="K132" i="7"/>
  <c r="D177" i="7"/>
  <c r="D179" i="7"/>
  <c r="D178" i="7"/>
  <c r="J73" i="5"/>
  <c r="D215" i="5"/>
  <c r="N117" i="5"/>
  <c r="I131" i="5"/>
  <c r="J131" i="5"/>
  <c r="L131" i="5"/>
  <c r="J158" i="1"/>
  <c r="K158" i="1"/>
  <c r="M158" i="1"/>
  <c r="J152" i="1"/>
  <c r="K152" i="1"/>
  <c r="M152" i="1"/>
  <c r="M134" i="1"/>
  <c r="J133" i="7"/>
  <c r="M148" i="1"/>
  <c r="D162" i="7"/>
  <c r="E137" i="7"/>
  <c r="E138" i="7"/>
  <c r="D163" i="7"/>
  <c r="K195" i="7"/>
  <c r="E159" i="7"/>
  <c r="J210" i="7"/>
  <c r="H221" i="7"/>
  <c r="H132" i="7"/>
  <c r="H77" i="7"/>
  <c r="K173" i="7"/>
  <c r="K171" i="7"/>
  <c r="J211" i="5"/>
  <c r="L211" i="5"/>
  <c r="D150" i="7"/>
  <c r="D146" i="7"/>
  <c r="J194" i="5"/>
  <c r="L194" i="5"/>
  <c r="S168" i="1"/>
  <c r="D159" i="7"/>
  <c r="D160" i="7"/>
  <c r="D219" i="7"/>
  <c r="D217" i="7"/>
  <c r="D220" i="7"/>
  <c r="N208" i="5"/>
  <c r="E146" i="5"/>
  <c r="G146" i="5"/>
  <c r="H184" i="7"/>
  <c r="E221" i="7"/>
  <c r="E77" i="7"/>
  <c r="E133" i="7"/>
  <c r="E132" i="7"/>
  <c r="J112" i="5"/>
  <c r="L112" i="5"/>
  <c r="G110" i="7"/>
  <c r="N205" i="5"/>
  <c r="N210" i="5"/>
  <c r="E213" i="7"/>
  <c r="K121" i="1"/>
  <c r="M121" i="1"/>
  <c r="I183" i="5"/>
  <c r="H189" i="7"/>
  <c r="D220" i="5"/>
  <c r="D219" i="5"/>
  <c r="D130" i="5"/>
  <c r="I186" i="7"/>
  <c r="I189" i="7"/>
  <c r="G199" i="7"/>
  <c r="G208" i="7"/>
  <c r="G209" i="7"/>
  <c r="G210" i="7"/>
  <c r="I210" i="7"/>
  <c r="E119" i="7"/>
  <c r="I157" i="7"/>
  <c r="I151" i="7"/>
  <c r="E168" i="5"/>
  <c r="D183" i="5"/>
  <c r="F150" i="7"/>
  <c r="F146" i="7"/>
  <c r="N149" i="5"/>
  <c r="E165" i="5"/>
  <c r="G165" i="5"/>
  <c r="D133" i="7"/>
  <c r="E99" i="5"/>
  <c r="G99" i="5"/>
  <c r="G177" i="5"/>
  <c r="J172" i="7"/>
  <c r="F102" i="7"/>
  <c r="F169" i="7"/>
  <c r="F170" i="7"/>
  <c r="F194" i="7"/>
  <c r="F195" i="7"/>
  <c r="I162" i="7"/>
  <c r="J65" i="5"/>
  <c r="H172" i="7"/>
  <c r="J176" i="5"/>
  <c r="I172" i="1"/>
  <c r="H133" i="7"/>
  <c r="D188" i="5"/>
  <c r="G75" i="7"/>
  <c r="G80" i="7"/>
  <c r="G69" i="7"/>
  <c r="E129" i="5"/>
  <c r="D209" i="7"/>
  <c r="D210" i="7"/>
  <c r="I144" i="5"/>
  <c r="J144" i="5"/>
  <c r="L144" i="5"/>
  <c r="J91" i="5"/>
  <c r="F114" i="7"/>
  <c r="D135" i="5"/>
  <c r="K158" i="7"/>
  <c r="K172" i="7"/>
  <c r="J197" i="5"/>
  <c r="L197" i="5"/>
  <c r="J163" i="7"/>
  <c r="N131" i="5"/>
  <c r="N66" i="5"/>
  <c r="E219" i="7"/>
  <c r="E217" i="7"/>
  <c r="E220" i="7"/>
  <c r="D161" i="5"/>
  <c r="E154" i="5"/>
  <c r="D148" i="5"/>
  <c r="I168" i="1"/>
  <c r="I175" i="1"/>
  <c r="E122" i="7"/>
  <c r="E127" i="7"/>
  <c r="F138" i="7"/>
  <c r="F137" i="7"/>
  <c r="E167" i="5"/>
  <c r="G167" i="5"/>
  <c r="J210" i="5"/>
  <c r="L210" i="5"/>
  <c r="J171" i="1"/>
  <c r="J163" i="1"/>
  <c r="K163" i="1"/>
  <c r="M163" i="1"/>
  <c r="E166" i="5"/>
  <c r="G166" i="5"/>
  <c r="J154" i="5"/>
  <c r="L154" i="5"/>
  <c r="N155" i="5"/>
  <c r="N159" i="5"/>
  <c r="D207" i="7"/>
  <c r="D212" i="7"/>
  <c r="K133" i="1"/>
  <c r="M133" i="1"/>
  <c r="K170" i="7"/>
  <c r="K194" i="7"/>
  <c r="J181" i="7"/>
  <c r="J196" i="7"/>
  <c r="E153" i="5"/>
  <c r="G153" i="5"/>
  <c r="J110" i="7"/>
  <c r="J149" i="1"/>
  <c r="K149" i="1"/>
  <c r="M149" i="1"/>
  <c r="G190" i="7"/>
  <c r="I215" i="5"/>
  <c r="J215" i="5"/>
  <c r="J217" i="5"/>
  <c r="K210" i="7"/>
  <c r="E102" i="7"/>
  <c r="E169" i="7"/>
  <c r="E170" i="7"/>
  <c r="E194" i="7"/>
  <c r="E195" i="7"/>
  <c r="J151" i="7"/>
  <c r="J157" i="7"/>
  <c r="K186" i="7"/>
  <c r="K189" i="7"/>
  <c r="J147" i="5"/>
  <c r="L147" i="5"/>
  <c r="D210" i="5"/>
  <c r="E210" i="5"/>
  <c r="G210" i="5"/>
  <c r="F208" i="7"/>
  <c r="F209" i="7"/>
  <c r="F210" i="7"/>
  <c r="J179" i="5"/>
  <c r="L179" i="5"/>
  <c r="D144" i="7"/>
  <c r="D145" i="7"/>
  <c r="D148" i="7"/>
  <c r="D149" i="7"/>
  <c r="S170" i="1"/>
  <c r="F157" i="7"/>
  <c r="F151" i="7"/>
  <c r="E174" i="5"/>
  <c r="J129" i="5"/>
  <c r="L129" i="5"/>
  <c r="J166" i="5"/>
  <c r="L166" i="5"/>
  <c r="G163" i="7"/>
  <c r="I157" i="5"/>
  <c r="J157" i="5"/>
  <c r="L157" i="5"/>
  <c r="D157" i="5"/>
  <c r="E157" i="5"/>
  <c r="J142" i="5"/>
  <c r="L142" i="5"/>
  <c r="N193" i="5"/>
  <c r="N211" i="5"/>
  <c r="N203" i="5"/>
  <c r="H190" i="7"/>
  <c r="H146" i="7"/>
  <c r="H150" i="7"/>
  <c r="G133" i="7"/>
  <c r="M108" i="1"/>
  <c r="L165" i="5"/>
  <c r="E156" i="5"/>
  <c r="D170" i="5"/>
  <c r="E186" i="7"/>
  <c r="E189" i="7"/>
  <c r="H209" i="7"/>
  <c r="H210" i="7"/>
  <c r="N112" i="5"/>
  <c r="N120" i="5"/>
  <c r="N125" i="5"/>
  <c r="K177" i="7"/>
  <c r="K179" i="7"/>
  <c r="K178" i="7"/>
  <c r="H178" i="7"/>
  <c r="D102" i="7"/>
  <c r="D169" i="7"/>
  <c r="D170" i="7"/>
  <c r="D194" i="7"/>
  <c r="D195" i="7"/>
  <c r="D213" i="7"/>
  <c r="D205" i="7"/>
  <c r="D114" i="7"/>
  <c r="M131" i="1"/>
  <c r="I188" i="5"/>
  <c r="J156" i="5"/>
  <c r="L156" i="5"/>
  <c r="K124" i="1"/>
  <c r="L77" i="5"/>
  <c r="F148" i="7"/>
  <c r="F149" i="7"/>
  <c r="F160" i="7"/>
  <c r="F177" i="7"/>
  <c r="F179" i="7"/>
  <c r="F178" i="7"/>
  <c r="J155" i="5"/>
  <c r="I159" i="5"/>
  <c r="J159" i="5"/>
  <c r="E204" i="5"/>
  <c r="E195" i="5"/>
  <c r="G195" i="5"/>
  <c r="I125" i="5"/>
  <c r="G197" i="7"/>
  <c r="J170" i="5"/>
  <c r="E142" i="5"/>
  <c r="G142" i="5"/>
  <c r="E175" i="5"/>
  <c r="K169" i="7"/>
  <c r="K102" i="7"/>
  <c r="K110" i="7"/>
  <c r="J141" i="5"/>
  <c r="I155" i="5"/>
  <c r="K133" i="7"/>
  <c r="E143" i="5"/>
  <c r="G143" i="5"/>
  <c r="J168" i="5"/>
  <c r="L168" i="5"/>
  <c r="D174" i="5"/>
  <c r="D196" i="5"/>
  <c r="D197" i="5"/>
  <c r="D206" i="5"/>
  <c r="D207" i="5"/>
  <c r="D208" i="5"/>
  <c r="E208" i="5"/>
  <c r="I184" i="5"/>
  <c r="I187" i="5"/>
  <c r="I204" i="5"/>
  <c r="L204" i="5"/>
  <c r="H163" i="7"/>
  <c r="E193" i="5"/>
  <c r="G193" i="5"/>
  <c r="F190" i="7"/>
  <c r="F184" i="7"/>
  <c r="M132" i="1"/>
  <c r="J148" i="1"/>
  <c r="K148" i="1"/>
  <c r="D193" i="5"/>
  <c r="D211" i="5"/>
  <c r="E211" i="5"/>
  <c r="G211" i="5"/>
  <c r="G151" i="7"/>
  <c r="G157" i="7"/>
  <c r="I176" i="5"/>
  <c r="I112" i="5"/>
  <c r="I120" i="5"/>
  <c r="J120" i="5"/>
  <c r="L120" i="5"/>
  <c r="J159" i="7"/>
  <c r="J209" i="7"/>
  <c r="F187" i="7"/>
  <c r="F188" i="7"/>
  <c r="F181" i="7"/>
  <c r="F196" i="7"/>
  <c r="F197" i="7"/>
  <c r="F200" i="7"/>
  <c r="F202" i="7"/>
  <c r="G181" i="7"/>
  <c r="G196" i="7"/>
  <c r="E147" i="5"/>
  <c r="G147" i="5"/>
  <c r="D151" i="7"/>
  <c r="D157" i="7"/>
  <c r="N206" i="5"/>
  <c r="N207" i="5"/>
  <c r="K143" i="1"/>
  <c r="M143" i="1"/>
  <c r="D181" i="7"/>
  <c r="D196" i="7"/>
  <c r="D197" i="7"/>
  <c r="D200" i="7"/>
  <c r="D202" i="7"/>
  <c r="N157" i="5"/>
  <c r="D200" i="5"/>
  <c r="K168" i="7"/>
  <c r="K176" i="7"/>
  <c r="K198" i="7"/>
  <c r="K199" i="7"/>
  <c r="K208" i="7"/>
  <c r="K209" i="7"/>
  <c r="K134" i="1"/>
  <c r="J165" i="1"/>
  <c r="J170" i="1"/>
  <c r="K170" i="1"/>
  <c r="I169" i="5"/>
  <c r="J169" i="5"/>
  <c r="G162" i="7"/>
  <c r="G168" i="7"/>
  <c r="G176" i="7"/>
  <c r="G198" i="7"/>
  <c r="D176" i="5"/>
  <c r="D177" i="5"/>
  <c r="E177" i="5"/>
  <c r="H162" i="7"/>
  <c r="F162" i="7"/>
  <c r="E140" i="5"/>
  <c r="G140" i="5"/>
  <c r="N111" i="5"/>
  <c r="J81" i="5"/>
  <c r="L81" i="5"/>
  <c r="H207" i="7"/>
  <c r="H212" i="7"/>
  <c r="J158" i="7"/>
  <c r="J192" i="5"/>
  <c r="L192" i="5"/>
  <c r="I177" i="5"/>
  <c r="J177" i="5"/>
  <c r="L177" i="5"/>
  <c r="I211" i="5"/>
  <c r="I203" i="5"/>
  <c r="J203" i="5"/>
  <c r="L203" i="5"/>
  <c r="E131" i="5"/>
  <c r="G131" i="5"/>
  <c r="E207" i="7"/>
  <c r="E212" i="7"/>
  <c r="D198" i="5"/>
  <c r="E198" i="5"/>
  <c r="G198" i="5"/>
  <c r="I158" i="7"/>
  <c r="I172" i="7"/>
  <c r="I144" i="7"/>
  <c r="I145" i="7"/>
  <c r="I148" i="7"/>
  <c r="I149" i="7"/>
  <c r="I160" i="7"/>
  <c r="I177" i="7"/>
  <c r="I179" i="7"/>
  <c r="I178" i="7"/>
  <c r="J146" i="1"/>
  <c r="J175" i="1"/>
  <c r="L175" i="1"/>
  <c r="L177" i="1"/>
  <c r="I210" i="5"/>
  <c r="E132" i="5"/>
  <c r="G132" i="5"/>
  <c r="I175" i="5"/>
  <c r="J175" i="5"/>
  <c r="L175" i="5"/>
  <c r="E114" i="7"/>
  <c r="K131" i="1"/>
  <c r="N65" i="5"/>
  <c r="I149" i="5"/>
  <c r="K149" i="5"/>
  <c r="J30" i="5"/>
  <c r="K144" i="1"/>
  <c r="M144" i="1"/>
  <c r="I144" i="1"/>
  <c r="I154" i="1"/>
  <c r="I155" i="1"/>
  <c r="I158" i="1"/>
  <c r="I160" i="1"/>
  <c r="I161" i="5"/>
  <c r="K161" i="5"/>
  <c r="D176" i="7"/>
  <c r="D198" i="7"/>
  <c r="D199" i="7"/>
  <c r="D208" i="7"/>
  <c r="I156" i="5"/>
  <c r="I170" i="5"/>
  <c r="I171" i="5"/>
  <c r="J171" i="5"/>
  <c r="L171" i="5"/>
  <c r="K164" i="1"/>
  <c r="K155" i="1"/>
  <c r="M155" i="1"/>
  <c r="K130" i="1"/>
  <c r="K132" i="1"/>
  <c r="D168" i="7"/>
  <c r="D186" i="7"/>
  <c r="D189" i="7"/>
  <c r="H185" i="7"/>
  <c r="H186" i="7"/>
  <c r="I135" i="1"/>
  <c r="K29" i="1"/>
  <c r="I113" i="1"/>
  <c r="L128" i="5"/>
  <c r="D112" i="5"/>
  <c r="D120" i="5"/>
  <c r="E120" i="5"/>
  <c r="G120" i="5"/>
  <c r="I95" i="1"/>
  <c r="I102" i="1"/>
  <c r="I72" i="1"/>
  <c r="I190" i="7"/>
  <c r="I184" i="7"/>
  <c r="J72" i="1"/>
  <c r="K72" i="1"/>
  <c r="M72" i="1"/>
  <c r="I72" i="5"/>
  <c r="J72" i="5"/>
  <c r="I192" i="5"/>
  <c r="I193" i="5"/>
  <c r="J193" i="5"/>
  <c r="L193" i="5"/>
  <c r="K190" i="7"/>
  <c r="K184" i="7"/>
  <c r="I197" i="5"/>
  <c r="I206" i="5"/>
  <c r="J206" i="5"/>
  <c r="L206" i="5"/>
  <c r="H158" i="7"/>
  <c r="E162" i="7"/>
  <c r="K160" i="7"/>
  <c r="K159" i="7"/>
  <c r="K106" i="1"/>
  <c r="J119" i="7"/>
  <c r="F176" i="7"/>
  <c r="F198" i="7"/>
  <c r="F199" i="7"/>
  <c r="J108" i="1"/>
  <c r="J147" i="1"/>
  <c r="J145" i="1"/>
  <c r="K145" i="1"/>
  <c r="K144" i="7"/>
  <c r="K145" i="7"/>
  <c r="K148" i="7"/>
  <c r="K149" i="7"/>
  <c r="D99" i="5"/>
  <c r="D167" i="5"/>
  <c r="D168" i="5"/>
  <c r="D192" i="5"/>
  <c r="E192" i="5"/>
  <c r="G192" i="5"/>
  <c r="I146" i="1"/>
  <c r="I171" i="1"/>
  <c r="I163" i="1"/>
  <c r="J128" i="5"/>
  <c r="D144" i="5"/>
  <c r="E144" i="5"/>
  <c r="D72" i="5"/>
  <c r="E72" i="5"/>
  <c r="J168" i="7"/>
  <c r="J176" i="7"/>
  <c r="J198" i="7"/>
  <c r="J199" i="7"/>
  <c r="J208" i="7"/>
  <c r="N169" i="5"/>
  <c r="N156" i="5"/>
  <c r="N170" i="5"/>
  <c r="N171" i="5"/>
  <c r="I142" i="1"/>
  <c r="I156" i="1"/>
  <c r="I157" i="1"/>
  <c r="I166" i="1"/>
  <c r="I167" i="1"/>
  <c r="D156" i="5"/>
  <c r="D175" i="5"/>
  <c r="I179" i="5"/>
  <c r="I194" i="5"/>
  <c r="I195" i="5"/>
  <c r="I205" i="5"/>
  <c r="J205" i="5"/>
  <c r="L205" i="5"/>
  <c r="N165" i="5"/>
  <c r="N185" i="5"/>
  <c r="N186" i="5"/>
  <c r="N179" i="5"/>
  <c r="N194" i="5"/>
  <c r="N195" i="5"/>
  <c r="N198" i="5"/>
  <c r="N200" i="5"/>
  <c r="I111" i="5"/>
  <c r="J111" i="5"/>
  <c r="L111" i="5"/>
  <c r="E168" i="7"/>
  <c r="E176" i="7"/>
  <c r="E198" i="7"/>
  <c r="E199" i="7"/>
  <c r="E208" i="7"/>
  <c r="E209" i="7"/>
  <c r="E210" i="7"/>
  <c r="G144" i="7"/>
  <c r="G145" i="7"/>
  <c r="G148" i="7"/>
  <c r="G149" i="7"/>
  <c r="G160" i="7"/>
  <c r="G177" i="7"/>
  <c r="G179" i="7"/>
  <c r="G178" i="7"/>
  <c r="I168" i="5"/>
  <c r="N158" i="5"/>
  <c r="N175" i="5"/>
  <c r="N177" i="5"/>
  <c r="N176" i="5"/>
  <c r="I166" i="5"/>
  <c r="I174" i="5"/>
  <c r="I196" i="5"/>
  <c r="J196" i="5"/>
  <c r="L196" i="5"/>
  <c r="N197" i="5"/>
  <c r="D204" i="5"/>
  <c r="G204" i="5"/>
  <c r="I77" i="5"/>
  <c r="J77" i="5"/>
  <c r="I65" i="5"/>
  <c r="J165" i="5"/>
  <c r="I77" i="7"/>
  <c r="I221" i="7"/>
  <c r="I133" i="7"/>
  <c r="I132" i="7"/>
  <c r="I119" i="7"/>
  <c r="J153" i="5"/>
  <c r="L153" i="5"/>
  <c r="I220" i="7"/>
  <c r="I102" i="7"/>
  <c r="I169" i="7"/>
  <c r="I170" i="7"/>
  <c r="I194" i="7"/>
  <c r="I195" i="7"/>
  <c r="I217" i="7"/>
  <c r="I219" i="7"/>
  <c r="E194" i="5"/>
  <c r="G194" i="5"/>
  <c r="E177" i="7"/>
  <c r="E179" i="7"/>
  <c r="E178" i="7"/>
  <c r="D68" i="7"/>
  <c r="D76" i="7"/>
  <c r="D130" i="7"/>
  <c r="D131" i="7"/>
  <c r="D134" i="7"/>
  <c r="D142" i="7"/>
  <c r="D143" i="7"/>
  <c r="D155" i="7"/>
  <c r="D156" i="7"/>
  <c r="D167" i="7"/>
  <c r="D187" i="7"/>
  <c r="D188" i="7"/>
  <c r="D190" i="7"/>
  <c r="D184" i="7"/>
  <c r="J146" i="5"/>
  <c r="L146" i="5"/>
  <c r="J120" i="1"/>
  <c r="J123" i="1"/>
  <c r="J124" i="1"/>
  <c r="J133" i="1"/>
  <c r="J134" i="1"/>
  <c r="J143" i="1"/>
  <c r="J144" i="1"/>
  <c r="J154" i="1"/>
  <c r="J155" i="1"/>
  <c r="J164" i="1"/>
  <c r="M164" i="1"/>
  <c r="H187" i="7"/>
  <c r="H188" i="7"/>
  <c r="H181" i="7"/>
  <c r="H196" i="7"/>
  <c r="H197" i="7"/>
  <c r="H200" i="7"/>
  <c r="H202" i="7"/>
  <c r="F144" i="7"/>
  <c r="F145" i="7"/>
  <c r="N142" i="5"/>
  <c r="N143" i="5"/>
  <c r="N146" i="5"/>
  <c r="N147" i="5"/>
  <c r="K68" i="1"/>
  <c r="M68" i="1"/>
  <c r="I121" i="1"/>
  <c r="I131" i="1"/>
  <c r="I132" i="1"/>
  <c r="I141" i="1"/>
  <c r="E179" i="5"/>
  <c r="G179" i="5"/>
  <c r="K188" i="7"/>
  <c r="K181" i="7"/>
  <c r="K196" i="7"/>
  <c r="K197" i="7"/>
  <c r="K207" i="7"/>
  <c r="K212" i="7"/>
  <c r="I146" i="5"/>
  <c r="I147" i="5"/>
  <c r="I158" i="5"/>
  <c r="J158" i="5"/>
  <c r="L158" i="5"/>
  <c r="H168" i="7"/>
  <c r="H176" i="7"/>
  <c r="H198" i="7"/>
  <c r="H199" i="7"/>
  <c r="H208" i="7"/>
  <c r="J140" i="5"/>
  <c r="L140" i="5"/>
  <c r="I118" i="1"/>
  <c r="I130" i="1"/>
  <c r="I140" i="1"/>
  <c r="I136" i="1"/>
  <c r="I137" i="1"/>
  <c r="I140" i="5"/>
  <c r="I141" i="5"/>
  <c r="I153" i="5"/>
  <c r="I154" i="5"/>
  <c r="I165" i="5"/>
  <c r="I185" i="5"/>
  <c r="I186" i="5"/>
  <c r="J121" i="1"/>
  <c r="J131" i="1"/>
  <c r="J132" i="1"/>
  <c r="J141" i="1"/>
  <c r="J142" i="1"/>
  <c r="K142" i="1"/>
  <c r="M142" i="1"/>
  <c r="J109" i="1"/>
  <c r="J69" i="1"/>
  <c r="K69" i="1"/>
  <c r="I81" i="5"/>
  <c r="I91" i="5"/>
  <c r="I98" i="5"/>
  <c r="I99" i="5"/>
  <c r="I167" i="5"/>
  <c r="J167" i="5"/>
  <c r="L167" i="5"/>
  <c r="I142" i="5"/>
  <c r="I143" i="5"/>
  <c r="J143" i="5"/>
  <c r="L143" i="5"/>
  <c r="E144" i="7"/>
  <c r="E145" i="7"/>
  <c r="E148" i="7"/>
  <c r="E149" i="7"/>
  <c r="E160" i="7"/>
  <c r="E158" i="7"/>
  <c r="E172" i="7"/>
  <c r="E141" i="5"/>
  <c r="G141" i="5"/>
  <c r="J187" i="7"/>
  <c r="J188" i="7"/>
  <c r="J190" i="7"/>
  <c r="J184" i="7"/>
  <c r="G213" i="7"/>
  <c r="G205" i="7"/>
  <c r="K187" i="7"/>
  <c r="K76" i="7"/>
  <c r="K130" i="7"/>
  <c r="K131" i="7"/>
  <c r="K134" i="7"/>
  <c r="K142" i="7"/>
  <c r="K143" i="7"/>
  <c r="K155" i="7"/>
  <c r="K156" i="7"/>
  <c r="K167" i="7"/>
  <c r="K68" i="7"/>
  <c r="J160" i="7"/>
  <c r="J177" i="7"/>
  <c r="J179" i="7"/>
  <c r="G102" i="7"/>
  <c r="G169" i="7"/>
  <c r="G170" i="7"/>
  <c r="G194" i="7"/>
  <c r="G195" i="7"/>
  <c r="E68" i="7"/>
  <c r="E76" i="7"/>
  <c r="E130" i="7"/>
  <c r="E131" i="7"/>
  <c r="E134" i="7"/>
  <c r="E142" i="7"/>
  <c r="E143" i="7"/>
  <c r="E155" i="7"/>
  <c r="E156" i="7"/>
  <c r="E167" i="7"/>
  <c r="E187" i="7"/>
  <c r="E188" i="7"/>
  <c r="E181" i="7"/>
  <c r="E196" i="7"/>
  <c r="E197" i="7"/>
  <c r="D166" i="5"/>
  <c r="D184" i="5"/>
  <c r="D187" i="5"/>
  <c r="I187" i="7"/>
  <c r="I188" i="7"/>
  <c r="I181" i="7"/>
  <c r="I196" i="7"/>
  <c r="I197" i="7"/>
  <c r="I207" i="7"/>
  <c r="I212" i="7"/>
  <c r="J114" i="7"/>
  <c r="J122" i="7"/>
  <c r="J127" i="7"/>
  <c r="D131" i="5"/>
  <c r="D74" i="5"/>
  <c r="E74" i="5"/>
  <c r="I114" i="7"/>
  <c r="I122" i="7"/>
  <c r="I127" i="7"/>
  <c r="J213" i="7"/>
  <c r="J102" i="7"/>
  <c r="J169" i="7"/>
  <c r="J170" i="7"/>
  <c r="J194" i="7"/>
  <c r="J195" i="7"/>
  <c r="J217" i="7"/>
  <c r="J119" i="1"/>
  <c r="K119" i="1"/>
  <c r="M119" i="1"/>
  <c r="F167" i="7"/>
  <c r="F68" i="7"/>
  <c r="F76" i="7"/>
  <c r="F130" i="7"/>
  <c r="F131" i="7"/>
  <c r="F134" i="7"/>
  <c r="F142" i="7"/>
  <c r="F143" i="7"/>
  <c r="F155" i="7"/>
  <c r="F156" i="7"/>
  <c r="F168" i="7"/>
  <c r="F186" i="7"/>
  <c r="F189" i="7"/>
  <c r="D185" i="5"/>
  <c r="D186" i="5"/>
  <c r="D179" i="5"/>
  <c r="D194" i="5"/>
  <c r="D195" i="5"/>
  <c r="D205" i="5"/>
  <c r="E205" i="5"/>
  <c r="G205" i="5"/>
  <c r="D142" i="5"/>
  <c r="D143" i="5"/>
  <c r="D146" i="5"/>
  <c r="D147" i="5"/>
  <c r="D158" i="5"/>
  <c r="E158" i="5"/>
  <c r="G158" i="5"/>
  <c r="G68" i="7"/>
  <c r="G76" i="7"/>
  <c r="G130" i="7"/>
  <c r="G131" i="7"/>
  <c r="G134" i="7"/>
  <c r="G142" i="7"/>
  <c r="G143" i="7"/>
  <c r="G155" i="7"/>
  <c r="G156" i="7"/>
  <c r="G167" i="7"/>
  <c r="G187" i="7"/>
  <c r="G188" i="7"/>
  <c r="J142" i="7"/>
  <c r="J143" i="7"/>
  <c r="J155" i="7"/>
  <c r="J156" i="7"/>
  <c r="J167" i="7"/>
  <c r="J68" i="7"/>
  <c r="J76" i="7"/>
  <c r="J130" i="7"/>
  <c r="J131" i="7"/>
  <c r="J134" i="7"/>
  <c r="J144" i="7"/>
  <c r="J145" i="7"/>
  <c r="J148" i="7"/>
  <c r="J149" i="7"/>
  <c r="N132" i="5"/>
  <c r="N140" i="5"/>
  <c r="N141" i="5"/>
  <c r="N153" i="5"/>
  <c r="N154" i="5"/>
  <c r="N166" i="5"/>
  <c r="N174" i="5"/>
  <c r="N196" i="5"/>
  <c r="N73" i="5"/>
  <c r="N128" i="5"/>
  <c r="N129" i="5"/>
  <c r="I120" i="1"/>
  <c r="I123" i="1"/>
  <c r="I124" i="1"/>
  <c r="I133" i="1"/>
  <c r="I134" i="1"/>
  <c r="I143" i="1"/>
  <c r="H142" i="7"/>
  <c r="H143" i="7"/>
  <c r="H155" i="7"/>
  <c r="H156" i="7"/>
  <c r="H167" i="7"/>
  <c r="H68" i="7"/>
  <c r="H76" i="7"/>
  <c r="H130" i="7"/>
  <c r="H131" i="7"/>
  <c r="H134" i="7"/>
  <c r="H144" i="7"/>
  <c r="H145" i="7"/>
  <c r="H148" i="7"/>
  <c r="H149" i="7"/>
  <c r="H160" i="7"/>
  <c r="H177" i="7"/>
  <c r="H179" i="7"/>
  <c r="I167" i="7"/>
  <c r="I68" i="7"/>
  <c r="I76" i="7"/>
  <c r="I130" i="7"/>
  <c r="I131" i="7"/>
  <c r="I134" i="7"/>
  <c r="I142" i="7"/>
  <c r="I143" i="7"/>
  <c r="I155" i="7"/>
  <c r="I156" i="7"/>
  <c r="I168" i="7"/>
  <c r="I176" i="7"/>
  <c r="I198" i="7"/>
  <c r="I199" i="7"/>
  <c r="I208" i="7"/>
  <c r="I209" i="7"/>
  <c r="I119" i="1"/>
  <c r="I64" i="1"/>
  <c r="I68" i="1"/>
  <c r="I106" i="1"/>
  <c r="I107" i="1"/>
  <c r="I110" i="1"/>
  <c r="I114" i="1"/>
  <c r="J64" i="1"/>
  <c r="J68" i="1"/>
  <c r="J106" i="1"/>
  <c r="J107" i="1"/>
  <c r="J110" i="1"/>
  <c r="J118" i="1"/>
  <c r="J130" i="1"/>
  <c r="J140" i="1"/>
  <c r="K140" i="1"/>
  <c r="M140" i="1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2" i="5"/>
  <c r="I136" i="5"/>
  <c r="N71" i="5"/>
  <c r="N81" i="5"/>
  <c r="N91" i="5"/>
  <c r="N98" i="5"/>
  <c r="N99" i="5"/>
  <c r="N167" i="5"/>
  <c r="N168" i="5"/>
  <c r="N192" i="5"/>
</calcChain>
</file>

<file path=xl/comments1.xml><?xml version="1.0" encoding="utf-8"?>
<comments xmlns="http://schemas.openxmlformats.org/spreadsheetml/2006/main">
  <authors>
    <author>Juan Leonardo Valadez Ortiz</author>
    <author>Leonardo Valadez Ortiz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5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114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Nondimensional flow</t>
        </r>
      </text>
    </comment>
  </commentList>
</comments>
</file>

<file path=xl/comments2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6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<sst xmlns="http://schemas.openxmlformats.org/spreadsheetml/2006/main" count="1848" uniqueCount="412">
  <si>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</si>
  <si>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</si>
  <si>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</si>
  <si>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</si>
  <si>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</si>
  <si>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</si>
  <si>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</si>
  <si>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</si>
  <si>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</si>
  <si>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</si>
  <si>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</si>
  <si>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</si>
  <si>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</si>
  <si>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</si>
  <si>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</si>
  <si>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</si>
  <si>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</si>
  <si>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</si>
  <si>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</si>
  <si>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</si>
  <si>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</si>
  <si>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</si>
  <si>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</si>
  <si>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</si>
  <si>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</si>
  <si>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</si>
  <si>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</si>
  <si>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</si>
  <si>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</si>
  <si>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</si>
  <si>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</si>
  <si>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</si>
  <si>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</si>
  <si>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</si>
  <si>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</si>
  <si>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</si>
  <si>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</si>
  <si>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</si>
  <si>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</si>
  <si>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</si>
  <si>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</si>
  <si>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</si>
  <si>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</si>
  <si>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</si>
  <si>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</si>
  <si>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</si>
  <si>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</si>
  <si>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</si>
  <si>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</si>
  <si>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</si>
  <si>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</si>
  <si>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</si>
  <si>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</si>
  <si>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</si>
  <si>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</si>
  <si>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</si>
  <si>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</si>
  <si>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</si>
  <si>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</si>
  <si>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</si>
  <si>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</si>
  <si>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</si>
  <si>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</si>
  <si>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</si>
  <si>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</si>
  <si>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</si>
  <si>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</si>
  <si>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</si>
  <si>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</si>
  <si>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</si>
  <si>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</si>
  <si>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</si>
  <si>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</si>
  <si>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</si>
  <si>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</si>
  <si>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</si>
  <si>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</si>
  <si>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</si>
  <si>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</si>
  <si>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</si>
  <si>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</si>
  <si>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</si>
  <si>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</si>
  <si>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</si>
  <si>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</si>
  <si>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</si>
  <si>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</si>
  <si>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</si>
  <si>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</si>
  <si>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</si>
  <si>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</si>
  <si>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</si>
  <si>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</si>
  <si>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</si>
  <si>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</si>
  <si>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</si>
  <si>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</si>
  <si>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</si>
  <si>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</si>
  <si>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</si>
  <si>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</si>
  <si>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</si>
  <si>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</si>
  <si>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</si>
  <si>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</si>
  <si>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</si>
  <si>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</si>
  <si>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</si>
  <si>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</si>
  <si>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</si>
  <si>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</si>
  <si>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</si>
  <si>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</si>
  <si>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</si>
  <si>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</si>
  <si>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</si>
  <si>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</si>
  <si>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</si>
  <si>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</si>
  <si>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</si>
  <si>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</si>
  <si>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</si>
  <si>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</si>
  <si>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</si>
  <si>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</si>
  <si>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</si>
  <si>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</si>
  <si>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</si>
  <si>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</si>
  <si>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</si>
  <si>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</si>
  <si>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</si>
  <si>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</si>
  <si>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</si>
  <si>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</si>
  <si>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</si>
  <si>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</si>
  <si>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</si>
  <si>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</si>
  <si>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</si>
  <si>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</si>
  <si>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</si>
  <si>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</si>
  <si>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</si>
  <si>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</si>
  <si>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</si>
  <si>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</si>
  <si>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</si>
  <si>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</si>
  <si>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</si>
  <si>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</si>
  <si>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</si>
  <si>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</si>
  <si>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</si>
  <si>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</si>
  <si>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</si>
  <si>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</si>
  <si>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</si>
  <si>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</si>
  <si>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</si>
  <si>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</si>
  <si>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</si>
  <si>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</si>
  <si>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</si>
  <si>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</si>
  <si>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</si>
  <si>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</si>
  <si>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</si>
  <si>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</si>
  <si>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</si>
  <si>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</si>
  <si>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</si>
  <si>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</si>
  <si>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</si>
  <si>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</si>
  <si>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</si>
  <si>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</si>
  <si>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</si>
  <si>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</si>
  <si>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</si>
  <si>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</si>
  <si>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</si>
  <si>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</si>
  <si>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</si>
  <si>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</si>
  <si>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</si>
  <si>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</si>
  <si>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</si>
  <si>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</si>
  <si>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</si>
  <si>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</si>
  <si>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</si>
  <si>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</si>
  <si>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</si>
  <si>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</si>
  <si>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</si>
  <si>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</si>
  <si>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</si>
  <si>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</si>
  <si>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</si>
  <si>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</si>
  <si>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</si>
  <si>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</si>
  <si>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</si>
  <si>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</si>
  <si>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</si>
  <si>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</si>
  <si>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</si>
  <si>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</si>
  <si>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</si>
  <si>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</si>
  <si>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</si>
  <si>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</si>
  <si>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</si>
  <si>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</si>
  <si>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</si>
  <si>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</si>
  <si>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</si>
  <si>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</si>
  <si>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</si>
  <si>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</si>
  <si>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</si>
  <si>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</si>
  <si>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</si>
  <si>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</si>
  <si>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</si>
  <si>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</si>
  <si>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</si>
  <si>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</si>
  <si>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</si>
  <si>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</si>
  <si>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</si>
  <si>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</si>
  <si>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</si>
  <si>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</si>
  <si>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</si>
  <si>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</si>
  <si>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</si>
  <si>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</si>
  <si>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</si>
  <si>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</si>
  <si>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</si>
  <si>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</si>
  <si>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</si>
  <si>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</si>
  <si>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</si>
  <si>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</si>
  <si>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</si>
  <si>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</si>
  <si>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</si>
  <si>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</si>
  <si>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</si>
  <si>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</si>
  <si>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</si>
  <si>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</si>
  <si>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</si>
  <si>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</si>
  <si>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</si>
  <si>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</si>
  <si>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</si>
  <si>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</si>
  <si>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</si>
  <si>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</si>
  <si>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</si>
  <si>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</si>
  <si>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</si>
  <si>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</si>
  <si>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</si>
  <si>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</si>
  <si>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</si>
  <si>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</si>
  <si>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</si>
  <si>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</si>
  <si>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</si>
  <si>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</si>
  <si>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</si>
  <si>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</si>
  <si>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</si>
  <si>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</si>
  <si>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</si>
  <si>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</si>
  <si>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</si>
  <si>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</si>
  <si>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</si>
  <si>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</si>
  <si>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</si>
  <si>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</si>
  <si>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</si>
  <si>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</si>
  <si>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</si>
  <si>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</si>
  <si>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</si>
  <si>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</si>
  <si>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</si>
  <si>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</si>
  <si>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</si>
  <si>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</si>
  <si>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</si>
  <si>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</si>
  <si>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</si>
  <si>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</si>
  <si>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</si>
  <si>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</si>
  <si>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</si>
  <si>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</si>
  <si>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</si>
  <si>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</si>
  <si>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</si>
  <si>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</si>
  <si>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</si>
  <si>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</si>
  <si>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</si>
  <si>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</si>
  <si>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</si>
  <si>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</si>
  <si>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</si>
  <si>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</si>
  <si>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</si>
  <si>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</si>
  <si>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</si>
  <si>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</si>
  <si>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</si>
  <si>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</si>
  <si>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</si>
  <si>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</si>
  <si>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</si>
  <si>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</si>
  <si>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</si>
  <si>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</si>
  <si>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</si>
  <si>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</si>
  <si>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</si>
  <si>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</si>
  <si>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</si>
  <si>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</si>
  <si>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</si>
  <si>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</si>
  <si>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</si>
  <si>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</si>
  <si>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</si>
  <si>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</si>
  <si>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</si>
  <si>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</si>
  <si>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</si>
  <si>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</si>
  <si>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</si>
  <si>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</si>
  <si>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</si>
  <si>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</si>
  <si>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</si>
  <si>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</si>
  <si>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</si>
  <si>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</si>
  <si>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</si>
  <si>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</si>
  <si>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</si>
  <si>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</si>
  <si>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</si>
  <si>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</si>
  <si>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</si>
  <si>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</si>
  <si>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</si>
  <si>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</si>
  <si>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</si>
  <si>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</si>
  <si>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</si>
  <si>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</si>
  <si>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</si>
  <si>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</si>
  <si>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</si>
  <si>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</si>
  <si>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</si>
  <si>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</si>
  <si>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</si>
  <si>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</si>
  <si>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</si>
  <si>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</si>
  <si>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</si>
  <si>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</si>
  <si>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</si>
  <si>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</si>
  <si>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</si>
  <si>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</si>
  <si>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</si>
  <si>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</si>
  <si>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</si>
  <si>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</si>
  <si>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</si>
  <si>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</si>
  <si>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</si>
  <si>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</si>
  <si>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</si>
  <si>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</si>
  <si>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</si>
  <si>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</si>
  <si>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</si>
  <si>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</si>
  <si>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</si>
  <si>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</si>
  <si>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</si>
  <si>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</si>
  <si>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</si>
  <si>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</si>
  <si>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</si>
  <si>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</si>
  <si>
    <t>Specific Work (w_t)</t>
  </si>
  <si>
    <t>M7</t>
  </si>
  <si>
    <t>A7/A6</t>
  </si>
  <si>
    <t>A6</t>
  </si>
  <si>
    <t>Tt5 (proposed)</t>
  </si>
  <si>
    <t>P6 (static pressure)</t>
  </si>
  <si>
    <t>mass flow parameter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</si>
</sst>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99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165" fontId="10" fillId="6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0" applyFont="1" applyAlignment="1">
      <alignment horizontal="left" vertical="center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147294</xdr:colOff>
      <xdr:row>125</xdr:row>
      <xdr:rowOff>65562</xdr:rowOff>
    </xdr:from>
    <xdr:to>
      <xdr:col>7</xdr:col>
      <xdr:colOff>257032</xdr:colOff>
      <xdr:row>150</xdr:row>
      <xdr:rowOff>84216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4C2310D3-0993-2E8A-2563-F8DFA29A4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1624" y="20588500"/>
          <a:ext cx="2492723" cy="3962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83004</xdr:rowOff>
    </xdr:to>
    <xdr:pic>
      <xdr:nvPicPr>
        <xdr:cNvPr id="16" name="Picture 15">
          <a:extLst>
            <a:ext uri="{FF2B5EF4-FFF2-40B4-BE49-F238E27FC236}">
              <a16:creationId xmlns="" xmlns:a16="http://schemas.microsoft.com/office/drawing/2014/main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526916</xdr:colOff>
      <xdr:row>47</xdr:row>
      <xdr:rowOff>8384</xdr:rowOff>
    </xdr:to>
    <xdr:pic>
      <xdr:nvPicPr>
        <xdr:cNvPr id="17" name="Picture 16">
          <a:extLst>
            <a:ext uri="{FF2B5EF4-FFF2-40B4-BE49-F238E27FC236}">
              <a16:creationId xmlns="" xmlns:a16="http://schemas.microsoft.com/office/drawing/2014/main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278381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="" xmlns:a16="http://schemas.microsoft.com/office/drawing/2014/main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="" xmlns:a16="http://schemas.microsoft.com/office/drawing/2014/main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153"/>
  <sheetViews>
    <sheetView tabSelected="1" topLeftCell="A109" zoomScale="97" workbookViewId="0">
      <selection activeCell="F123" sqref="F123"/>
    </sheetView>
  </sheetViews>
  <sheetFormatPr defaultColWidth="9.140625" defaultRowHeight="12.75" x14ac:dyDescent="0.25"/>
  <cols>
    <col min="1" max="1" width="4.28515625" style="63" customWidth="1"/>
    <col min="2" max="2" width="24.85546875" style="63" bestFit="1" customWidth="1"/>
    <col min="3" max="3" width="9.5703125" style="63" bestFit="1" customWidth="1"/>
    <col min="4" max="6" width="12.5703125" style="63" customWidth="1"/>
    <col min="7" max="16384" width="9.140625" style="63"/>
  </cols>
  <sheetData>
    <row r="2" spans="2:4" s="62" customFormat="1" ht="25.5" x14ac:dyDescent="0.25">
      <c r="B2" s="61" t="s">
        <v>272</v>
      </c>
      <c r="C2" s="61" t="s">
        <v>278</v>
      </c>
      <c r="D2" s="62" t="s">
        <v>211</v>
      </c>
    </row>
    <row r="3" spans="2:4" x14ac:dyDescent="0.25">
      <c r="B3" s="63" t="s">
        <v>273</v>
      </c>
      <c r="C3" s="63" t="s">
        <v>279</v>
      </c>
      <c r="D3" s="65">
        <v>0</v>
      </c>
    </row>
    <row r="4" spans="2:4" x14ac:dyDescent="0.25">
      <c r="B4" s="63" t="s">
        <v>274</v>
      </c>
      <c r="C4" s="63" t="s">
        <v>7</v>
      </c>
      <c r="D4" s="65">
        <f>15.04-0.00649*(D3*1000)</f>
        <v>15.04</v>
      </c>
    </row>
    <row r="5" spans="2:4" x14ac:dyDescent="0.25">
      <c r="B5" s="63" t="s">
        <v>275</v>
      </c>
      <c r="C5" s="63" t="s">
        <v>204</v>
      </c>
      <c r="D5" s="65">
        <f>D4+273</f>
        <v>288.04000000000002</v>
      </c>
    </row>
    <row r="6" spans="2:4" ht="15" x14ac:dyDescent="0.25">
      <c r="B6" s="63" t="s">
        <v>276</v>
      </c>
      <c r="C6" s="63" t="s">
        <v>10</v>
      </c>
      <c r="D6" s="90">
        <f>101.29*((D5)/288.08)^(5.256)</f>
        <v>101.21610067211037</v>
      </c>
    </row>
    <row r="7" spans="2:4" x14ac:dyDescent="0.2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2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25">
      <c r="B9" s="63" t="s">
        <v>400</v>
      </c>
      <c r="C9" s="63" t="s">
        <v>84</v>
      </c>
      <c r="D9" s="65">
        <f>SQRT(1.4*287*D5)</f>
        <v>340.19769546544552</v>
      </c>
    </row>
    <row r="10" spans="2:4" x14ac:dyDescent="0.25">
      <c r="B10" s="63" t="s">
        <v>282</v>
      </c>
      <c r="C10" s="63" t="s">
        <v>84</v>
      </c>
      <c r="D10" s="65">
        <v>0</v>
      </c>
    </row>
    <row r="11" spans="2:4" x14ac:dyDescent="0.25">
      <c r="B11" s="63" t="s">
        <v>281</v>
      </c>
      <c r="C11" s="63" t="s">
        <v>11</v>
      </c>
      <c r="D11" s="65">
        <f>D10/D9</f>
        <v>0</v>
      </c>
    </row>
    <row r="12" spans="2:4" x14ac:dyDescent="0.25">
      <c r="B12" s="63" t="s">
        <v>352</v>
      </c>
      <c r="C12" s="63" t="s">
        <v>353</v>
      </c>
      <c r="D12" s="63">
        <f>6.6743*10^-11</f>
        <v>6.6742999999999994E-11</v>
      </c>
    </row>
    <row r="14" spans="2:4" s="64" customFormat="1" x14ac:dyDescent="0.25">
      <c r="B14" s="64" t="s">
        <v>277</v>
      </c>
    </row>
    <row r="15" spans="2:4" x14ac:dyDescent="0.25">
      <c r="B15" s="63" t="s">
        <v>13</v>
      </c>
      <c r="C15" s="63" t="s">
        <v>283</v>
      </c>
      <c r="D15" s="65">
        <v>1.0055000000000001</v>
      </c>
    </row>
    <row r="16" spans="2:4" x14ac:dyDescent="0.25">
      <c r="B16" s="63" t="s">
        <v>15</v>
      </c>
      <c r="C16" s="63" t="s">
        <v>30</v>
      </c>
      <c r="D16" s="65">
        <v>1.4</v>
      </c>
    </row>
    <row r="17" spans="2:5" x14ac:dyDescent="0.25">
      <c r="B17" s="63" t="s">
        <v>16</v>
      </c>
      <c r="C17" s="63" t="s">
        <v>283</v>
      </c>
      <c r="D17" s="65">
        <v>1.1695404045015168</v>
      </c>
      <c r="E17" s="66"/>
    </row>
    <row r="18" spans="2:5" x14ac:dyDescent="0.25">
      <c r="B18" s="63" t="s">
        <v>18</v>
      </c>
      <c r="C18" s="63" t="s">
        <v>30</v>
      </c>
      <c r="D18" s="65">
        <v>1.33</v>
      </c>
    </row>
    <row r="19" spans="2:5" x14ac:dyDescent="0.25">
      <c r="B19" s="63" t="s">
        <v>19</v>
      </c>
      <c r="C19" s="63" t="s">
        <v>283</v>
      </c>
      <c r="D19" s="65">
        <v>1.2351000000000001</v>
      </c>
      <c r="E19" s="65"/>
    </row>
    <row r="20" spans="2:5" x14ac:dyDescent="0.25">
      <c r="B20" s="63" t="s">
        <v>20</v>
      </c>
      <c r="C20" s="63" t="s">
        <v>30</v>
      </c>
      <c r="D20" s="65">
        <v>1.3</v>
      </c>
    </row>
    <row r="21" spans="2:5" x14ac:dyDescent="0.25">
      <c r="B21" s="63" t="s">
        <v>285</v>
      </c>
      <c r="C21" s="63" t="s">
        <v>30</v>
      </c>
      <c r="D21" s="65" t="s">
        <v>342</v>
      </c>
    </row>
    <row r="22" spans="2:5" x14ac:dyDescent="0.2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x14ac:dyDescent="0.25">
      <c r="B24" s="67" t="s">
        <v>284</v>
      </c>
    </row>
    <row r="26" spans="2:5" x14ac:dyDescent="0.25">
      <c r="B26" s="67" t="s">
        <v>397</v>
      </c>
    </row>
    <row r="27" spans="2:5" x14ac:dyDescent="0.25">
      <c r="B27" s="63" t="s">
        <v>398</v>
      </c>
      <c r="C27" s="63" t="s">
        <v>208</v>
      </c>
      <c r="D27" s="63" t="s">
        <v>30</v>
      </c>
    </row>
    <row r="28" spans="2:5" x14ac:dyDescent="0.25">
      <c r="B28" s="63" t="s">
        <v>114</v>
      </c>
      <c r="C28" s="63" t="s">
        <v>107</v>
      </c>
      <c r="D28" s="63">
        <v>240</v>
      </c>
    </row>
    <row r="30" spans="2:5" x14ac:dyDescent="0.25">
      <c r="B30" s="71" t="s">
        <v>24</v>
      </c>
    </row>
    <row r="31" spans="2:5" x14ac:dyDescent="0.25">
      <c r="B31" s="63" t="s">
        <v>25</v>
      </c>
      <c r="C31" s="63" t="s">
        <v>26</v>
      </c>
      <c r="D31" s="65">
        <v>3600</v>
      </c>
    </row>
    <row r="32" spans="2:5" x14ac:dyDescent="0.25">
      <c r="D32" s="65"/>
    </row>
    <row r="33" spans="2:4" ht="27.95" customHeight="1" x14ac:dyDescent="0.25">
      <c r="B33" s="72" t="s">
        <v>345</v>
      </c>
      <c r="D33" s="92">
        <f>D34*D35</f>
        <v>9</v>
      </c>
    </row>
    <row r="34" spans="2:4" x14ac:dyDescent="0.25">
      <c r="B34" s="63" t="s">
        <v>29</v>
      </c>
      <c r="C34" s="63" t="s">
        <v>30</v>
      </c>
      <c r="D34" s="65">
        <v>1</v>
      </c>
    </row>
    <row r="35" spans="2:4" x14ac:dyDescent="0.25">
      <c r="B35" s="63" t="s">
        <v>31</v>
      </c>
      <c r="C35" s="63" t="s">
        <v>30</v>
      </c>
      <c r="D35" s="65">
        <f>D36*D34</f>
        <v>9</v>
      </c>
    </row>
    <row r="36" spans="2:4" x14ac:dyDescent="0.25">
      <c r="B36" s="71" t="s">
        <v>33</v>
      </c>
      <c r="C36" s="63" t="s">
        <v>30</v>
      </c>
      <c r="D36" s="65">
        <v>9</v>
      </c>
    </row>
    <row r="37" spans="2:4" x14ac:dyDescent="0.25">
      <c r="B37" s="63" t="s">
        <v>35</v>
      </c>
      <c r="C37" s="63" t="s">
        <v>30</v>
      </c>
      <c r="D37" s="65">
        <v>0.98</v>
      </c>
    </row>
    <row r="38" spans="2:4" x14ac:dyDescent="0.25">
      <c r="B38" s="63" t="s">
        <v>396</v>
      </c>
      <c r="C38" s="63" t="s">
        <v>30</v>
      </c>
      <c r="D38" s="65"/>
    </row>
    <row r="39" spans="2:4" ht="25.5" x14ac:dyDescent="0.25">
      <c r="B39" s="91" t="s">
        <v>349</v>
      </c>
      <c r="C39" s="63" t="s">
        <v>30</v>
      </c>
      <c r="D39" s="65">
        <v>0.99</v>
      </c>
    </row>
    <row r="40" spans="2:4" x14ac:dyDescent="0.25">
      <c r="B40" s="63" t="s">
        <v>39</v>
      </c>
      <c r="C40" s="63" t="s">
        <v>30</v>
      </c>
      <c r="D40" s="65">
        <v>0.99</v>
      </c>
    </row>
    <row r="41" spans="2:4" x14ac:dyDescent="0.25">
      <c r="B41" s="63" t="s">
        <v>40</v>
      </c>
      <c r="C41" s="63" t="s">
        <v>30</v>
      </c>
      <c r="D41" s="65" t="s">
        <v>30</v>
      </c>
    </row>
    <row r="42" spans="2:4" x14ac:dyDescent="0.25">
      <c r="B42" s="63" t="s">
        <v>41</v>
      </c>
      <c r="C42" s="63" t="s">
        <v>30</v>
      </c>
      <c r="D42" s="65" t="s">
        <v>30</v>
      </c>
    </row>
    <row r="43" spans="2:4" x14ac:dyDescent="0.25">
      <c r="D43" s="65"/>
    </row>
    <row r="44" spans="2:4" ht="25.5" x14ac:dyDescent="0.25">
      <c r="B44" s="72" t="s">
        <v>347</v>
      </c>
      <c r="D44" s="92"/>
    </row>
    <row r="45" spans="2:4" x14ac:dyDescent="0.25">
      <c r="B45" s="91" t="s">
        <v>350</v>
      </c>
      <c r="C45" s="63" t="s">
        <v>30</v>
      </c>
      <c r="D45" s="65">
        <v>1</v>
      </c>
    </row>
    <row r="46" spans="2:4" x14ac:dyDescent="0.25">
      <c r="B46" s="63" t="s">
        <v>29</v>
      </c>
      <c r="C46" s="63" t="s">
        <v>30</v>
      </c>
      <c r="D46" s="65">
        <v>1</v>
      </c>
    </row>
    <row r="47" spans="2:4" x14ac:dyDescent="0.25">
      <c r="B47" s="63" t="s">
        <v>31</v>
      </c>
      <c r="C47" s="63" t="s">
        <v>30</v>
      </c>
      <c r="D47" s="65">
        <v>17.316999933520002</v>
      </c>
    </row>
    <row r="48" spans="2:4" x14ac:dyDescent="0.25">
      <c r="B48" s="63" t="s">
        <v>32</v>
      </c>
      <c r="C48" s="63" t="s">
        <v>30</v>
      </c>
      <c r="D48" s="65">
        <v>1.2</v>
      </c>
    </row>
    <row r="49" spans="2:4" x14ac:dyDescent="0.25">
      <c r="B49" s="71" t="s">
        <v>33</v>
      </c>
      <c r="C49" s="63" t="s">
        <v>30</v>
      </c>
      <c r="D49" s="65">
        <f>D48/1.1035343035343</f>
        <v>1.0874152223059568</v>
      </c>
    </row>
    <row r="50" spans="2:4" x14ac:dyDescent="0.25">
      <c r="B50" s="63" t="s">
        <v>35</v>
      </c>
      <c r="C50" s="63" t="s">
        <v>30</v>
      </c>
      <c r="D50" s="65">
        <v>0.96</v>
      </c>
    </row>
    <row r="51" spans="2:4" ht="25.5" x14ac:dyDescent="0.25">
      <c r="B51" s="91" t="s">
        <v>349</v>
      </c>
      <c r="C51" s="63" t="s">
        <v>30</v>
      </c>
      <c r="D51" s="65">
        <v>0.99</v>
      </c>
    </row>
    <row r="52" spans="2:4" x14ac:dyDescent="0.25">
      <c r="B52" s="63" t="s">
        <v>39</v>
      </c>
      <c r="C52" s="63" t="s">
        <v>30</v>
      </c>
      <c r="D52" s="65">
        <v>0.99</v>
      </c>
    </row>
    <row r="53" spans="2:4" x14ac:dyDescent="0.25">
      <c r="B53" s="63" t="s">
        <v>40</v>
      </c>
      <c r="C53" s="63" t="s">
        <v>30</v>
      </c>
      <c r="D53" s="65" t="s">
        <v>30</v>
      </c>
    </row>
    <row r="54" spans="2:4" x14ac:dyDescent="0.25">
      <c r="B54" s="63" t="s">
        <v>41</v>
      </c>
      <c r="C54" s="63" t="s">
        <v>30</v>
      </c>
      <c r="D54" s="65" t="s">
        <v>30</v>
      </c>
    </row>
    <row r="55" spans="2:4" x14ac:dyDescent="0.25">
      <c r="D55" s="65"/>
    </row>
    <row r="56" spans="2:4" x14ac:dyDescent="0.25">
      <c r="B56" s="74" t="s">
        <v>346</v>
      </c>
      <c r="D56" s="65"/>
    </row>
    <row r="57" spans="2:4" x14ac:dyDescent="0.25">
      <c r="B57" s="63" t="s">
        <v>44</v>
      </c>
      <c r="C57" s="63" t="s">
        <v>30</v>
      </c>
      <c r="D57" s="75">
        <v>0.9</v>
      </c>
    </row>
    <row r="58" spans="2:4" x14ac:dyDescent="0.25">
      <c r="B58" s="63" t="s">
        <v>354</v>
      </c>
      <c r="C58" s="63" t="s">
        <v>30</v>
      </c>
      <c r="D58" s="75">
        <v>0.995</v>
      </c>
    </row>
    <row r="59" spans="2:4" x14ac:dyDescent="0.25">
      <c r="B59" s="63" t="s">
        <v>47</v>
      </c>
      <c r="C59" s="63" t="s">
        <v>30</v>
      </c>
      <c r="D59" s="75">
        <v>0.91</v>
      </c>
    </row>
    <row r="60" spans="2:4" x14ac:dyDescent="0.25">
      <c r="B60" s="63" t="s">
        <v>48</v>
      </c>
      <c r="C60" s="63" t="s">
        <v>30</v>
      </c>
      <c r="D60" s="75">
        <v>0.99</v>
      </c>
    </row>
    <row r="61" spans="2:4" x14ac:dyDescent="0.25">
      <c r="D61" s="75"/>
    </row>
    <row r="62" spans="2:4" x14ac:dyDescent="0.25">
      <c r="B62" s="63" t="s">
        <v>50</v>
      </c>
      <c r="C62" s="63" t="s">
        <v>30</v>
      </c>
      <c r="D62" s="65">
        <f>((D36^(1.4-1)/(1.4))/((D36^(1.4-1)/(1.4*D57))))</f>
        <v>0.90000000000000013</v>
      </c>
    </row>
    <row r="63" spans="2:4" x14ac:dyDescent="0.25">
      <c r="B63" s="63" t="s">
        <v>395</v>
      </c>
      <c r="C63" s="63" t="s">
        <v>30</v>
      </c>
      <c r="D63" s="65">
        <f>((1-(1)))</f>
        <v>0</v>
      </c>
    </row>
    <row r="64" spans="2:4" x14ac:dyDescent="0.25">
      <c r="D64" s="65"/>
    </row>
    <row r="65" spans="2:5" x14ac:dyDescent="0.25">
      <c r="B65" s="76" t="s">
        <v>52</v>
      </c>
      <c r="D65" s="65"/>
    </row>
    <row r="66" spans="2:5" x14ac:dyDescent="0.25">
      <c r="B66" s="63" t="s">
        <v>53</v>
      </c>
      <c r="C66" s="63" t="s">
        <v>54</v>
      </c>
      <c r="D66" s="88">
        <f>(165.211-164.291)/165.211</f>
        <v>5.5686364709372615E-3</v>
      </c>
    </row>
    <row r="67" spans="2:5" x14ac:dyDescent="0.25">
      <c r="B67" s="63" t="s">
        <v>55</v>
      </c>
      <c r="C67" s="63" t="s">
        <v>54</v>
      </c>
      <c r="D67" s="88">
        <f>(164.29-153.9)/164.29</f>
        <v>6.3241828474039724E-2</v>
      </c>
    </row>
    <row r="68" spans="2:5" x14ac:dyDescent="0.25">
      <c r="B68" s="63" t="s">
        <v>56</v>
      </c>
      <c r="C68" s="63" t="s">
        <v>54</v>
      </c>
      <c r="D68" s="88">
        <f>(163.638-156.758)/164.291</f>
        <v>4.1876913525390892E-2</v>
      </c>
    </row>
    <row r="69" spans="2:5" x14ac:dyDescent="0.25">
      <c r="B69" s="63" t="s">
        <v>57</v>
      </c>
      <c r="C69" s="63" t="s">
        <v>54</v>
      </c>
      <c r="D69" s="88">
        <f>(165.667-163.638)/164.291</f>
        <v>1.2350037433578202E-2</v>
      </c>
    </row>
    <row r="70" spans="2:5" x14ac:dyDescent="0.25">
      <c r="B70" s="63" t="s">
        <v>58</v>
      </c>
      <c r="C70" s="63" t="s">
        <v>54</v>
      </c>
      <c r="D70" s="88">
        <f>D67-D68-D69</f>
        <v>9.0148775150706295E-3</v>
      </c>
    </row>
    <row r="71" spans="2:5" x14ac:dyDescent="0.25">
      <c r="B71" s="63" t="s">
        <v>59</v>
      </c>
      <c r="C71" s="63" t="s">
        <v>54</v>
      </c>
      <c r="D71" s="88">
        <v>0</v>
      </c>
    </row>
    <row r="72" spans="2:5" x14ac:dyDescent="0.25">
      <c r="D72" s="88">
        <f>SUM(D66:D71)</f>
        <v>0.13205229341901673</v>
      </c>
    </row>
    <row r="73" spans="2:5" x14ac:dyDescent="0.25">
      <c r="D73" s="65"/>
    </row>
    <row r="74" spans="2:5" x14ac:dyDescent="0.25">
      <c r="B74" s="77" t="s">
        <v>60</v>
      </c>
      <c r="D74" s="65"/>
    </row>
    <row r="75" spans="2:5" x14ac:dyDescent="0.25">
      <c r="B75" s="63" t="s">
        <v>61</v>
      </c>
      <c r="C75" s="63" t="s">
        <v>204</v>
      </c>
      <c r="D75" s="65">
        <v>1524.8555555555554</v>
      </c>
    </row>
    <row r="76" spans="2:5" ht="15" x14ac:dyDescent="0.25">
      <c r="B76" s="63" t="s">
        <v>64</v>
      </c>
      <c r="C76" s="63" t="s">
        <v>65</v>
      </c>
      <c r="D76" s="65" t="e">
        <f>#REF!</f>
        <v>#REF!</v>
      </c>
      <c r="E76"/>
    </row>
    <row r="77" spans="2:5" x14ac:dyDescent="0.25">
      <c r="B77" s="63" t="s">
        <v>67</v>
      </c>
      <c r="D77" s="65">
        <v>1.8</v>
      </c>
    </row>
    <row r="78" spans="2:5" x14ac:dyDescent="0.25">
      <c r="D78" s="65"/>
    </row>
    <row r="79" spans="2:5" x14ac:dyDescent="0.25">
      <c r="B79" s="77" t="s">
        <v>68</v>
      </c>
      <c r="D79" s="65"/>
    </row>
    <row r="80" spans="2:5" x14ac:dyDescent="0.25">
      <c r="B80" s="63" t="s">
        <v>399</v>
      </c>
      <c r="C80" s="63" t="s">
        <v>65</v>
      </c>
      <c r="D80" s="65" t="s">
        <v>351</v>
      </c>
    </row>
    <row r="81" spans="2:4" x14ac:dyDescent="0.25">
      <c r="B81" s="63" t="s">
        <v>69</v>
      </c>
      <c r="C81" s="63" t="s">
        <v>65</v>
      </c>
      <c r="D81" s="65" t="e">
        <f>SUM(#REF!)</f>
        <v>#REF!</v>
      </c>
    </row>
    <row r="82" spans="2:4" x14ac:dyDescent="0.25">
      <c r="B82" s="63" t="s">
        <v>74</v>
      </c>
      <c r="C82" s="63" t="s">
        <v>65</v>
      </c>
      <c r="D82" s="65"/>
    </row>
    <row r="83" spans="2:4" x14ac:dyDescent="0.25">
      <c r="B83" s="63" t="s">
        <v>75</v>
      </c>
      <c r="C83" s="63" t="s">
        <v>65</v>
      </c>
      <c r="D83" s="65" t="e">
        <f>#REF!+#REF!-#REF!</f>
        <v>#REF!</v>
      </c>
    </row>
    <row r="85" spans="2:4" s="68" customFormat="1" x14ac:dyDescent="0.25">
      <c r="B85" s="68" t="s">
        <v>76</v>
      </c>
    </row>
    <row r="86" spans="2:4" x14ac:dyDescent="0.25">
      <c r="B86" s="93" t="s">
        <v>77</v>
      </c>
      <c r="D86" s="66"/>
    </row>
    <row r="87" spans="2:4" x14ac:dyDescent="0.25">
      <c r="B87" s="63" t="s">
        <v>79</v>
      </c>
      <c r="C87" s="63" t="s">
        <v>10</v>
      </c>
      <c r="D87" s="65">
        <f>D6</f>
        <v>101.21610067211037</v>
      </c>
    </row>
    <row r="88" spans="2:4" x14ac:dyDescent="0.25">
      <c r="B88" s="63" t="s">
        <v>80</v>
      </c>
      <c r="C88" s="63" t="s">
        <v>10</v>
      </c>
      <c r="D88" s="65">
        <f>D87*(1+(1.4-1)*0.5*D11^2)^(1.4/(1.4-1))</f>
        <v>101.21610067211037</v>
      </c>
    </row>
    <row r="89" spans="2:4" x14ac:dyDescent="0.25">
      <c r="B89" s="63" t="s">
        <v>81</v>
      </c>
      <c r="C89" s="63" t="s">
        <v>8</v>
      </c>
      <c r="D89" s="73">
        <f>D5</f>
        <v>288.04000000000002</v>
      </c>
    </row>
    <row r="90" spans="2:4" x14ac:dyDescent="0.25">
      <c r="B90" s="63" t="s">
        <v>82</v>
      </c>
      <c r="C90" s="63" t="s">
        <v>8</v>
      </c>
      <c r="D90" s="73">
        <f>D89*(1+(1.4-1)*0.5*D11^2)</f>
        <v>288.04000000000002</v>
      </c>
    </row>
    <row r="91" spans="2:4" x14ac:dyDescent="0.25">
      <c r="B91" s="63" t="s">
        <v>83</v>
      </c>
      <c r="C91" s="63" t="s">
        <v>84</v>
      </c>
      <c r="D91" s="73">
        <f>D9</f>
        <v>340.19769546544552</v>
      </c>
    </row>
    <row r="92" spans="2:4" x14ac:dyDescent="0.25">
      <c r="B92" s="63" t="s">
        <v>85</v>
      </c>
      <c r="C92" s="63" t="s">
        <v>84</v>
      </c>
      <c r="D92" s="73">
        <f>D11*D91</f>
        <v>0</v>
      </c>
    </row>
    <row r="93" spans="2:4" x14ac:dyDescent="0.25">
      <c r="B93" s="63" t="s">
        <v>86</v>
      </c>
      <c r="C93" s="63" t="s">
        <v>87</v>
      </c>
      <c r="D93" s="73">
        <f>(D15*(1.4-1)/1.4)</f>
        <v>0.28728571428571426</v>
      </c>
    </row>
    <row r="94" spans="2:4" x14ac:dyDescent="0.25">
      <c r="D94" s="73"/>
    </row>
    <row r="95" spans="2:4" x14ac:dyDescent="0.25">
      <c r="B95" s="93" t="s">
        <v>88</v>
      </c>
      <c r="D95" s="73"/>
    </row>
    <row r="96" spans="2:4" x14ac:dyDescent="0.25">
      <c r="B96" s="63" t="s">
        <v>90</v>
      </c>
      <c r="C96" s="63" t="s">
        <v>10</v>
      </c>
      <c r="D96" s="73">
        <f>D88</f>
        <v>101.21610067211037</v>
      </c>
    </row>
    <row r="97" spans="2:4" x14ac:dyDescent="0.25">
      <c r="B97" s="63" t="s">
        <v>91</v>
      </c>
      <c r="C97" s="63" t="s">
        <v>10</v>
      </c>
      <c r="D97" s="73">
        <f>D96*D46</f>
        <v>101.21610067211037</v>
      </c>
    </row>
    <row r="98" spans="2:4" x14ac:dyDescent="0.25">
      <c r="B98" s="63" t="s">
        <v>92</v>
      </c>
      <c r="C98" s="63" t="s">
        <v>8</v>
      </c>
      <c r="D98" s="73">
        <f>D90</f>
        <v>288.04000000000002</v>
      </c>
    </row>
    <row r="99" spans="2:4" x14ac:dyDescent="0.25">
      <c r="B99" s="63" t="s">
        <v>93</v>
      </c>
      <c r="C99" s="63" t="s">
        <v>8</v>
      </c>
      <c r="D99" s="73">
        <f>D98</f>
        <v>288.04000000000002</v>
      </c>
    </row>
    <row r="101" spans="2:4" x14ac:dyDescent="0.25">
      <c r="B101" s="93" t="s">
        <v>53</v>
      </c>
      <c r="D101" s="73"/>
    </row>
    <row r="102" spans="2:4" x14ac:dyDescent="0.25">
      <c r="B102" s="63" t="s">
        <v>91</v>
      </c>
      <c r="C102" s="63" t="s">
        <v>10</v>
      </c>
      <c r="D102" s="73">
        <f>D97</f>
        <v>101.21610067211037</v>
      </c>
    </row>
    <row r="103" spans="2:4" x14ac:dyDescent="0.25">
      <c r="B103" s="63" t="s">
        <v>111</v>
      </c>
      <c r="C103" s="63" t="s">
        <v>10</v>
      </c>
      <c r="D103" s="73">
        <f>D102*D36</f>
        <v>910.94490604899329</v>
      </c>
    </row>
    <row r="104" spans="2:4" x14ac:dyDescent="0.25">
      <c r="B104" s="63" t="s">
        <v>93</v>
      </c>
      <c r="C104" s="63" t="s">
        <v>8</v>
      </c>
      <c r="D104" s="73">
        <f>D99</f>
        <v>288.04000000000002</v>
      </c>
    </row>
    <row r="105" spans="2:4" x14ac:dyDescent="0.25">
      <c r="B105" s="63" t="s">
        <v>113</v>
      </c>
      <c r="C105" s="63" t="s">
        <v>8</v>
      </c>
      <c r="D105" s="73">
        <f>D104*(D103/D102)^((D16-1)/(D16*D57))</f>
        <v>578.61132834174032</v>
      </c>
    </row>
    <row r="106" spans="2:4" x14ac:dyDescent="0.25">
      <c r="B106" s="63" t="s">
        <v>401</v>
      </c>
      <c r="C106" s="78" t="s">
        <v>22</v>
      </c>
      <c r="D106" s="73">
        <f>(D15*(D105-D104))</f>
        <v>292.1694706476199</v>
      </c>
    </row>
    <row r="107" spans="2:4" x14ac:dyDescent="0.25">
      <c r="D107" s="73"/>
    </row>
    <row r="108" spans="2:4" x14ac:dyDescent="0.25">
      <c r="B108" s="93" t="s">
        <v>35</v>
      </c>
      <c r="D108" s="73"/>
    </row>
    <row r="109" spans="2:4" x14ac:dyDescent="0.25">
      <c r="B109" s="63" t="s">
        <v>402</v>
      </c>
      <c r="C109" s="63" t="s">
        <v>30</v>
      </c>
      <c r="D109" s="73"/>
    </row>
    <row r="110" spans="2:4" x14ac:dyDescent="0.25">
      <c r="B110" s="63" t="s">
        <v>403</v>
      </c>
      <c r="C110" s="63" t="s">
        <v>30</v>
      </c>
      <c r="D110" s="65">
        <v>2E-3</v>
      </c>
    </row>
    <row r="111" spans="2:4" x14ac:dyDescent="0.25">
      <c r="B111" s="63" t="s">
        <v>120</v>
      </c>
      <c r="C111" s="63" t="s">
        <v>10</v>
      </c>
      <c r="D111" s="73">
        <f>D103*D37</f>
        <v>892.72600792801336</v>
      </c>
    </row>
    <row r="112" spans="2:4" x14ac:dyDescent="0.25">
      <c r="B112" s="63" t="s">
        <v>121</v>
      </c>
      <c r="C112" s="63" t="s">
        <v>204</v>
      </c>
      <c r="D112" s="73">
        <f>D75</f>
        <v>1524.8555555555554</v>
      </c>
    </row>
    <row r="113" spans="2:6" x14ac:dyDescent="0.25">
      <c r="B113" s="63" t="s">
        <v>404</v>
      </c>
      <c r="C113" s="63" t="s">
        <v>22</v>
      </c>
      <c r="D113" s="73">
        <f>(D17*D112)</f>
        <v>1783.3801832508293</v>
      </c>
    </row>
    <row r="114" spans="2:6" x14ac:dyDescent="0.25">
      <c r="B114" s="79" t="s">
        <v>123</v>
      </c>
      <c r="C114" s="79"/>
      <c r="D114" s="80" t="e">
        <f>#REF!*(SQRT(D112)/D111)</f>
        <v>#REF!</v>
      </c>
      <c r="F114" s="98" t="s">
        <v>411</v>
      </c>
    </row>
    <row r="115" spans="2:6" x14ac:dyDescent="0.25">
      <c r="B115" s="81" t="s">
        <v>124</v>
      </c>
      <c r="C115" s="63" t="s">
        <v>54</v>
      </c>
      <c r="D115" s="73"/>
    </row>
    <row r="116" spans="2:6" x14ac:dyDescent="0.25">
      <c r="B116" s="81"/>
      <c r="D116" s="73"/>
    </row>
    <row r="117" spans="2:6" x14ac:dyDescent="0.25">
      <c r="B117" s="93" t="s">
        <v>58</v>
      </c>
      <c r="D117" s="73"/>
    </row>
    <row r="118" spans="2:6" x14ac:dyDescent="0.25">
      <c r="B118" s="63" t="s">
        <v>121</v>
      </c>
      <c r="C118" s="63" t="s">
        <v>8</v>
      </c>
      <c r="D118" s="73">
        <f>D112</f>
        <v>1524.8555555555554</v>
      </c>
    </row>
    <row r="119" spans="2:6" x14ac:dyDescent="0.25">
      <c r="B119" s="78" t="s">
        <v>409</v>
      </c>
      <c r="C119" s="78" t="s">
        <v>8</v>
      </c>
      <c r="D119" s="94">
        <v>1275.0394757728914</v>
      </c>
    </row>
    <row r="120" spans="2:6" x14ac:dyDescent="0.25">
      <c r="B120" s="63" t="s">
        <v>120</v>
      </c>
      <c r="C120" s="63" t="s">
        <v>10</v>
      </c>
      <c r="D120" s="73">
        <f>D111</f>
        <v>892.72600792801336</v>
      </c>
    </row>
    <row r="121" spans="2:6" x14ac:dyDescent="0.25">
      <c r="B121" s="63" t="s">
        <v>141</v>
      </c>
      <c r="C121" s="63" t="s">
        <v>10</v>
      </c>
      <c r="D121" s="63">
        <f>D120/((D118/D119)^(D18/((D18-1)*D59)))</f>
        <v>404.17536065142036</v>
      </c>
    </row>
    <row r="122" spans="2:6" x14ac:dyDescent="0.25">
      <c r="B122" s="63" t="s">
        <v>405</v>
      </c>
      <c r="C122" s="78" t="s">
        <v>22</v>
      </c>
      <c r="D122" s="73">
        <f>D17*(D118-D119)</f>
        <v>292.16999900000008</v>
      </c>
    </row>
    <row r="123" spans="2:6" x14ac:dyDescent="0.25">
      <c r="B123" s="79" t="s">
        <v>142</v>
      </c>
      <c r="C123" s="79"/>
      <c r="D123" s="82" t="e">
        <f>#REF!*SQRT(D119)/D121</f>
        <v>#REF!</v>
      </c>
    </row>
    <row r="124" spans="2:6" x14ac:dyDescent="0.25">
      <c r="B124" s="81" t="s">
        <v>124</v>
      </c>
      <c r="C124" s="63" t="s">
        <v>54</v>
      </c>
      <c r="D124" s="73"/>
    </row>
    <row r="125" spans="2:6" x14ac:dyDescent="0.25">
      <c r="D125" s="65"/>
    </row>
    <row r="126" spans="2:6" x14ac:dyDescent="0.25">
      <c r="B126" s="93" t="s">
        <v>39</v>
      </c>
      <c r="D126" s="73"/>
    </row>
    <row r="127" spans="2:6" ht="14.1" customHeight="1" x14ac:dyDescent="0.25">
      <c r="B127" s="63" t="s">
        <v>161</v>
      </c>
      <c r="D127" s="83"/>
    </row>
    <row r="128" spans="2:6" x14ac:dyDescent="0.25">
      <c r="B128" s="63" t="s">
        <v>141</v>
      </c>
      <c r="C128" s="63" t="s">
        <v>10</v>
      </c>
      <c r="D128" s="73">
        <f>D121</f>
        <v>404.17536065142036</v>
      </c>
    </row>
    <row r="129" spans="2:4" x14ac:dyDescent="0.25">
      <c r="B129" s="63" t="s">
        <v>151</v>
      </c>
      <c r="C129" s="63" t="s">
        <v>10</v>
      </c>
      <c r="D129" s="73">
        <f>D128*D40</f>
        <v>400.13360704490617</v>
      </c>
    </row>
    <row r="130" spans="2:4" x14ac:dyDescent="0.25">
      <c r="B130" s="63" t="s">
        <v>139</v>
      </c>
      <c r="C130" s="63" t="s">
        <v>8</v>
      </c>
      <c r="D130" s="73">
        <f>D119</f>
        <v>1275.0394757728914</v>
      </c>
    </row>
    <row r="131" spans="2:4" x14ac:dyDescent="0.25">
      <c r="B131" s="63" t="s">
        <v>147</v>
      </c>
      <c r="C131" s="63" t="s">
        <v>8</v>
      </c>
      <c r="D131" s="73">
        <f>D130</f>
        <v>1275.0394757728914</v>
      </c>
    </row>
    <row r="132" spans="2:4" x14ac:dyDescent="0.25">
      <c r="B132" s="63" t="s">
        <v>410</v>
      </c>
      <c r="C132" s="63" t="s">
        <v>10</v>
      </c>
      <c r="D132" s="73">
        <f>D6</f>
        <v>101.21610067211037</v>
      </c>
    </row>
    <row r="133" spans="2:4" x14ac:dyDescent="0.25">
      <c r="B133" s="63" t="s">
        <v>153</v>
      </c>
      <c r="D133" s="73">
        <f>IF(D129&lt;D6,SQRT(((((D129/D6)^((D18-1)/D18))-1)*2)/(D18-1)),1)</f>
        <v>1</v>
      </c>
    </row>
    <row r="134" spans="2:4" x14ac:dyDescent="0.25">
      <c r="B134" s="63" t="s">
        <v>406</v>
      </c>
      <c r="D134" s="84">
        <v>1.65</v>
      </c>
    </row>
    <row r="135" spans="2:4" x14ac:dyDescent="0.25">
      <c r="B135" s="63" t="s">
        <v>407</v>
      </c>
      <c r="D135" s="73">
        <f>(((1+((D16-1)/2)*(D134^2))/((D16+1)/2))^((D16+1)/(2*(D16-1))))/D134</f>
        <v>1.2922188012503502</v>
      </c>
    </row>
    <row r="136" spans="2:4" x14ac:dyDescent="0.25">
      <c r="B136" s="63" t="s">
        <v>408</v>
      </c>
      <c r="D136" s="73" t="e">
        <f>D135/D144</f>
        <v>#REF!</v>
      </c>
    </row>
    <row r="137" spans="2:4" x14ac:dyDescent="0.25">
      <c r="B137" s="63" t="s">
        <v>172</v>
      </c>
      <c r="D137" s="73" t="e">
        <f>D129/#REF!</f>
        <v>#REF!</v>
      </c>
    </row>
    <row r="138" spans="2:4" x14ac:dyDescent="0.25">
      <c r="B138" s="63" t="s">
        <v>173</v>
      </c>
      <c r="C138" s="63" t="s">
        <v>10</v>
      </c>
      <c r="D138" s="73">
        <f>D129/((1+((D16-1)*0.5*(D134^2)))^(D16/(D16-1)))</f>
        <v>87.387101539507071</v>
      </c>
    </row>
    <row r="139" spans="2:4" x14ac:dyDescent="0.25">
      <c r="B139" s="63" t="s">
        <v>174</v>
      </c>
      <c r="C139" s="63" t="s">
        <v>8</v>
      </c>
      <c r="D139" s="73">
        <f>D131/(1+((D16-1)*0.5*(D134^2)))</f>
        <v>825.53543267911402</v>
      </c>
    </row>
    <row r="140" spans="2:4" x14ac:dyDescent="0.25">
      <c r="B140" s="63" t="s">
        <v>175</v>
      </c>
      <c r="C140" s="63" t="s">
        <v>84</v>
      </c>
      <c r="D140" s="73">
        <f>SQRT((D16-1)*D15*D139)</f>
        <v>18.221700003664303</v>
      </c>
    </row>
    <row r="141" spans="2:4" x14ac:dyDescent="0.25">
      <c r="B141" s="63" t="s">
        <v>176</v>
      </c>
      <c r="C141" s="63" t="s">
        <v>84</v>
      </c>
      <c r="D141" s="73">
        <f>D140*D134</f>
        <v>30.065805006046098</v>
      </c>
    </row>
    <row r="142" spans="2:4" x14ac:dyDescent="0.25">
      <c r="B142" s="63" t="s">
        <v>177</v>
      </c>
      <c r="C142" s="63" t="s">
        <v>87</v>
      </c>
      <c r="D142" s="83">
        <f>((D16-1)/D16)*D15/1000</f>
        <v>2.8728571428571426E-4</v>
      </c>
    </row>
    <row r="143" spans="2:4" x14ac:dyDescent="0.25">
      <c r="B143" s="63" t="s">
        <v>178</v>
      </c>
      <c r="C143" s="63" t="s">
        <v>179</v>
      </c>
      <c r="D143" s="73">
        <f>D138/(D142*D139)</f>
        <v>368.46614105659376</v>
      </c>
    </row>
    <row r="144" spans="2:4" x14ac:dyDescent="0.25">
      <c r="B144" s="63" t="s">
        <v>180</v>
      </c>
      <c r="C144" s="63" t="s">
        <v>95</v>
      </c>
      <c r="D144" s="85" t="e">
        <f>#REF!/(D143*D141)</f>
        <v>#REF!</v>
      </c>
    </row>
    <row r="145" spans="2:4" x14ac:dyDescent="0.25">
      <c r="B145" s="86" t="s">
        <v>181</v>
      </c>
      <c r="C145" s="86"/>
      <c r="D145" s="86"/>
    </row>
    <row r="147" spans="2:4" x14ac:dyDescent="0.25">
      <c r="D147" s="73"/>
    </row>
    <row r="148" spans="2:4" x14ac:dyDescent="0.25">
      <c r="B148" s="63" t="s">
        <v>183</v>
      </c>
      <c r="C148" s="63" t="s">
        <v>184</v>
      </c>
      <c r="D148" s="87" t="e">
        <f>(#REF!*(D141-D92)+D144*1000*(D138-D8))</f>
        <v>#REF!</v>
      </c>
    </row>
    <row r="149" spans="2:4" x14ac:dyDescent="0.25">
      <c r="D149" s="87">
        <v>44600</v>
      </c>
    </row>
    <row r="150" spans="2:4" x14ac:dyDescent="0.25">
      <c r="D150" s="88" t="e">
        <f>(D148-D149)/D149</f>
        <v>#REF!</v>
      </c>
    </row>
    <row r="151" spans="2:4" x14ac:dyDescent="0.25">
      <c r="B151" s="63" t="s">
        <v>185</v>
      </c>
      <c r="C151" s="63" t="s">
        <v>186</v>
      </c>
      <c r="D151" s="73" t="e">
        <f>D148/#REF!</f>
        <v>#REF!</v>
      </c>
    </row>
    <row r="152" spans="2:4" x14ac:dyDescent="0.25">
      <c r="B152" s="63" t="s">
        <v>187</v>
      </c>
      <c r="C152" s="63" t="s">
        <v>188</v>
      </c>
      <c r="D152" s="89" t="e">
        <f>#REF!/D148</f>
        <v>#REF!</v>
      </c>
    </row>
    <row r="153" spans="2:4" x14ac:dyDescent="0.25">
      <c r="D153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8" sqref="A8:G9"/>
    </sheetView>
  </sheetViews>
  <sheetFormatPr defaultRowHeight="15" x14ac:dyDescent="0.25"/>
  <cols>
    <col min="1" max="1" width="21.85546875" bestFit="1" customWidth="1"/>
    <col min="2" max="2" width="13.5703125" bestFit="1" customWidth="1"/>
    <col min="3" max="3" width="9" bestFit="1" customWidth="1"/>
    <col min="4" max="7" width="6.85546875" bestFit="1" customWidth="1"/>
  </cols>
  <sheetData>
    <row r="1" spans="1:7" x14ac:dyDescent="0.25">
      <c r="A1" t="s">
        <v>355</v>
      </c>
    </row>
    <row r="2" spans="1:7" x14ac:dyDescent="0.25">
      <c r="A2" t="s">
        <v>356</v>
      </c>
      <c r="B2" t="s">
        <v>357</v>
      </c>
      <c r="C2" t="s">
        <v>358</v>
      </c>
      <c r="D2" t="s">
        <v>359</v>
      </c>
      <c r="E2" t="s">
        <v>360</v>
      </c>
      <c r="F2" t="s">
        <v>361</v>
      </c>
      <c r="G2" t="s">
        <v>362</v>
      </c>
    </row>
    <row r="3" spans="1:7" x14ac:dyDescent="0.25">
      <c r="A3" t="s">
        <v>363</v>
      </c>
      <c r="B3" t="s">
        <v>364</v>
      </c>
      <c r="C3" t="s">
        <v>365</v>
      </c>
      <c r="D3">
        <v>0.9</v>
      </c>
      <c r="E3">
        <v>0.95</v>
      </c>
      <c r="F3">
        <v>0.98</v>
      </c>
      <c r="G3">
        <v>0.995</v>
      </c>
    </row>
    <row r="4" spans="1:7" x14ac:dyDescent="0.25">
      <c r="A4" t="s">
        <v>363</v>
      </c>
      <c r="B4" t="s">
        <v>364</v>
      </c>
      <c r="C4" t="s">
        <v>366</v>
      </c>
      <c r="D4">
        <v>0.88</v>
      </c>
      <c r="E4">
        <v>0.93</v>
      </c>
      <c r="F4">
        <v>0.96</v>
      </c>
      <c r="G4">
        <v>0.97</v>
      </c>
    </row>
    <row r="5" spans="1:7" x14ac:dyDescent="0.25">
      <c r="A5" t="s">
        <v>363</v>
      </c>
      <c r="B5" t="s">
        <v>364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25">
      <c r="A6" t="s">
        <v>367</v>
      </c>
      <c r="B6" t="s">
        <v>368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25">
      <c r="A7" t="s">
        <v>94</v>
      </c>
      <c r="B7" t="s">
        <v>369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25">
      <c r="A8" t="s">
        <v>35</v>
      </c>
      <c r="B8" t="s">
        <v>370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25">
      <c r="A9" t="s">
        <v>35</v>
      </c>
      <c r="B9" t="s">
        <v>371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25">
      <c r="A10" t="s">
        <v>372</v>
      </c>
      <c r="B10" t="s">
        <v>373</v>
      </c>
      <c r="C10" t="s">
        <v>374</v>
      </c>
      <c r="D10">
        <v>0.8</v>
      </c>
      <c r="E10">
        <v>0.85</v>
      </c>
      <c r="F10">
        <v>0.89</v>
      </c>
      <c r="G10">
        <v>0.91</v>
      </c>
    </row>
    <row r="11" spans="1:7" x14ac:dyDescent="0.25">
      <c r="A11" t="s">
        <v>372</v>
      </c>
      <c r="B11" t="s">
        <v>373</v>
      </c>
      <c r="C11" t="s">
        <v>375</v>
      </c>
      <c r="D11" t="s">
        <v>295</v>
      </c>
      <c r="E11">
        <v>0.83</v>
      </c>
      <c r="F11">
        <v>0.87</v>
      </c>
      <c r="G11">
        <v>0.89</v>
      </c>
    </row>
    <row r="12" spans="1:7" x14ac:dyDescent="0.25">
      <c r="A12" t="s">
        <v>36</v>
      </c>
      <c r="B12" t="s">
        <v>376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25">
      <c r="A13" t="s">
        <v>36</v>
      </c>
      <c r="B13" t="s">
        <v>377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25">
      <c r="A14" t="s">
        <v>39</v>
      </c>
      <c r="B14" t="s">
        <v>378</v>
      </c>
      <c r="C14" t="s">
        <v>379</v>
      </c>
      <c r="D14">
        <v>0.95</v>
      </c>
      <c r="E14">
        <v>0.97</v>
      </c>
      <c r="F14">
        <v>0.98</v>
      </c>
      <c r="G14">
        <v>0.995</v>
      </c>
    </row>
    <row r="15" spans="1:7" x14ac:dyDescent="0.25">
      <c r="A15" t="s">
        <v>39</v>
      </c>
      <c r="B15" t="s">
        <v>378</v>
      </c>
      <c r="C15" t="s">
        <v>380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25">
      <c r="A16" t="s">
        <v>39</v>
      </c>
      <c r="B16" t="s">
        <v>378</v>
      </c>
      <c r="C16" t="s">
        <v>381</v>
      </c>
      <c r="D16">
        <v>0.9</v>
      </c>
      <c r="E16">
        <v>0.93</v>
      </c>
      <c r="F16">
        <v>0.95</v>
      </c>
      <c r="G16">
        <v>0.98</v>
      </c>
    </row>
    <row r="17" spans="1:7" x14ac:dyDescent="0.25">
      <c r="A17" t="s">
        <v>382</v>
      </c>
      <c r="C17" t="s">
        <v>383</v>
      </c>
      <c r="D17">
        <v>1110</v>
      </c>
      <c r="E17">
        <v>1390</v>
      </c>
      <c r="F17">
        <v>1780</v>
      </c>
      <c r="G17">
        <v>2000</v>
      </c>
    </row>
    <row r="18" spans="1:7" x14ac:dyDescent="0.25">
      <c r="A18" t="s">
        <v>382</v>
      </c>
      <c r="C18" t="s">
        <v>384</v>
      </c>
      <c r="D18">
        <v>2000</v>
      </c>
      <c r="E18">
        <v>2500</v>
      </c>
      <c r="F18">
        <v>3200</v>
      </c>
      <c r="G18">
        <v>3600</v>
      </c>
    </row>
    <row r="19" spans="1:7" x14ac:dyDescent="0.25">
      <c r="A19" t="s">
        <v>385</v>
      </c>
      <c r="C19" t="s">
        <v>383</v>
      </c>
      <c r="D19">
        <v>1390</v>
      </c>
      <c r="E19">
        <v>1670</v>
      </c>
      <c r="F19">
        <v>2000</v>
      </c>
      <c r="G19">
        <v>2220</v>
      </c>
    </row>
    <row r="20" spans="1:7" x14ac:dyDescent="0.25">
      <c r="A20" t="s">
        <v>385</v>
      </c>
      <c r="C20" t="s">
        <v>384</v>
      </c>
      <c r="D20">
        <v>2500</v>
      </c>
      <c r="E20">
        <v>3000</v>
      </c>
      <c r="F20">
        <v>3600</v>
      </c>
      <c r="G20">
        <v>4000</v>
      </c>
    </row>
    <row r="22" spans="1:7" x14ac:dyDescent="0.25">
      <c r="A22" t="s">
        <v>386</v>
      </c>
    </row>
    <row r="23" spans="1:7" x14ac:dyDescent="0.25">
      <c r="A23" t="s">
        <v>387</v>
      </c>
    </row>
    <row r="24" spans="1:7" x14ac:dyDescent="0.25">
      <c r="A24" t="s">
        <v>388</v>
      </c>
    </row>
    <row r="25" spans="1:7" x14ac:dyDescent="0.25">
      <c r="A25" t="s">
        <v>389</v>
      </c>
    </row>
    <row r="26" spans="1:7" x14ac:dyDescent="0.25">
      <c r="A26" t="s">
        <v>390</v>
      </c>
    </row>
    <row r="27" spans="1:7" x14ac:dyDescent="0.25">
      <c r="A27" t="s">
        <v>391</v>
      </c>
    </row>
    <row r="28" spans="1:7" x14ac:dyDescent="0.25">
      <c r="A28" t="s">
        <v>392</v>
      </c>
    </row>
    <row r="29" spans="1:7" x14ac:dyDescent="0.25">
      <c r="A29" t="s">
        <v>393</v>
      </c>
    </row>
    <row r="30" spans="1:7" x14ac:dyDescent="0.25">
      <c r="A30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zoomScale="70" zoomScaleNormal="70" workbookViewId="0">
      <selection activeCell="A24" sqref="A24"/>
    </sheetView>
  </sheetViews>
  <sheetFormatPr defaultColWidth="8.7109375" defaultRowHeight="15" x14ac:dyDescent="0.25"/>
  <cols>
    <col min="1" max="8" width="16.140625" style="70" customWidth="1"/>
    <col min="9" max="16384" width="8.7109375" style="70"/>
  </cols>
  <sheetData>
    <row r="1" spans="1:8" s="69" customFormat="1" ht="27.95" customHeight="1" x14ac:dyDescent="0.2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2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2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2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2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2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2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2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2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2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2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2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2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2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2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2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2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2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2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2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2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2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2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2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topLeftCell="A179" zoomScale="70" zoomScaleNormal="70" workbookViewId="0">
      <selection activeCell="D229" sqref="D229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95" t="s">
        <v>1</v>
      </c>
      <c r="B4" s="95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50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25">
      <c r="B20" t="s">
        <v>23</v>
      </c>
    </row>
    <row r="21" spans="2:13" x14ac:dyDescent="0.25">
      <c r="B21" t="s">
        <v>24</v>
      </c>
    </row>
    <row r="22" spans="2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2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25"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D40" s="13"/>
      <c r="E40" s="13"/>
      <c r="F40" s="13"/>
      <c r="G40" s="13"/>
      <c r="H40" s="13"/>
      <c r="I40" s="13"/>
      <c r="J40" s="13"/>
      <c r="K40" s="13"/>
    </row>
    <row r="42" spans="2:11" x14ac:dyDescent="0.25">
      <c r="B42" s="10" t="s">
        <v>42</v>
      </c>
    </row>
    <row r="43" spans="2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25">
      <c r="D52" s="29"/>
      <c r="E52" s="29"/>
      <c r="F52" s="29"/>
      <c r="G52" s="29"/>
      <c r="H52" s="29"/>
      <c r="I52" s="29"/>
      <c r="J52" s="29"/>
      <c r="K52" s="29"/>
    </row>
    <row r="53" spans="2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25"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25">
      <c r="B65" t="s">
        <v>60</v>
      </c>
    </row>
    <row r="66" spans="2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25">
      <c r="B73" t="s">
        <v>68</v>
      </c>
    </row>
    <row r="74" spans="2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25">
      <c r="B79" t="s">
        <v>74</v>
      </c>
      <c r="C79" t="s">
        <v>65</v>
      </c>
    </row>
    <row r="80" spans="2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25"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t="s">
        <v>76</v>
      </c>
    </row>
    <row r="83" spans="2:11" x14ac:dyDescent="0.25">
      <c r="B83" t="s">
        <v>77</v>
      </c>
    </row>
    <row r="84" spans="2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25">
      <c r="B85" t="s">
        <v>79</v>
      </c>
      <c r="C85" t="s">
        <v>10</v>
      </c>
      <c r="D85" s="27">
        <f>D8</f>
        <v>50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25">
      <c r="B86" t="s">
        <v>80</v>
      </c>
      <c r="C86" t="s">
        <v>10</v>
      </c>
      <c r="D86" s="27">
        <f>((((D9^2)*((D13-1)/2))+1)^(D13/(D13-1)))*D85</f>
        <v>390.75362709921137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25">
      <c r="D92" s="12"/>
      <c r="E92" s="12"/>
      <c r="F92" s="12"/>
      <c r="G92" s="12"/>
      <c r="H92" s="12"/>
      <c r="I92" s="12"/>
      <c r="J92" s="12"/>
      <c r="K92" s="12"/>
    </row>
    <row r="93" spans="2:11" x14ac:dyDescent="0.2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25">
      <c r="B95" t="s">
        <v>90</v>
      </c>
      <c r="C95" t="s">
        <v>10</v>
      </c>
      <c r="D95" s="12">
        <f>D86</f>
        <v>390.75362709921137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25">
      <c r="B96" t="s">
        <v>91</v>
      </c>
      <c r="C96" t="s">
        <v>10</v>
      </c>
      <c r="D96" s="12">
        <f>D95*D26</f>
        <v>366.1361485919611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25"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t="s">
        <v>94</v>
      </c>
    </row>
    <row r="101" spans="2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25">
      <c r="B103" t="s">
        <v>91</v>
      </c>
      <c r="C103" t="s">
        <v>10</v>
      </c>
      <c r="D103" s="12">
        <f>D96</f>
        <v>366.1361485919611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25">
      <c r="B104" t="s">
        <v>97</v>
      </c>
      <c r="C104" t="s">
        <v>10</v>
      </c>
      <c r="D104" s="12">
        <f>D103*D28</f>
        <v>439.36337831035331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25">
      <c r="B105" t="s">
        <v>98</v>
      </c>
      <c r="C105" t="s">
        <v>10</v>
      </c>
      <c r="D105" s="12">
        <f>D104*D33</f>
        <v>434.96454160211101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2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25">
      <c r="B115" t="s">
        <v>91</v>
      </c>
      <c r="C115" t="s">
        <v>10</v>
      </c>
      <c r="D115" s="12">
        <f>D96</f>
        <v>366.1361485919611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25">
      <c r="B116" t="s">
        <v>105</v>
      </c>
      <c r="C116" t="s">
        <v>10</v>
      </c>
      <c r="D116" s="12">
        <f>D115*D29</f>
        <v>398.14202141537419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2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25">
      <c r="B123" t="s">
        <v>110</v>
      </c>
      <c r="C123" t="s">
        <v>10</v>
      </c>
      <c r="D123" s="12">
        <f>D116*D36</f>
        <v>394.16060120122046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25">
      <c r="B124" t="s">
        <v>111</v>
      </c>
      <c r="C124" t="s">
        <v>10</v>
      </c>
      <c r="D124" s="12">
        <f>D123*D30</f>
        <v>5688.0659206647824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2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25">
      <c r="B135" t="s">
        <v>120</v>
      </c>
      <c r="C135" t="s">
        <v>10</v>
      </c>
      <c r="D135" s="12">
        <f>D124*D31</f>
        <v>5460.5432838381912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2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2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2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25">
      <c r="B147" t="s">
        <v>131</v>
      </c>
      <c r="C147" t="s">
        <v>10</v>
      </c>
      <c r="D147" s="12">
        <f>D135</f>
        <v>5460.5432838381912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25">
      <c r="B180" t="s">
        <v>98</v>
      </c>
      <c r="C180" t="s">
        <v>10</v>
      </c>
      <c r="D180" s="12">
        <f>D105</f>
        <v>434.96454160211101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2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0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50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0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topLeftCell="A61" zoomScale="85" zoomScaleNormal="85" workbookViewId="0">
      <selection activeCell="H94" sqref="H94"/>
    </sheetView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0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0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0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0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137" zoomScale="70" zoomScaleNormal="70" workbookViewId="0">
      <selection activeCell="D29" sqref="D29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F22" sqref="F22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96" t="s">
        <v>1</v>
      </c>
      <c r="B4" s="96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97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97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97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2026-07-13T21:22:52Z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