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onardo.valadez\Downloads\"/>
    </mc:Choice>
  </mc:AlternateContent>
  <bookViews>
    <workbookView xWindow="0" yWindow="0" windowWidth="17100" windowHeight="8085" activeTab="1"/>
  </bookViews>
  <sheets>
    <sheet name="TF Main Iterations" sheetId="7" r:id="rId1"/>
    <sheet name="TF Main CalcsR1" sheetId="5" r:id="rId2"/>
    <sheet name="TJ Main Calcs" sheetId="1" r:id="rId3"/>
    <sheet name="GasTurb14" sheetId="3" r:id="rId4"/>
    <sheet name="Sheet1 (2)" sheetId="2" r:id="rId5"/>
  </sheets>
  <definedNames>
    <definedName name="solver_adj" localSheetId="3" hidden="1">GasTurb14!#REF!</definedName>
    <definedName name="solver_adj" localSheetId="4" hidden="1">'Sheet1 (2)'!$J$15</definedName>
    <definedName name="solver_adj" localSheetId="1" hidden="1">'TF Main CalcsR1'!#REF!</definedName>
    <definedName name="solver_adj" localSheetId="0" hidden="1">'TF Main Iterations'!#REF!</definedName>
    <definedName name="solver_adj" localSheetId="2" hidden="1">'TJ Main Calcs'!#REF!</definedName>
    <definedName name="solver_cvg" localSheetId="3" hidden="1">0.0001</definedName>
    <definedName name="solver_cvg" localSheetId="4" hidden="1">0.0001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drv" localSheetId="3" hidden="1">1</definedName>
    <definedName name="solver_drv" localSheetId="4" hidden="1">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eng" localSheetId="3" hidden="1">1</definedName>
    <definedName name="solver_eng" localSheetId="4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st" localSheetId="3" hidden="1">1</definedName>
    <definedName name="solver_est" localSheetId="4" hidden="1">1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itr" localSheetId="3" hidden="1">2147483647</definedName>
    <definedName name="solver_itr" localSheetId="4" hidden="1">2147483647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lhs1" localSheetId="3" hidden="1">GasTurb14!#REF!</definedName>
    <definedName name="solver_lhs1" localSheetId="4" hidden="1">'Sheet1 (2)'!$J$15</definedName>
    <definedName name="solver_lhs1" localSheetId="1" hidden="1">'TF Main CalcsR1'!#REF!</definedName>
    <definedName name="solver_lhs1" localSheetId="0" hidden="1">'TF Main Iterations'!#REF!</definedName>
    <definedName name="solver_lhs1" localSheetId="2" hidden="1">'TJ Main Calcs'!#REF!</definedName>
    <definedName name="solver_mip" localSheetId="3" hidden="1">2147483647</definedName>
    <definedName name="solver_mip" localSheetId="4" hidden="1">2147483647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ni" localSheetId="3" hidden="1">30</definedName>
    <definedName name="solver_mni" localSheetId="4" hidden="1">30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rt" localSheetId="3" hidden="1">0.075</definedName>
    <definedName name="solver_mrt" localSheetId="4" hidden="1">0.075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sl" localSheetId="3" hidden="1">2</definedName>
    <definedName name="solver_msl" localSheetId="4" hidden="1">2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neg" localSheetId="3" hidden="1">1</definedName>
    <definedName name="solver_neg" localSheetId="4" hidden="1">1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od" localSheetId="3" hidden="1">2147483647</definedName>
    <definedName name="solver_nod" localSheetId="4" hidden="1">2147483647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um" localSheetId="3" hidden="1">1</definedName>
    <definedName name="solver_num" localSheetId="4" hidden="1">1</definedName>
    <definedName name="solver_num" localSheetId="1" hidden="1">1</definedName>
    <definedName name="solver_num" localSheetId="0" hidden="1">1</definedName>
    <definedName name="solver_num" localSheetId="2" hidden="1">1</definedName>
    <definedName name="solver_nwt" localSheetId="3" hidden="1">1</definedName>
    <definedName name="solver_nwt" localSheetId="4" hidden="1">1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opt" localSheetId="3" hidden="1">GasTurb14!#REF!</definedName>
    <definedName name="solver_opt" localSheetId="4" hidden="1">'Sheet1 (2)'!$L$15</definedName>
    <definedName name="solver_opt" localSheetId="1" hidden="1">'TF Main CalcsR1'!#REF!</definedName>
    <definedName name="solver_opt" localSheetId="0" hidden="1">'TF Main Iterations'!#REF!</definedName>
    <definedName name="solver_opt" localSheetId="2" hidden="1">'TJ Main Calcs'!#REF!</definedName>
    <definedName name="solver_pre" localSheetId="3" hidden="1">0.000001</definedName>
    <definedName name="solver_pre" localSheetId="4" hidden="1">0.000001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rbv" localSheetId="3" hidden="1">1</definedName>
    <definedName name="solver_rbv" localSheetId="4" hidden="1">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el1" localSheetId="3" hidden="1">1</definedName>
    <definedName name="solver_rel1" localSheetId="4" hidden="1">1</definedName>
    <definedName name="solver_rel1" localSheetId="1" hidden="1">1</definedName>
    <definedName name="solver_rel1" localSheetId="0" hidden="1">1</definedName>
    <definedName name="solver_rel1" localSheetId="2" hidden="1">1</definedName>
    <definedName name="solver_rhs1" localSheetId="3" hidden="1">GasTurb14!#REF!</definedName>
    <definedName name="solver_rhs1" localSheetId="4" hidden="1">'Sheet1 (2)'!$I$15</definedName>
    <definedName name="solver_rhs1" localSheetId="1" hidden="1">'TF Main CalcsR1'!#REF!</definedName>
    <definedName name="solver_rhs1" localSheetId="0" hidden="1">'TF Main Iterations'!#REF!</definedName>
    <definedName name="solver_rhs1" localSheetId="2" hidden="1">'TJ Main Calcs'!#REF!</definedName>
    <definedName name="solver_rlx" localSheetId="3" hidden="1">2</definedName>
    <definedName name="solver_rlx" localSheetId="4" hidden="1">2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sd" localSheetId="3" hidden="1">0</definedName>
    <definedName name="solver_rsd" localSheetId="4" hidden="1">0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scl" localSheetId="3" hidden="1">1</definedName>
    <definedName name="solver_scl" localSheetId="4" hidden="1">1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ho" localSheetId="3" hidden="1">2</definedName>
    <definedName name="solver_sho" localSheetId="4" hidden="1">2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sz" localSheetId="3" hidden="1">100</definedName>
    <definedName name="solver_ssz" localSheetId="4" hidden="1">100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tim" localSheetId="3" hidden="1">2147483647</definedName>
    <definedName name="solver_tim" localSheetId="4" hidden="1">2147483647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ol" localSheetId="3" hidden="1">0.01</definedName>
    <definedName name="solver_tol" localSheetId="4" hidden="1">0.01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yp" localSheetId="3" hidden="1">3</definedName>
    <definedName name="solver_typ" localSheetId="4" hidden="1">3</definedName>
    <definedName name="solver_typ" localSheetId="1" hidden="1">3</definedName>
    <definedName name="solver_typ" localSheetId="0" hidden="1">3</definedName>
    <definedName name="solver_typ" localSheetId="2" hidden="1">3</definedName>
    <definedName name="solver_val" localSheetId="3" hidden="1">0.158606071</definedName>
    <definedName name="solver_val" localSheetId="4" hidden="1">0.158606071</definedName>
    <definedName name="solver_val" localSheetId="1" hidden="1">0.158606071</definedName>
    <definedName name="solver_val" localSheetId="0" hidden="1">0.158606071</definedName>
    <definedName name="solver_val" localSheetId="2" hidden="1">0.158606071</definedName>
    <definedName name="solver_ver" localSheetId="3" hidden="1">3</definedName>
    <definedName name="solver_ver" localSheetId="4" hidden="1">3</definedName>
    <definedName name="solver_ver" localSheetId="1" hidden="1">3</definedName>
    <definedName name="solver_ver" localSheetId="0" hidden="1">3</definedName>
    <definedName name="solver_ver" localSheetId="2" hidden="1">3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7" l="1"/>
  <c r="D7" i="7" l="1"/>
  <c r="D16" i="7" l="1"/>
  <c r="D29" i="7"/>
  <c r="D180" i="1"/>
  <c r="D179" i="1"/>
  <c r="N209" i="5"/>
  <c r="N202" i="5"/>
  <c r="N199" i="5"/>
  <c r="N180" i="5"/>
  <c r="N134" i="5"/>
  <c r="N106" i="5"/>
  <c r="N181" i="5" s="1"/>
  <c r="N88" i="5"/>
  <c r="N82" i="5"/>
  <c r="N83" i="5" s="1"/>
  <c r="N92" i="5" s="1"/>
  <c r="N57" i="5"/>
  <c r="N58" i="5" s="1"/>
  <c r="N56" i="5"/>
  <c r="N55" i="5"/>
  <c r="N54" i="5"/>
  <c r="N51" i="5"/>
  <c r="N33" i="5"/>
  <c r="N27" i="5"/>
  <c r="N26" i="5"/>
  <c r="N25" i="5"/>
  <c r="N16" i="5"/>
  <c r="N7" i="5"/>
  <c r="N61" i="5" s="1"/>
  <c r="J216" i="5"/>
  <c r="I55" i="5"/>
  <c r="I57" i="5"/>
  <c r="I56" i="5"/>
  <c r="D55" i="5"/>
  <c r="I54" i="5"/>
  <c r="I33" i="5"/>
  <c r="D54" i="5"/>
  <c r="D56" i="5"/>
  <c r="D57" i="5"/>
  <c r="J64" i="5"/>
  <c r="I180" i="5"/>
  <c r="I7" i="5"/>
  <c r="I84" i="5" s="1"/>
  <c r="I85" i="5" s="1"/>
  <c r="I94" i="5" s="1"/>
  <c r="I95" i="5" s="1"/>
  <c r="J95" i="5" s="1"/>
  <c r="L95" i="5" s="1"/>
  <c r="I199" i="5"/>
  <c r="K219" i="5"/>
  <c r="K211" i="5"/>
  <c r="J199" i="5"/>
  <c r="L199" i="5" s="1"/>
  <c r="K130" i="5"/>
  <c r="M192" i="5"/>
  <c r="I51" i="5"/>
  <c r="I26" i="5"/>
  <c r="I134" i="5"/>
  <c r="J134" i="5" s="1"/>
  <c r="L134" i="5" s="1"/>
  <c r="I106" i="5"/>
  <c r="I181" i="5" s="1"/>
  <c r="I88" i="5"/>
  <c r="J88" i="5" s="1"/>
  <c r="L88" i="5" s="1"/>
  <c r="I82" i="5"/>
  <c r="I83" i="5" s="1"/>
  <c r="I92" i="5" s="1"/>
  <c r="J92" i="5" s="1"/>
  <c r="L92" i="5" s="1"/>
  <c r="I209" i="5"/>
  <c r="J209" i="5" s="1"/>
  <c r="L209" i="5" s="1"/>
  <c r="I16" i="5"/>
  <c r="E30" i="7"/>
  <c r="F30" i="7"/>
  <c r="G30" i="7"/>
  <c r="H30" i="7"/>
  <c r="I30" i="7"/>
  <c r="J30" i="7"/>
  <c r="J54" i="7" s="1"/>
  <c r="K30" i="7"/>
  <c r="K54" i="7" s="1"/>
  <c r="D27" i="5"/>
  <c r="D25" i="5" s="1"/>
  <c r="D30" i="7"/>
  <c r="D54" i="7" s="1"/>
  <c r="K25" i="7"/>
  <c r="J25" i="7"/>
  <c r="I25" i="7"/>
  <c r="H25" i="7"/>
  <c r="G25" i="7"/>
  <c r="F25" i="7"/>
  <c r="E25" i="7"/>
  <c r="E29" i="7"/>
  <c r="E53" i="7" s="1"/>
  <c r="F29" i="7"/>
  <c r="G29" i="7"/>
  <c r="G53" i="7" s="1"/>
  <c r="H29" i="7"/>
  <c r="I29" i="7"/>
  <c r="J29" i="7"/>
  <c r="K29" i="7"/>
  <c r="K53" i="7" s="1"/>
  <c r="E54" i="7"/>
  <c r="H54" i="7"/>
  <c r="K84" i="7"/>
  <c r="K94" i="7" s="1"/>
  <c r="K101" i="7" s="1"/>
  <c r="K113" i="7" s="1"/>
  <c r="J84" i="7"/>
  <c r="J94" i="7"/>
  <c r="J101" i="7"/>
  <c r="I84" i="7"/>
  <c r="I94" i="7"/>
  <c r="I101" i="7"/>
  <c r="H84" i="7"/>
  <c r="H94" i="7"/>
  <c r="H101" i="7"/>
  <c r="H113" i="7" s="1"/>
  <c r="G84" i="7"/>
  <c r="G94" i="7"/>
  <c r="G101" i="7"/>
  <c r="G113" i="7" s="1"/>
  <c r="F84" i="7"/>
  <c r="F94" i="7" s="1"/>
  <c r="F101" i="7" s="1"/>
  <c r="F113" i="7" s="1"/>
  <c r="E84" i="7"/>
  <c r="E94" i="7"/>
  <c r="E101" i="7"/>
  <c r="E113" i="7" s="1"/>
  <c r="K182" i="7"/>
  <c r="J182" i="7"/>
  <c r="I182" i="7"/>
  <c r="H182" i="7"/>
  <c r="G182" i="7"/>
  <c r="F182" i="7"/>
  <c r="E182" i="7"/>
  <c r="K211" i="7"/>
  <c r="J211" i="7"/>
  <c r="I211" i="7"/>
  <c r="H211" i="7"/>
  <c r="G211" i="7"/>
  <c r="F211" i="7"/>
  <c r="E211" i="7"/>
  <c r="K204" i="7"/>
  <c r="J204" i="7"/>
  <c r="I204" i="7"/>
  <c r="H204" i="7"/>
  <c r="G204" i="7"/>
  <c r="F204" i="7"/>
  <c r="E204" i="7"/>
  <c r="K201" i="7"/>
  <c r="J201" i="7"/>
  <c r="I201" i="7"/>
  <c r="H201" i="7"/>
  <c r="G201" i="7"/>
  <c r="F201" i="7"/>
  <c r="E201" i="7"/>
  <c r="K109" i="7"/>
  <c r="K183" i="7"/>
  <c r="J109" i="7"/>
  <c r="J183" i="7"/>
  <c r="I109" i="7"/>
  <c r="I183" i="7"/>
  <c r="H109" i="7"/>
  <c r="H183" i="7" s="1"/>
  <c r="G109" i="7"/>
  <c r="G183" i="7"/>
  <c r="F109" i="7"/>
  <c r="F183" i="7"/>
  <c r="E109" i="7"/>
  <c r="E183" i="7"/>
  <c r="K85" i="7"/>
  <c r="K86" i="7"/>
  <c r="K95" i="7"/>
  <c r="K96" i="7"/>
  <c r="K115" i="7" s="1"/>
  <c r="K103" i="7"/>
  <c r="K104" i="7"/>
  <c r="K105" i="7" s="1"/>
  <c r="K180" i="7" s="1"/>
  <c r="K33" i="7"/>
  <c r="J85" i="7"/>
  <c r="J86" i="7"/>
  <c r="J95" i="7"/>
  <c r="J96" i="7"/>
  <c r="J103" i="7" s="1"/>
  <c r="J104" i="7" s="1"/>
  <c r="J33" i="7"/>
  <c r="I85" i="7"/>
  <c r="I86" i="7"/>
  <c r="I95" i="7"/>
  <c r="I96" i="7" s="1"/>
  <c r="I33" i="7"/>
  <c r="H85" i="7"/>
  <c r="H86" i="7"/>
  <c r="H95" i="7"/>
  <c r="H96" i="7"/>
  <c r="H115" i="7" s="1"/>
  <c r="H116" i="7" s="1"/>
  <c r="H33" i="7"/>
  <c r="G85" i="7"/>
  <c r="G86" i="7"/>
  <c r="G95" i="7"/>
  <c r="G96" i="7"/>
  <c r="G115" i="7" s="1"/>
  <c r="G116" i="7" s="1"/>
  <c r="G103" i="7"/>
  <c r="G104" i="7" s="1"/>
  <c r="G33" i="7"/>
  <c r="F85" i="7"/>
  <c r="F86" i="7" s="1"/>
  <c r="F95" i="7" s="1"/>
  <c r="F96" i="7" s="1"/>
  <c r="F33" i="7"/>
  <c r="E85" i="7"/>
  <c r="E86" i="7"/>
  <c r="E95" i="7" s="1"/>
  <c r="E96" i="7" s="1"/>
  <c r="E33" i="7"/>
  <c r="K34" i="7"/>
  <c r="K37" i="7"/>
  <c r="J34" i="7"/>
  <c r="J37" i="7"/>
  <c r="I34" i="7"/>
  <c r="I37" i="7"/>
  <c r="H34" i="7"/>
  <c r="H37" i="7"/>
  <c r="G34" i="7"/>
  <c r="G37" i="7"/>
  <c r="F34" i="7"/>
  <c r="F37" i="7"/>
  <c r="E34" i="7"/>
  <c r="E37" i="7"/>
  <c r="K7" i="7"/>
  <c r="K87" i="7"/>
  <c r="K88" i="7"/>
  <c r="K97" i="7"/>
  <c r="K98" i="7" s="1"/>
  <c r="J7" i="7"/>
  <c r="J87" i="7"/>
  <c r="J89" i="7" s="1"/>
  <c r="J90" i="7" s="1"/>
  <c r="J88" i="7"/>
  <c r="J97" i="7"/>
  <c r="J98" i="7"/>
  <c r="J117" i="7" s="1"/>
  <c r="J106" i="7"/>
  <c r="I7" i="7"/>
  <c r="I87" i="7" s="1"/>
  <c r="H7" i="7"/>
  <c r="H64" i="7" s="1"/>
  <c r="G7" i="7"/>
  <c r="G87" i="7"/>
  <c r="G88" i="7" s="1"/>
  <c r="G97" i="7" s="1"/>
  <c r="G98" i="7" s="1"/>
  <c r="F7" i="7"/>
  <c r="F64" i="7" s="1"/>
  <c r="F87" i="7"/>
  <c r="F88" i="7" s="1"/>
  <c r="F97" i="7" s="1"/>
  <c r="F98" i="7" s="1"/>
  <c r="E7" i="7"/>
  <c r="E87" i="7"/>
  <c r="E89" i="7" s="1"/>
  <c r="E90" i="7" s="1"/>
  <c r="E88" i="7"/>
  <c r="E97" i="7" s="1"/>
  <c r="E98" i="7" s="1"/>
  <c r="K136" i="7"/>
  <c r="J136" i="7"/>
  <c r="I136" i="7"/>
  <c r="H136" i="7"/>
  <c r="G136" i="7"/>
  <c r="F136" i="7"/>
  <c r="E136" i="7"/>
  <c r="J113" i="7"/>
  <c r="I113" i="7"/>
  <c r="K91" i="7"/>
  <c r="J91" i="7"/>
  <c r="I91" i="7"/>
  <c r="H91" i="7"/>
  <c r="G91" i="7"/>
  <c r="F91" i="7"/>
  <c r="E91" i="7"/>
  <c r="K89" i="7"/>
  <c r="K90" i="7"/>
  <c r="G89" i="7"/>
  <c r="G90" i="7" s="1"/>
  <c r="K64" i="7"/>
  <c r="J64" i="7"/>
  <c r="I64" i="7"/>
  <c r="G64" i="7"/>
  <c r="E64" i="7"/>
  <c r="K58" i="7"/>
  <c r="K61" i="7" s="1"/>
  <c r="K59" i="7"/>
  <c r="K60" i="7"/>
  <c r="J58" i="7"/>
  <c r="J59" i="7"/>
  <c r="J60" i="7"/>
  <c r="J61" i="7"/>
  <c r="I58" i="7"/>
  <c r="I59" i="7"/>
  <c r="I60" i="7"/>
  <c r="I61" i="7"/>
  <c r="H58" i="7"/>
  <c r="H61" i="7" s="1"/>
  <c r="H59" i="7"/>
  <c r="H60" i="7"/>
  <c r="G58" i="7"/>
  <c r="G59" i="7"/>
  <c r="G60" i="7"/>
  <c r="G61" i="7"/>
  <c r="F58" i="7"/>
  <c r="F61" i="7" s="1"/>
  <c r="F59" i="7"/>
  <c r="F60" i="7"/>
  <c r="E58" i="7"/>
  <c r="E59" i="7"/>
  <c r="E60" i="7"/>
  <c r="E61" i="7"/>
  <c r="K57" i="7"/>
  <c r="J57" i="7"/>
  <c r="I57" i="7"/>
  <c r="H57" i="7"/>
  <c r="G57" i="7"/>
  <c r="F57" i="7"/>
  <c r="E57" i="7"/>
  <c r="I54" i="7"/>
  <c r="G54" i="7"/>
  <c r="F54" i="7"/>
  <c r="J53" i="7"/>
  <c r="I53" i="7"/>
  <c r="H53" i="7"/>
  <c r="K16" i="7"/>
  <c r="J16" i="7"/>
  <c r="I16" i="7"/>
  <c r="H16" i="7"/>
  <c r="G16" i="7"/>
  <c r="F16" i="7"/>
  <c r="E16" i="7"/>
  <c r="D84" i="7"/>
  <c r="D94" i="7"/>
  <c r="D101" i="7"/>
  <c r="D113" i="7" s="1"/>
  <c r="D182" i="7"/>
  <c r="D211" i="7"/>
  <c r="D204" i="7"/>
  <c r="D201" i="7"/>
  <c r="D109" i="7"/>
  <c r="D183" i="7"/>
  <c r="D85" i="7"/>
  <c r="D86" i="7"/>
  <c r="D95" i="7"/>
  <c r="D96" i="7"/>
  <c r="D115" i="7" s="1"/>
  <c r="D33" i="7"/>
  <c r="D34" i="7"/>
  <c r="D37" i="7"/>
  <c r="D87" i="7"/>
  <c r="D136" i="7"/>
  <c r="D91" i="7"/>
  <c r="D64" i="7"/>
  <c r="D58" i="7"/>
  <c r="D61" i="7" s="1"/>
  <c r="D59" i="7"/>
  <c r="D60" i="7"/>
  <c r="D57" i="7"/>
  <c r="F211" i="5"/>
  <c r="D106" i="5"/>
  <c r="D181" i="5"/>
  <c r="D7" i="5"/>
  <c r="D84" i="5" s="1"/>
  <c r="D82" i="5"/>
  <c r="E82" i="5" s="1"/>
  <c r="G82" i="5" s="1"/>
  <c r="D83" i="5"/>
  <c r="E83" i="5" s="1"/>
  <c r="G83" i="5" s="1"/>
  <c r="D33" i="5"/>
  <c r="D180" i="5"/>
  <c r="D34" i="5"/>
  <c r="D134" i="5"/>
  <c r="E134" i="5" s="1"/>
  <c r="G134" i="5" s="1"/>
  <c r="D81" i="5"/>
  <c r="E81" i="5" s="1"/>
  <c r="G81" i="5" s="1"/>
  <c r="E71" i="5"/>
  <c r="AO75" i="5"/>
  <c r="AO71" i="5"/>
  <c r="AO72" i="5"/>
  <c r="AO70" i="5"/>
  <c r="AL63" i="5"/>
  <c r="AL59" i="5"/>
  <c r="AL52" i="5"/>
  <c r="AL55" i="5" s="1"/>
  <c r="F219" i="5"/>
  <c r="D209" i="5"/>
  <c r="E209" i="5"/>
  <c r="G209" i="5"/>
  <c r="D202" i="5"/>
  <c r="G201" i="5"/>
  <c r="D199" i="5"/>
  <c r="E199" i="5" s="1"/>
  <c r="G199" i="5" s="1"/>
  <c r="F132" i="5"/>
  <c r="D88" i="5"/>
  <c r="E88" i="5" s="1"/>
  <c r="G88" i="5" s="1"/>
  <c r="D51" i="5"/>
  <c r="AL50" i="5"/>
  <c r="D50" i="5"/>
  <c r="E29" i="5"/>
  <c r="E30" i="5" s="1"/>
  <c r="D16" i="5"/>
  <c r="M161" i="1"/>
  <c r="J26" i="1"/>
  <c r="D153" i="1"/>
  <c r="D135" i="1"/>
  <c r="I58" i="1"/>
  <c r="R164" i="1"/>
  <c r="Q163" i="1"/>
  <c r="R163" i="1"/>
  <c r="L179" i="3"/>
  <c r="L180" i="3"/>
  <c r="L177" i="3"/>
  <c r="F177" i="3"/>
  <c r="S175" i="3"/>
  <c r="J170" i="3"/>
  <c r="K170" i="3"/>
  <c r="I170" i="3"/>
  <c r="E170" i="3"/>
  <c r="G170" i="3"/>
  <c r="D170" i="3"/>
  <c r="S169" i="3"/>
  <c r="I163" i="3"/>
  <c r="D163" i="3"/>
  <c r="J162" i="3"/>
  <c r="J163" i="3"/>
  <c r="G162" i="3"/>
  <c r="J160" i="3"/>
  <c r="K160" i="3"/>
  <c r="M160" i="3"/>
  <c r="I160" i="3"/>
  <c r="D160" i="3"/>
  <c r="E160" i="3"/>
  <c r="G160" i="3"/>
  <c r="J157" i="3"/>
  <c r="K157" i="3"/>
  <c r="M157" i="3"/>
  <c r="J149" i="3"/>
  <c r="K149" i="3"/>
  <c r="M149" i="3"/>
  <c r="L148" i="3"/>
  <c r="M148" i="3"/>
  <c r="P146" i="3"/>
  <c r="L146" i="3"/>
  <c r="P145" i="3"/>
  <c r="P147" i="3"/>
  <c r="P148" i="3"/>
  <c r="P144" i="3"/>
  <c r="P143" i="3"/>
  <c r="K112" i="3"/>
  <c r="M112" i="3"/>
  <c r="J112" i="3"/>
  <c r="I112" i="3"/>
  <c r="G112" i="3"/>
  <c r="E112" i="3"/>
  <c r="D112" i="3"/>
  <c r="F110" i="3"/>
  <c r="L109" i="3"/>
  <c r="L108" i="3"/>
  <c r="F109" i="3"/>
  <c r="F108" i="3"/>
  <c r="D107" i="3"/>
  <c r="E106" i="3"/>
  <c r="G106" i="3"/>
  <c r="D106" i="3"/>
  <c r="I87" i="3"/>
  <c r="I88" i="3"/>
  <c r="I93" i="3"/>
  <c r="I94" i="3"/>
  <c r="I100" i="3"/>
  <c r="I101" i="3"/>
  <c r="D85" i="3"/>
  <c r="D86" i="3"/>
  <c r="J82" i="3"/>
  <c r="K82" i="3"/>
  <c r="M82" i="3"/>
  <c r="I82" i="3"/>
  <c r="D82" i="3"/>
  <c r="E82" i="3"/>
  <c r="G82" i="3"/>
  <c r="J81" i="3"/>
  <c r="K81" i="3"/>
  <c r="K80" i="3"/>
  <c r="J80" i="3"/>
  <c r="I80" i="3"/>
  <c r="I81" i="3"/>
  <c r="J79" i="3"/>
  <c r="K79" i="3"/>
  <c r="M79" i="3"/>
  <c r="I79" i="3"/>
  <c r="J78" i="3"/>
  <c r="K78" i="3"/>
  <c r="M78" i="3"/>
  <c r="I78" i="3"/>
  <c r="D77" i="3"/>
  <c r="E77" i="3"/>
  <c r="G77" i="3"/>
  <c r="K76" i="3"/>
  <c r="M76" i="3"/>
  <c r="J76" i="3"/>
  <c r="J77" i="3"/>
  <c r="I76" i="3"/>
  <c r="I77" i="3"/>
  <c r="I85" i="3"/>
  <c r="I86" i="3"/>
  <c r="I91" i="3"/>
  <c r="I92" i="3"/>
  <c r="I98" i="3"/>
  <c r="I99" i="3"/>
  <c r="I111" i="3"/>
  <c r="I122" i="3"/>
  <c r="G76" i="3"/>
  <c r="E76" i="3"/>
  <c r="D76" i="3"/>
  <c r="J68" i="3"/>
  <c r="J106" i="3"/>
  <c r="I68" i="3"/>
  <c r="D68" i="3"/>
  <c r="E68" i="3"/>
  <c r="G68" i="3"/>
  <c r="J60" i="3"/>
  <c r="I60" i="3"/>
  <c r="J58" i="3"/>
  <c r="I58" i="3"/>
  <c r="D56" i="3"/>
  <c r="J55" i="3"/>
  <c r="J57" i="3"/>
  <c r="I55" i="3"/>
  <c r="I57" i="3"/>
  <c r="D55" i="3"/>
  <c r="D57" i="3"/>
  <c r="J51" i="3"/>
  <c r="I51" i="3"/>
  <c r="D51" i="3"/>
  <c r="AJ50" i="3"/>
  <c r="J50" i="3"/>
  <c r="I50" i="3"/>
  <c r="D50" i="3"/>
  <c r="K28" i="3"/>
  <c r="K29" i="3"/>
  <c r="E28" i="3"/>
  <c r="E29" i="3"/>
  <c r="J27" i="3"/>
  <c r="J25" i="3"/>
  <c r="I27" i="3"/>
  <c r="D27" i="3"/>
  <c r="D25" i="3"/>
  <c r="I25" i="3"/>
  <c r="J16" i="3"/>
  <c r="I16" i="3"/>
  <c r="D16" i="3"/>
  <c r="M11" i="3"/>
  <c r="M10" i="3"/>
  <c r="D7" i="3"/>
  <c r="D78" i="3"/>
  <c r="M10" i="1"/>
  <c r="M11" i="1"/>
  <c r="F130" i="5"/>
  <c r="S164" i="1"/>
  <c r="E86" i="3"/>
  <c r="G86" i="3"/>
  <c r="D91" i="3"/>
  <c r="K77" i="3"/>
  <c r="M77" i="3"/>
  <c r="J85" i="3"/>
  <c r="D79" i="3"/>
  <c r="E78" i="3"/>
  <c r="G78" i="3"/>
  <c r="D80" i="3"/>
  <c r="J107" i="3"/>
  <c r="K106" i="3"/>
  <c r="M106" i="3"/>
  <c r="J87" i="3"/>
  <c r="E107" i="3"/>
  <c r="G107" i="3"/>
  <c r="K68" i="3"/>
  <c r="M68" i="3"/>
  <c r="I95" i="3"/>
  <c r="E85" i="3"/>
  <c r="G85" i="3"/>
  <c r="J158" i="3"/>
  <c r="M162" i="3"/>
  <c r="D60" i="3"/>
  <c r="D64" i="3"/>
  <c r="I106" i="3"/>
  <c r="I107" i="3"/>
  <c r="I102" i="3"/>
  <c r="I169" i="1"/>
  <c r="I162" i="1"/>
  <c r="I159" i="1"/>
  <c r="I112" i="1"/>
  <c r="I82" i="1"/>
  <c r="I78" i="1"/>
  <c r="I80" i="1"/>
  <c r="I81" i="1"/>
  <c r="I76" i="1"/>
  <c r="I77" i="1"/>
  <c r="I85" i="1"/>
  <c r="I86" i="1"/>
  <c r="I91" i="1"/>
  <c r="I92" i="1"/>
  <c r="I98" i="1"/>
  <c r="I60" i="1"/>
  <c r="S175" i="1"/>
  <c r="I55" i="1"/>
  <c r="I57" i="1"/>
  <c r="I50" i="1"/>
  <c r="I16" i="1"/>
  <c r="J156" i="1"/>
  <c r="J58" i="1"/>
  <c r="P144" i="1"/>
  <c r="P145" i="1"/>
  <c r="P143" i="1"/>
  <c r="P142" i="1"/>
  <c r="L109" i="1"/>
  <c r="J55" i="1"/>
  <c r="J57" i="1"/>
  <c r="L145" i="1"/>
  <c r="L147" i="1"/>
  <c r="M147" i="1"/>
  <c r="J169" i="1"/>
  <c r="K169" i="1"/>
  <c r="J162" i="1"/>
  <c r="J159" i="1"/>
  <c r="K159" i="1"/>
  <c r="M159" i="1"/>
  <c r="J112" i="1"/>
  <c r="K112" i="1"/>
  <c r="M112" i="1"/>
  <c r="J82" i="1"/>
  <c r="K82" i="1"/>
  <c r="M82" i="1"/>
  <c r="J78" i="1"/>
  <c r="J76" i="1"/>
  <c r="J77" i="1"/>
  <c r="J51" i="1"/>
  <c r="J50" i="1"/>
  <c r="K28" i="1"/>
  <c r="J27" i="1"/>
  <c r="J25" i="1"/>
  <c r="J16" i="1"/>
  <c r="J60" i="1"/>
  <c r="D27" i="1"/>
  <c r="D25" i="1"/>
  <c r="F179" i="1"/>
  <c r="J88" i="3"/>
  <c r="K87" i="3"/>
  <c r="M87" i="3"/>
  <c r="D81" i="3"/>
  <c r="E81" i="3"/>
  <c r="E80" i="3"/>
  <c r="D87" i="3"/>
  <c r="E79" i="3"/>
  <c r="G79" i="3"/>
  <c r="J86" i="3"/>
  <c r="K85" i="3"/>
  <c r="M85" i="3"/>
  <c r="K158" i="3"/>
  <c r="M158" i="3"/>
  <c r="J167" i="3"/>
  <c r="K107" i="3"/>
  <c r="M107" i="3"/>
  <c r="I109" i="3"/>
  <c r="I110" i="3"/>
  <c r="D92" i="3"/>
  <c r="E91" i="3"/>
  <c r="G91" i="3"/>
  <c r="I79" i="1"/>
  <c r="I87" i="1"/>
  <c r="I88" i="1"/>
  <c r="I93" i="1"/>
  <c r="I94" i="1"/>
  <c r="P146" i="1"/>
  <c r="P147" i="1"/>
  <c r="L108" i="1"/>
  <c r="K77" i="1"/>
  <c r="M77" i="1"/>
  <c r="J85" i="1"/>
  <c r="J80" i="1"/>
  <c r="J79" i="1"/>
  <c r="K78" i="1"/>
  <c r="M78" i="1"/>
  <c r="K76" i="1"/>
  <c r="M76" i="1"/>
  <c r="G161" i="1"/>
  <c r="D162" i="1"/>
  <c r="D55" i="1"/>
  <c r="D56" i="1"/>
  <c r="AJ50" i="1"/>
  <c r="F109" i="1"/>
  <c r="D112" i="1"/>
  <c r="E112" i="1"/>
  <c r="G112" i="1"/>
  <c r="E28" i="1"/>
  <c r="E29" i="1"/>
  <c r="D82" i="1"/>
  <c r="E82" i="1"/>
  <c r="G82" i="1"/>
  <c r="D7" i="1"/>
  <c r="D68" i="1"/>
  <c r="E68" i="1"/>
  <c r="G68" i="1"/>
  <c r="D16" i="1"/>
  <c r="E92" i="3"/>
  <c r="G92" i="3"/>
  <c r="D98" i="3"/>
  <c r="I118" i="3"/>
  <c r="I119" i="3"/>
  <c r="I120" i="3"/>
  <c r="I123" i="3"/>
  <c r="I124" i="3"/>
  <c r="I134" i="3"/>
  <c r="I108" i="3"/>
  <c r="I69" i="3"/>
  <c r="J168" i="3"/>
  <c r="K167" i="3"/>
  <c r="M167" i="3"/>
  <c r="J91" i="3"/>
  <c r="K86" i="3"/>
  <c r="M86" i="3"/>
  <c r="E87" i="3"/>
  <c r="G87" i="3"/>
  <c r="D88" i="3"/>
  <c r="J93" i="3"/>
  <c r="K88" i="3"/>
  <c r="M88" i="3"/>
  <c r="I100" i="1"/>
  <c r="K79" i="1"/>
  <c r="M79" i="1"/>
  <c r="J87" i="1"/>
  <c r="J81" i="1"/>
  <c r="K81" i="1"/>
  <c r="K80" i="1"/>
  <c r="J86" i="1"/>
  <c r="K85" i="1"/>
  <c r="M85" i="1"/>
  <c r="D57" i="1"/>
  <c r="F108" i="1"/>
  <c r="D169" i="1"/>
  <c r="E169" i="1"/>
  <c r="G169" i="1"/>
  <c r="D64" i="1"/>
  <c r="I113" i="3"/>
  <c r="K93" i="3"/>
  <c r="M93" i="3"/>
  <c r="D93" i="3"/>
  <c r="E88" i="3"/>
  <c r="G88" i="3"/>
  <c r="J169" i="3"/>
  <c r="K169" i="3"/>
  <c r="K168" i="3"/>
  <c r="S170" i="3"/>
  <c r="I114" i="3"/>
  <c r="I127" i="3"/>
  <c r="I131" i="3"/>
  <c r="I141" i="3"/>
  <c r="I126" i="3"/>
  <c r="E98" i="3"/>
  <c r="G98" i="3"/>
  <c r="D99" i="3"/>
  <c r="K91" i="3"/>
  <c r="M91" i="3"/>
  <c r="J92" i="3"/>
  <c r="J91" i="1"/>
  <c r="K86" i="1"/>
  <c r="M86" i="1"/>
  <c r="J88" i="1"/>
  <c r="K87" i="1"/>
  <c r="M87" i="1"/>
  <c r="D76" i="1"/>
  <c r="J98" i="3"/>
  <c r="K92" i="3"/>
  <c r="M92" i="3"/>
  <c r="E99" i="3"/>
  <c r="G99" i="3"/>
  <c r="D111" i="3"/>
  <c r="I153" i="3"/>
  <c r="I121" i="3"/>
  <c r="I132" i="3"/>
  <c r="I72" i="3"/>
  <c r="D94" i="3"/>
  <c r="E93" i="3"/>
  <c r="G93" i="3"/>
  <c r="J94" i="3"/>
  <c r="K88" i="1"/>
  <c r="M88" i="1"/>
  <c r="J93" i="1"/>
  <c r="J92" i="1"/>
  <c r="K91" i="1"/>
  <c r="M91" i="1"/>
  <c r="D77" i="1"/>
  <c r="D85" i="1"/>
  <c r="E76" i="1"/>
  <c r="G76" i="1"/>
  <c r="D95" i="3"/>
  <c r="D100" i="3"/>
  <c r="E94" i="3"/>
  <c r="G94" i="3"/>
  <c r="K94" i="3"/>
  <c r="M94" i="3"/>
  <c r="J100" i="3"/>
  <c r="J95" i="3"/>
  <c r="I133" i="3"/>
  <c r="D122" i="3"/>
  <c r="E111" i="3"/>
  <c r="G111" i="3"/>
  <c r="J99" i="3"/>
  <c r="K98" i="3"/>
  <c r="M98" i="3"/>
  <c r="K92" i="1"/>
  <c r="M92" i="1"/>
  <c r="J98" i="1"/>
  <c r="J94" i="1"/>
  <c r="K93" i="1"/>
  <c r="M93" i="1"/>
  <c r="E77" i="1"/>
  <c r="G77" i="1"/>
  <c r="J111" i="3"/>
  <c r="K99" i="3"/>
  <c r="M99" i="3"/>
  <c r="I142" i="3"/>
  <c r="I135" i="3"/>
  <c r="I144" i="3"/>
  <c r="E122" i="3"/>
  <c r="G122" i="3"/>
  <c r="I136" i="3"/>
  <c r="J101" i="3"/>
  <c r="K100" i="3"/>
  <c r="M100" i="3"/>
  <c r="D101" i="3"/>
  <c r="E100" i="3"/>
  <c r="G100" i="3"/>
  <c r="J100" i="1"/>
  <c r="K94" i="1"/>
  <c r="M94" i="1"/>
  <c r="K98" i="1"/>
  <c r="M98" i="1"/>
  <c r="J99" i="1"/>
  <c r="E85" i="1"/>
  <c r="G85" i="1"/>
  <c r="D102" i="3"/>
  <c r="E101" i="3"/>
  <c r="G101" i="3"/>
  <c r="D109" i="3"/>
  <c r="S172" i="3"/>
  <c r="I145" i="3"/>
  <c r="K101" i="3"/>
  <c r="M101" i="3"/>
  <c r="J102" i="3"/>
  <c r="J109" i="3"/>
  <c r="I137" i="3"/>
  <c r="S171" i="3"/>
  <c r="I143" i="3"/>
  <c r="K111" i="3"/>
  <c r="M111" i="3"/>
  <c r="J122" i="3"/>
  <c r="J101" i="1"/>
  <c r="K100" i="1"/>
  <c r="M100" i="1"/>
  <c r="J111" i="1"/>
  <c r="K99" i="1"/>
  <c r="M99" i="1"/>
  <c r="D159" i="1"/>
  <c r="E159" i="1"/>
  <c r="G159" i="1"/>
  <c r="K122" i="3"/>
  <c r="M122" i="3"/>
  <c r="I149" i="3"/>
  <c r="I157" i="3"/>
  <c r="J108" i="3"/>
  <c r="J69" i="3"/>
  <c r="K109" i="3"/>
  <c r="M109" i="3"/>
  <c r="J110" i="3"/>
  <c r="I150" i="3"/>
  <c r="I155" i="3"/>
  <c r="I156" i="3"/>
  <c r="E109" i="3"/>
  <c r="G109" i="3"/>
  <c r="D69" i="3"/>
  <c r="D108" i="3"/>
  <c r="D110" i="3"/>
  <c r="K101" i="1"/>
  <c r="M101" i="1"/>
  <c r="K111" i="1"/>
  <c r="M111" i="1"/>
  <c r="J122" i="1"/>
  <c r="E26" i="2"/>
  <c r="E27" i="2"/>
  <c r="E28" i="2"/>
  <c r="G108" i="3"/>
  <c r="E69" i="3"/>
  <c r="G69" i="3"/>
  <c r="K69" i="3"/>
  <c r="M69" i="3"/>
  <c r="D118" i="3"/>
  <c r="E110" i="3"/>
  <c r="G110" i="3"/>
  <c r="J118" i="3"/>
  <c r="K110" i="3"/>
  <c r="M110" i="3"/>
  <c r="I166" i="3"/>
  <c r="I159" i="3"/>
  <c r="I161" i="3"/>
  <c r="I165" i="3"/>
  <c r="M108" i="3"/>
  <c r="J148" i="3"/>
  <c r="I158" i="3"/>
  <c r="I167" i="3"/>
  <c r="I168" i="3"/>
  <c r="I169" i="3"/>
  <c r="I148" i="3"/>
  <c r="I146" i="3"/>
  <c r="K122" i="1"/>
  <c r="M122" i="1"/>
  <c r="E135" i="2"/>
  <c r="D135" i="2"/>
  <c r="E134" i="2"/>
  <c r="D134" i="2"/>
  <c r="E105" i="2"/>
  <c r="D105" i="2"/>
  <c r="E97" i="2"/>
  <c r="H84" i="2"/>
  <c r="H85" i="2"/>
  <c r="E70" i="2"/>
  <c r="D70" i="2"/>
  <c r="E56" i="2"/>
  <c r="E58" i="2"/>
  <c r="D56" i="2"/>
  <c r="D58" i="2"/>
  <c r="D81" i="2"/>
  <c r="D83" i="2"/>
  <c r="D88" i="2"/>
  <c r="D48" i="2"/>
  <c r="G45" i="2"/>
  <c r="E39" i="2"/>
  <c r="D39" i="2"/>
  <c r="E37" i="2"/>
  <c r="D37" i="2"/>
  <c r="E35" i="2"/>
  <c r="E34" i="2"/>
  <c r="E33" i="2"/>
  <c r="E32" i="2"/>
  <c r="E31" i="2"/>
  <c r="D25" i="2"/>
  <c r="H24" i="2"/>
  <c r="E22" i="2"/>
  <c r="D22" i="2"/>
  <c r="J14" i="2"/>
  <c r="E7" i="2"/>
  <c r="J15" i="2"/>
  <c r="D7" i="2"/>
  <c r="I13" i="2"/>
  <c r="I147" i="3"/>
  <c r="I154" i="3"/>
  <c r="D131" i="3"/>
  <c r="E118" i="3"/>
  <c r="G118" i="3"/>
  <c r="D119" i="3"/>
  <c r="J131" i="3"/>
  <c r="K118" i="3"/>
  <c r="M118" i="3"/>
  <c r="I171" i="3"/>
  <c r="J119" i="3"/>
  <c r="D90" i="2"/>
  <c r="D99" i="2"/>
  <c r="D107" i="2"/>
  <c r="E38" i="2"/>
  <c r="E81" i="2"/>
  <c r="E83" i="2"/>
  <c r="E88" i="2"/>
  <c r="E90" i="2"/>
  <c r="E99" i="2"/>
  <c r="E107" i="2"/>
  <c r="E63" i="2"/>
  <c r="E67" i="2"/>
  <c r="J16" i="2"/>
  <c r="J17" i="2"/>
  <c r="D53" i="2"/>
  <c r="D63" i="2"/>
  <c r="D67" i="2"/>
  <c r="E21" i="2"/>
  <c r="D41" i="2"/>
  <c r="I15" i="2"/>
  <c r="I16" i="2"/>
  <c r="I17" i="2"/>
  <c r="D38" i="2"/>
  <c r="D49" i="2"/>
  <c r="D96" i="2"/>
  <c r="E53" i="2"/>
  <c r="I14" i="2"/>
  <c r="K119" i="3"/>
  <c r="M119" i="3"/>
  <c r="J120" i="3"/>
  <c r="J113" i="3"/>
  <c r="J114" i="3"/>
  <c r="E119" i="3"/>
  <c r="G119" i="3"/>
  <c r="D120" i="3"/>
  <c r="D113" i="3"/>
  <c r="D114" i="3"/>
  <c r="D141" i="3"/>
  <c r="E131" i="3"/>
  <c r="G131" i="3"/>
  <c r="D72" i="3"/>
  <c r="E72" i="3"/>
  <c r="G72" i="3"/>
  <c r="J126" i="3"/>
  <c r="J141" i="3"/>
  <c r="K131" i="3"/>
  <c r="M131" i="3"/>
  <c r="J72" i="3"/>
  <c r="K72" i="3"/>
  <c r="M72" i="3"/>
  <c r="D126" i="3"/>
  <c r="I172" i="3"/>
  <c r="I164" i="3"/>
  <c r="E54" i="2"/>
  <c r="E55" i="2"/>
  <c r="E59" i="2"/>
  <c r="E57" i="2"/>
  <c r="L73" i="2"/>
  <c r="D69" i="2"/>
  <c r="D54" i="2"/>
  <c r="D55" i="2"/>
  <c r="D57" i="2"/>
  <c r="D59" i="2"/>
  <c r="D50" i="2"/>
  <c r="E69" i="2"/>
  <c r="M73" i="2"/>
  <c r="I175" i="3"/>
  <c r="J153" i="3"/>
  <c r="K141" i="3"/>
  <c r="M141" i="3"/>
  <c r="D153" i="3"/>
  <c r="E153" i="3"/>
  <c r="G153" i="3"/>
  <c r="E141" i="3"/>
  <c r="G141" i="3"/>
  <c r="E120" i="3"/>
  <c r="G120" i="3"/>
  <c r="D123" i="3"/>
  <c r="D127" i="3"/>
  <c r="D121" i="3"/>
  <c r="K120" i="3"/>
  <c r="M120" i="3"/>
  <c r="J123" i="3"/>
  <c r="J127" i="3"/>
  <c r="J121" i="3"/>
  <c r="E71" i="2"/>
  <c r="E64" i="2"/>
  <c r="E68" i="2"/>
  <c r="E72" i="2"/>
  <c r="E73" i="2"/>
  <c r="E82" i="2"/>
  <c r="E84" i="2"/>
  <c r="E89" i="2"/>
  <c r="E91" i="2"/>
  <c r="E95" i="2"/>
  <c r="D71" i="2"/>
  <c r="D82" i="2"/>
  <c r="D84" i="2"/>
  <c r="D64" i="2"/>
  <c r="J132" i="3"/>
  <c r="K121" i="3"/>
  <c r="M121" i="3"/>
  <c r="J124" i="3"/>
  <c r="K123" i="3"/>
  <c r="M123" i="3"/>
  <c r="D132" i="3"/>
  <c r="E121" i="3"/>
  <c r="G121" i="3"/>
  <c r="D124" i="3"/>
  <c r="E123" i="3"/>
  <c r="G123" i="3"/>
  <c r="K153" i="3"/>
  <c r="M153" i="3"/>
  <c r="J146" i="3"/>
  <c r="S176" i="3"/>
  <c r="I176" i="3"/>
  <c r="K176" i="3"/>
  <c r="I177" i="3"/>
  <c r="E74" i="2"/>
  <c r="E78" i="2"/>
  <c r="D89" i="2"/>
  <c r="D91" i="2"/>
  <c r="D85" i="2"/>
  <c r="D68" i="2"/>
  <c r="D72" i="2"/>
  <c r="D62" i="2"/>
  <c r="E76" i="2"/>
  <c r="D50" i="1"/>
  <c r="K146" i="3"/>
  <c r="J147" i="3"/>
  <c r="J154" i="3"/>
  <c r="K154" i="3"/>
  <c r="M154" i="3"/>
  <c r="K132" i="3"/>
  <c r="M132" i="3"/>
  <c r="J133" i="3"/>
  <c r="J136" i="3"/>
  <c r="E124" i="3"/>
  <c r="G124" i="3"/>
  <c r="D134" i="3"/>
  <c r="E132" i="3"/>
  <c r="G132" i="3"/>
  <c r="D133" i="3"/>
  <c r="D136" i="3"/>
  <c r="K124" i="3"/>
  <c r="M124" i="3"/>
  <c r="J134" i="3"/>
  <c r="D73" i="2"/>
  <c r="D74" i="2"/>
  <c r="D76" i="2"/>
  <c r="D95" i="2"/>
  <c r="D97" i="2"/>
  <c r="D92" i="2"/>
  <c r="D142" i="3"/>
  <c r="E133" i="3"/>
  <c r="G133" i="3"/>
  <c r="D135" i="3"/>
  <c r="E134" i="3"/>
  <c r="G134" i="3"/>
  <c r="J135" i="3"/>
  <c r="K134" i="3"/>
  <c r="M134" i="3"/>
  <c r="J142" i="3"/>
  <c r="K133" i="3"/>
  <c r="M133" i="3"/>
  <c r="J137" i="3"/>
  <c r="K147" i="3"/>
  <c r="M147" i="3"/>
  <c r="M146" i="3"/>
  <c r="O163" i="3"/>
  <c r="D98" i="2"/>
  <c r="D77" i="2"/>
  <c r="H41" i="2"/>
  <c r="D78" i="2"/>
  <c r="D148" i="2"/>
  <c r="K142" i="3"/>
  <c r="M142" i="3"/>
  <c r="J143" i="3"/>
  <c r="K143" i="3"/>
  <c r="M143" i="3"/>
  <c r="K135" i="3"/>
  <c r="M135" i="3"/>
  <c r="J144" i="3"/>
  <c r="E135" i="3"/>
  <c r="G135" i="3"/>
  <c r="D144" i="3"/>
  <c r="D137" i="3"/>
  <c r="E142" i="3"/>
  <c r="G142" i="3"/>
  <c r="D143" i="3"/>
  <c r="D102" i="2"/>
  <c r="D101" i="2"/>
  <c r="D106" i="2"/>
  <c r="D109" i="2"/>
  <c r="D145" i="3"/>
  <c r="E144" i="3"/>
  <c r="G144" i="3"/>
  <c r="D157" i="3"/>
  <c r="E143" i="3"/>
  <c r="G143" i="3"/>
  <c r="D148" i="3"/>
  <c r="D146" i="3"/>
  <c r="K144" i="3"/>
  <c r="M144" i="3"/>
  <c r="J145" i="3"/>
  <c r="D113" i="2"/>
  <c r="D108" i="2"/>
  <c r="E96" i="2"/>
  <c r="J150" i="3"/>
  <c r="K150" i="3"/>
  <c r="M150" i="3"/>
  <c r="J155" i="3"/>
  <c r="K145" i="3"/>
  <c r="M145" i="3"/>
  <c r="D158" i="3"/>
  <c r="E157" i="3"/>
  <c r="G157" i="3"/>
  <c r="E146" i="3"/>
  <c r="D147" i="3"/>
  <c r="E145" i="3"/>
  <c r="G145" i="3"/>
  <c r="D155" i="3"/>
  <c r="D115" i="2"/>
  <c r="D110" i="2"/>
  <c r="E98" i="2"/>
  <c r="E48" i="2"/>
  <c r="D114" i="2"/>
  <c r="D117" i="2"/>
  <c r="D106" i="1"/>
  <c r="D107" i="1"/>
  <c r="E147" i="3"/>
  <c r="D167" i="3"/>
  <c r="E158" i="3"/>
  <c r="G158" i="3"/>
  <c r="E155" i="3"/>
  <c r="G155" i="3"/>
  <c r="D156" i="3"/>
  <c r="K155" i="3"/>
  <c r="M155" i="3"/>
  <c r="J156" i="3"/>
  <c r="J157" i="1"/>
  <c r="K156" i="1"/>
  <c r="M156" i="1"/>
  <c r="E106" i="1"/>
  <c r="G106" i="1"/>
  <c r="E107" i="1"/>
  <c r="G107" i="1"/>
  <c r="D116" i="2"/>
  <c r="D123" i="2"/>
  <c r="E101" i="2"/>
  <c r="E102" i="2"/>
  <c r="E103" i="2"/>
  <c r="H43" i="2"/>
  <c r="D121" i="2"/>
  <c r="E85" i="2"/>
  <c r="E49" i="2"/>
  <c r="E50" i="2"/>
  <c r="E44" i="2"/>
  <c r="E92" i="2"/>
  <c r="E106" i="2"/>
  <c r="G43" i="2"/>
  <c r="D51" i="1"/>
  <c r="D86" i="1"/>
  <c r="J166" i="3"/>
  <c r="J159" i="3"/>
  <c r="K156" i="3"/>
  <c r="J165" i="3"/>
  <c r="M165" i="3"/>
  <c r="D166" i="3"/>
  <c r="D159" i="3"/>
  <c r="E156" i="3"/>
  <c r="D165" i="3"/>
  <c r="G165" i="3"/>
  <c r="E167" i="3"/>
  <c r="G167" i="3"/>
  <c r="D168" i="3"/>
  <c r="K157" i="1"/>
  <c r="M157" i="1"/>
  <c r="E86" i="1"/>
  <c r="G86" i="1"/>
  <c r="D118" i="2"/>
  <c r="D122" i="2"/>
  <c r="D125" i="2"/>
  <c r="E113" i="2"/>
  <c r="E108" i="2"/>
  <c r="E109" i="2"/>
  <c r="E77" i="2"/>
  <c r="H40" i="2"/>
  <c r="E62" i="2"/>
  <c r="D169" i="3"/>
  <c r="E168" i="3"/>
  <c r="E159" i="3"/>
  <c r="G159" i="3"/>
  <c r="D161" i="3"/>
  <c r="E166" i="3"/>
  <c r="G166" i="3"/>
  <c r="D171" i="3"/>
  <c r="K159" i="3"/>
  <c r="M159" i="3"/>
  <c r="J161" i="3"/>
  <c r="G156" i="3"/>
  <c r="E165" i="3"/>
  <c r="M156" i="3"/>
  <c r="K165" i="3"/>
  <c r="K166" i="3"/>
  <c r="J171" i="3"/>
  <c r="E148" i="2"/>
  <c r="E115" i="2"/>
  <c r="E110" i="2"/>
  <c r="E111" i="2"/>
  <c r="E114" i="2"/>
  <c r="D131" i="2"/>
  <c r="D124" i="2"/>
  <c r="D129" i="2"/>
  <c r="D91" i="1"/>
  <c r="K171" i="3"/>
  <c r="J172" i="3"/>
  <c r="E171" i="3"/>
  <c r="G171" i="3"/>
  <c r="D172" i="3"/>
  <c r="E169" i="3"/>
  <c r="G169" i="3"/>
  <c r="D175" i="3"/>
  <c r="D92" i="1"/>
  <c r="E91" i="1"/>
  <c r="G91" i="1"/>
  <c r="E117" i="2"/>
  <c r="E116" i="2"/>
  <c r="E123" i="2"/>
  <c r="D137" i="2"/>
  <c r="D136" i="2"/>
  <c r="D130" i="2"/>
  <c r="D126" i="2"/>
  <c r="D132" i="2"/>
  <c r="D138" i="2"/>
  <c r="D139" i="2"/>
  <c r="D140" i="2"/>
  <c r="E121" i="2"/>
  <c r="E175" i="3"/>
  <c r="G175" i="3"/>
  <c r="D176" i="3"/>
  <c r="D177" i="3"/>
  <c r="E172" i="3"/>
  <c r="G172" i="3"/>
  <c r="D164" i="3"/>
  <c r="E164" i="3"/>
  <c r="G164" i="3"/>
  <c r="K172" i="3"/>
  <c r="J164" i="3"/>
  <c r="K164" i="3"/>
  <c r="M164" i="3"/>
  <c r="J175" i="3"/>
  <c r="E92" i="1"/>
  <c r="G92" i="1"/>
  <c r="D98" i="1"/>
  <c r="D60" i="1"/>
  <c r="E118" i="2"/>
  <c r="E119" i="2"/>
  <c r="D142" i="2"/>
  <c r="D143" i="2"/>
  <c r="I41" i="2"/>
  <c r="E122" i="2"/>
  <c r="E125" i="2"/>
  <c r="D78" i="1"/>
  <c r="S177" i="3"/>
  <c r="J176" i="3"/>
  <c r="K175" i="3"/>
  <c r="J177" i="3"/>
  <c r="E78" i="1"/>
  <c r="G78" i="1"/>
  <c r="D79" i="1"/>
  <c r="D99" i="1"/>
  <c r="E98" i="1"/>
  <c r="G98" i="1"/>
  <c r="D80" i="1"/>
  <c r="D147" i="2"/>
  <c r="D150" i="2"/>
  <c r="D152" i="2"/>
  <c r="D151" i="2"/>
  <c r="D144" i="2"/>
  <c r="D154" i="2"/>
  <c r="H35" i="2"/>
  <c r="E156" i="2"/>
  <c r="E131" i="2"/>
  <c r="E124" i="2"/>
  <c r="E129" i="2"/>
  <c r="M175" i="3"/>
  <c r="K179" i="3"/>
  <c r="K180" i="3"/>
  <c r="D111" i="1"/>
  <c r="E99" i="1"/>
  <c r="G99" i="1"/>
  <c r="D87" i="1"/>
  <c r="E79" i="1"/>
  <c r="G79" i="1"/>
  <c r="D81" i="1"/>
  <c r="E80" i="1"/>
  <c r="E138" i="2"/>
  <c r="E139" i="2"/>
  <c r="E140" i="2"/>
  <c r="E132" i="2"/>
  <c r="E136" i="2"/>
  <c r="E130" i="2"/>
  <c r="E137" i="2"/>
  <c r="E126" i="2"/>
  <c r="E127" i="2"/>
  <c r="D122" i="1"/>
  <c r="E122" i="1"/>
  <c r="G122" i="1"/>
  <c r="E111" i="1"/>
  <c r="G111" i="1"/>
  <c r="E81" i="1"/>
  <c r="D88" i="1"/>
  <c r="E87" i="1"/>
  <c r="G87" i="1"/>
  <c r="E142" i="2"/>
  <c r="E143" i="2"/>
  <c r="E88" i="1"/>
  <c r="G88" i="1"/>
  <c r="D93" i="1"/>
  <c r="I40" i="2"/>
  <c r="E144" i="2"/>
  <c r="E147" i="2"/>
  <c r="E150" i="2"/>
  <c r="E151" i="2"/>
  <c r="D94" i="1"/>
  <c r="E93" i="1"/>
  <c r="G93" i="1"/>
  <c r="E154" i="2"/>
  <c r="H38" i="2"/>
  <c r="E94" i="1"/>
  <c r="G94" i="1"/>
  <c r="D95" i="1"/>
  <c r="D100" i="1"/>
  <c r="E100" i="1"/>
  <c r="G100" i="1"/>
  <c r="D101" i="1"/>
  <c r="D109" i="1"/>
  <c r="D102" i="1"/>
  <c r="E101" i="1"/>
  <c r="G101" i="1"/>
  <c r="F110" i="1"/>
  <c r="E109" i="1"/>
  <c r="G109" i="1"/>
  <c r="D69" i="1"/>
  <c r="E69" i="1"/>
  <c r="G69" i="1"/>
  <c r="D108" i="1"/>
  <c r="D110" i="1"/>
  <c r="D114" i="1"/>
  <c r="G108" i="1"/>
  <c r="D118" i="1"/>
  <c r="E110" i="1"/>
  <c r="G110" i="1"/>
  <c r="D130" i="1"/>
  <c r="E130" i="1"/>
  <c r="G130" i="1"/>
  <c r="D119" i="1"/>
  <c r="E119" i="1"/>
  <c r="G119" i="1"/>
  <c r="E118" i="1"/>
  <c r="G118" i="1"/>
  <c r="D140" i="1"/>
  <c r="E140" i="1"/>
  <c r="G140" i="1"/>
  <c r="D72" i="1"/>
  <c r="E72" i="1"/>
  <c r="G72" i="1"/>
  <c r="D120" i="1"/>
  <c r="D113" i="1"/>
  <c r="D125" i="1"/>
  <c r="D152" i="1"/>
  <c r="E152" i="1"/>
  <c r="G152" i="1"/>
  <c r="E120" i="1"/>
  <c r="G120" i="1"/>
  <c r="D121" i="1"/>
  <c r="E121" i="1"/>
  <c r="G121" i="1"/>
  <c r="D123" i="1"/>
  <c r="D124" i="1"/>
  <c r="D133" i="1"/>
  <c r="D126" i="1"/>
  <c r="E123" i="1"/>
  <c r="G123" i="1"/>
  <c r="D131" i="1"/>
  <c r="E124" i="1"/>
  <c r="G124" i="1"/>
  <c r="E133" i="1"/>
  <c r="G133" i="1"/>
  <c r="E131" i="1"/>
  <c r="G131" i="1"/>
  <c r="D132" i="1"/>
  <c r="D134" i="1"/>
  <c r="E134" i="1"/>
  <c r="G134" i="1"/>
  <c r="D141" i="1"/>
  <c r="D142" i="1"/>
  <c r="E132" i="1"/>
  <c r="G132" i="1"/>
  <c r="D143" i="1"/>
  <c r="E143" i="1"/>
  <c r="G143" i="1"/>
  <c r="D136" i="1"/>
  <c r="D147" i="1"/>
  <c r="D145" i="1"/>
  <c r="D146" i="1"/>
  <c r="D156" i="1"/>
  <c r="D157" i="1"/>
  <c r="D166" i="1"/>
  <c r="D167" i="1"/>
  <c r="E141" i="1"/>
  <c r="G141" i="1"/>
  <c r="E142" i="1"/>
  <c r="G142" i="1"/>
  <c r="D144" i="1"/>
  <c r="D154" i="1"/>
  <c r="E154" i="1"/>
  <c r="G154" i="1"/>
  <c r="E145" i="1"/>
  <c r="E156" i="1"/>
  <c r="G156" i="1"/>
  <c r="D155" i="1"/>
  <c r="D164" i="1"/>
  <c r="E144" i="1"/>
  <c r="G144" i="1"/>
  <c r="E157" i="1"/>
  <c r="G157" i="1"/>
  <c r="E146" i="1"/>
  <c r="D158" i="1"/>
  <c r="E158" i="1"/>
  <c r="G158" i="1"/>
  <c r="E155" i="1"/>
  <c r="G155" i="1"/>
  <c r="D165" i="1"/>
  <c r="E165" i="1"/>
  <c r="G165" i="1"/>
  <c r="G164" i="1"/>
  <c r="E166" i="1"/>
  <c r="G166" i="1"/>
  <c r="D170" i="1"/>
  <c r="E170" i="1"/>
  <c r="G170" i="1"/>
  <c r="D160" i="1"/>
  <c r="E164" i="1"/>
  <c r="E167" i="1"/>
  <c r="D168" i="1"/>
  <c r="D171" i="1"/>
  <c r="D175" i="1"/>
  <c r="E168" i="1"/>
  <c r="G168" i="1"/>
  <c r="D163" i="1"/>
  <c r="E171" i="1"/>
  <c r="G171" i="1"/>
  <c r="E163" i="1"/>
  <c r="G163" i="1"/>
  <c r="D178" i="1"/>
  <c r="D177" i="1"/>
  <c r="E175" i="1"/>
  <c r="E177" i="1"/>
  <c r="I27" i="1"/>
  <c r="I25" i="1"/>
  <c r="I51" i="1"/>
  <c r="I99" i="1"/>
  <c r="I101" i="1"/>
  <c r="I111" i="1"/>
  <c r="I122" i="1"/>
  <c r="N93" i="5" l="1"/>
  <c r="J166" i="1"/>
  <c r="N113" i="5"/>
  <c r="N100" i="5"/>
  <c r="N101" i="5" s="1"/>
  <c r="N102" i="5" s="1"/>
  <c r="N178" i="5" s="1"/>
  <c r="N84" i="5"/>
  <c r="I58" i="5"/>
  <c r="D58" i="5"/>
  <c r="D91" i="5"/>
  <c r="E91" i="5" s="1"/>
  <c r="G91" i="5" s="1"/>
  <c r="D86" i="5"/>
  <c r="D87" i="5" s="1"/>
  <c r="E87" i="5" s="1"/>
  <c r="G87" i="5" s="1"/>
  <c r="E84" i="5"/>
  <c r="G84" i="5" s="1"/>
  <c r="D85" i="5"/>
  <c r="D61" i="5"/>
  <c r="D92" i="5"/>
  <c r="D93" i="5" s="1"/>
  <c r="E93" i="5" s="1"/>
  <c r="G93" i="5" s="1"/>
  <c r="J82" i="5"/>
  <c r="L82" i="5" s="1"/>
  <c r="J83" i="5"/>
  <c r="L83" i="5" s="1"/>
  <c r="J94" i="5"/>
  <c r="L94" i="5" s="1"/>
  <c r="J84" i="5"/>
  <c r="L84" i="5" s="1"/>
  <c r="J85" i="5"/>
  <c r="L85" i="5" s="1"/>
  <c r="I93" i="5"/>
  <c r="I61" i="5"/>
  <c r="I103" i="5"/>
  <c r="J103" i="5" s="1"/>
  <c r="L103" i="5" s="1"/>
  <c r="I115" i="5"/>
  <c r="J115" i="5" s="1"/>
  <c r="L115" i="5" s="1"/>
  <c r="I86" i="5"/>
  <c r="E117" i="7"/>
  <c r="E106" i="7"/>
  <c r="I88" i="7"/>
  <c r="I97" i="7" s="1"/>
  <c r="I98" i="7" s="1"/>
  <c r="I89" i="7"/>
  <c r="I90" i="7" s="1"/>
  <c r="G106" i="7"/>
  <c r="G117" i="7"/>
  <c r="G118" i="7"/>
  <c r="G125" i="7" s="1"/>
  <c r="F106" i="7"/>
  <c r="F117" i="7"/>
  <c r="E103" i="7"/>
  <c r="E104" i="7" s="1"/>
  <c r="E107" i="7" s="1"/>
  <c r="E108" i="7" s="1"/>
  <c r="E175" i="7" s="1"/>
  <c r="E174" i="7" s="1"/>
  <c r="E115" i="7"/>
  <c r="K106" i="7"/>
  <c r="K107" i="7" s="1"/>
  <c r="K108" i="7" s="1"/>
  <c r="K175" i="7" s="1"/>
  <c r="K174" i="7" s="1"/>
  <c r="K117" i="7"/>
  <c r="K118" i="7" s="1"/>
  <c r="K125" i="7" s="1"/>
  <c r="K126" i="7" s="1"/>
  <c r="F103" i="7"/>
  <c r="F104" i="7" s="1"/>
  <c r="F105" i="7" s="1"/>
  <c r="F180" i="7" s="1"/>
  <c r="F115" i="7"/>
  <c r="F116" i="7" s="1"/>
  <c r="F123" i="7" s="1"/>
  <c r="F124" i="7" s="1"/>
  <c r="F135" i="7" s="1"/>
  <c r="F147" i="7" s="1"/>
  <c r="I103" i="7"/>
  <c r="I104" i="7" s="1"/>
  <c r="I115" i="7"/>
  <c r="I116" i="7" s="1"/>
  <c r="D88" i="7"/>
  <c r="D97" i="7" s="1"/>
  <c r="D98" i="7" s="1"/>
  <c r="D89" i="7"/>
  <c r="D90" i="7" s="1"/>
  <c r="G107" i="7"/>
  <c r="G108" i="7" s="1"/>
  <c r="G175" i="7" s="1"/>
  <c r="G174" i="7" s="1"/>
  <c r="G105" i="7"/>
  <c r="G180" i="7" s="1"/>
  <c r="F89" i="7"/>
  <c r="F90" i="7" s="1"/>
  <c r="J115" i="7"/>
  <c r="D103" i="7"/>
  <c r="D104" i="7" s="1"/>
  <c r="H87" i="7"/>
  <c r="H103" i="7"/>
  <c r="H104" i="7" s="1"/>
  <c r="D116" i="7"/>
  <c r="K116" i="7"/>
  <c r="K123" i="7" s="1"/>
  <c r="K124" i="7" s="1"/>
  <c r="K135" i="7" s="1"/>
  <c r="K147" i="7" s="1"/>
  <c r="J116" i="7"/>
  <c r="G123" i="7"/>
  <c r="G124" i="7" s="1"/>
  <c r="G135" i="7" s="1"/>
  <c r="G147" i="7" s="1"/>
  <c r="E116" i="7"/>
  <c r="D123" i="7"/>
  <c r="D124" i="7" s="1"/>
  <c r="D135" i="7" s="1"/>
  <c r="D147" i="7" s="1"/>
  <c r="D53" i="7"/>
  <c r="I123" i="7"/>
  <c r="I124" i="7" s="1"/>
  <c r="I135" i="7" s="1"/>
  <c r="I147" i="7" s="1"/>
  <c r="G126" i="7"/>
  <c r="H123" i="7"/>
  <c r="H124" i="7" s="1"/>
  <c r="H135" i="7" s="1"/>
  <c r="H147" i="7" s="1"/>
  <c r="J123" i="7"/>
  <c r="J124" i="7" s="1"/>
  <c r="J135" i="7" s="1"/>
  <c r="J147" i="7" s="1"/>
  <c r="J118" i="7"/>
  <c r="J125" i="7" s="1"/>
  <c r="J105" i="7"/>
  <c r="J180" i="7" s="1"/>
  <c r="J107" i="7"/>
  <c r="J108" i="7" s="1"/>
  <c r="J175" i="7" s="1"/>
  <c r="J174" i="7" s="1"/>
  <c r="H105" i="7"/>
  <c r="H180" i="7" s="1"/>
  <c r="E105" i="7"/>
  <c r="E180" i="7" s="1"/>
  <c r="F53" i="7"/>
  <c r="D105" i="7"/>
  <c r="D180" i="7" s="1"/>
  <c r="K166" i="1" l="1"/>
  <c r="M166" i="1" s="1"/>
  <c r="J167" i="1"/>
  <c r="N86" i="5"/>
  <c r="N87" i="5" s="1"/>
  <c r="N85" i="5"/>
  <c r="N94" i="5" s="1"/>
  <c r="N95" i="5" s="1"/>
  <c r="E86" i="5"/>
  <c r="G86" i="5" s="1"/>
  <c r="D98" i="5"/>
  <c r="D111" i="5" s="1"/>
  <c r="E111" i="5" s="1"/>
  <c r="G111" i="5" s="1"/>
  <c r="E85" i="5"/>
  <c r="G85" i="5" s="1"/>
  <c r="D94" i="5"/>
  <c r="D113" i="5"/>
  <c r="D100" i="5"/>
  <c r="D101" i="5" s="1"/>
  <c r="E92" i="5"/>
  <c r="G92" i="5" s="1"/>
  <c r="I113" i="5"/>
  <c r="J93" i="5"/>
  <c r="L93" i="5" s="1"/>
  <c r="I87" i="5"/>
  <c r="J87" i="5" s="1"/>
  <c r="J86" i="5"/>
  <c r="D114" i="5"/>
  <c r="E113" i="5"/>
  <c r="G113" i="5" s="1"/>
  <c r="E100" i="5"/>
  <c r="G100" i="5" s="1"/>
  <c r="I100" i="5"/>
  <c r="F118" i="7"/>
  <c r="F125" i="7" s="1"/>
  <c r="F126" i="7" s="1"/>
  <c r="H89" i="7"/>
  <c r="H90" i="7" s="1"/>
  <c r="H88" i="7"/>
  <c r="H97" i="7" s="1"/>
  <c r="H98" i="7" s="1"/>
  <c r="I105" i="7"/>
  <c r="I180" i="7" s="1"/>
  <c r="F107" i="7"/>
  <c r="F108" i="7" s="1"/>
  <c r="F175" i="7" s="1"/>
  <c r="F174" i="7" s="1"/>
  <c r="I106" i="7"/>
  <c r="I107" i="7" s="1"/>
  <c r="I108" i="7" s="1"/>
  <c r="I175" i="7" s="1"/>
  <c r="I174" i="7" s="1"/>
  <c r="I117" i="7"/>
  <c r="I118" i="7" s="1"/>
  <c r="I125" i="7" s="1"/>
  <c r="I126" i="7" s="1"/>
  <c r="D117" i="7"/>
  <c r="D118" i="7" s="1"/>
  <c r="D125" i="7" s="1"/>
  <c r="D126" i="7" s="1"/>
  <c r="D106" i="7"/>
  <c r="D107" i="7"/>
  <c r="D108" i="7" s="1"/>
  <c r="D175" i="7" s="1"/>
  <c r="D174" i="7" s="1"/>
  <c r="J126" i="7"/>
  <c r="E118" i="7"/>
  <c r="E125" i="7" s="1"/>
  <c r="E123" i="7"/>
  <c r="E124" i="7" s="1"/>
  <c r="E135" i="7" s="1"/>
  <c r="E147" i="7" s="1"/>
  <c r="J168" i="1" l="1"/>
  <c r="K168" i="1" s="1"/>
  <c r="K167" i="1"/>
  <c r="N103" i="5"/>
  <c r="N104" i="5" s="1"/>
  <c r="N105" i="5" s="1"/>
  <c r="N173" i="5" s="1"/>
  <c r="N172" i="5" s="1"/>
  <c r="N115" i="5"/>
  <c r="E98" i="5"/>
  <c r="G98" i="5" s="1"/>
  <c r="E94" i="5"/>
  <c r="G94" i="5" s="1"/>
  <c r="D95" i="5"/>
  <c r="J100" i="5"/>
  <c r="L100" i="5" s="1"/>
  <c r="J113" i="5"/>
  <c r="L113" i="5" s="1"/>
  <c r="D102" i="5"/>
  <c r="E101" i="5"/>
  <c r="G101" i="5" s="1"/>
  <c r="D121" i="5"/>
  <c r="E114" i="5"/>
  <c r="G114" i="5" s="1"/>
  <c r="H117" i="7"/>
  <c r="H118" i="7" s="1"/>
  <c r="H125" i="7" s="1"/>
  <c r="H126" i="7" s="1"/>
  <c r="H106" i="7"/>
  <c r="H107" i="7" s="1"/>
  <c r="H108" i="7" s="1"/>
  <c r="H175" i="7" s="1"/>
  <c r="H174" i="7" s="1"/>
  <c r="E126" i="7"/>
  <c r="E95" i="5" l="1"/>
  <c r="G95" i="5" s="1"/>
  <c r="D115" i="5"/>
  <c r="D103" i="5"/>
  <c r="E121" i="5"/>
  <c r="G121" i="5" s="1"/>
  <c r="D122" i="5"/>
  <c r="E102" i="5"/>
  <c r="G102" i="5" s="1"/>
  <c r="D178" i="5"/>
  <c r="E178" i="5" s="1"/>
  <c r="G178" i="5" s="1"/>
  <c r="E103" i="5" l="1"/>
  <c r="G103" i="5" s="1"/>
  <c r="D104" i="5"/>
  <c r="E115" i="5"/>
  <c r="G115" i="5" s="1"/>
  <c r="D116" i="5"/>
  <c r="E122" i="5"/>
  <c r="G122" i="5" s="1"/>
  <c r="D133" i="5"/>
  <c r="D105" i="5" l="1"/>
  <c r="E104" i="5"/>
  <c r="G104" i="5" s="1"/>
  <c r="E116" i="5"/>
  <c r="G116" i="5" s="1"/>
  <c r="D123" i="5"/>
  <c r="D145" i="5"/>
  <c r="E133" i="5"/>
  <c r="G133" i="5" s="1"/>
  <c r="E123" i="5" l="1"/>
  <c r="G123" i="5" s="1"/>
  <c r="D124" i="5"/>
  <c r="E124" i="5" s="1"/>
  <c r="G124" i="5" s="1"/>
  <c r="E105" i="5"/>
  <c r="G105" i="5" s="1"/>
  <c r="D173" i="5"/>
  <c r="E145" i="5"/>
  <c r="G145" i="5" s="1"/>
  <c r="E173" i="5" l="1"/>
  <c r="G173" i="5" s="1"/>
  <c r="D172" i="5"/>
  <c r="L201" i="5" l="1"/>
  <c r="I202" i="5"/>
  <c r="I27" i="5"/>
  <c r="I25" i="5" s="1"/>
  <c r="I29" i="5"/>
  <c r="N29" i="5" s="1"/>
  <c r="I50" i="5"/>
  <c r="I101" i="5"/>
  <c r="I104" i="5" s="1"/>
  <c r="J101" i="5"/>
  <c r="L101" i="5" s="1"/>
  <c r="I102" i="5"/>
  <c r="I178" i="5" s="1"/>
  <c r="J178" i="5" s="1"/>
  <c r="L178" i="5" s="1"/>
  <c r="J102" i="5"/>
  <c r="L102" i="5" s="1"/>
  <c r="I114" i="5"/>
  <c r="J114" i="5" s="1"/>
  <c r="L114" i="5" s="1"/>
  <c r="N50" i="5" l="1"/>
  <c r="N114" i="5"/>
  <c r="I105" i="5"/>
  <c r="J104" i="5"/>
  <c r="L104" i="5" s="1"/>
  <c r="I116" i="5"/>
  <c r="I121" i="5"/>
  <c r="N121" i="5" l="1"/>
  <c r="N122" i="5" s="1"/>
  <c r="N133" i="5" s="1"/>
  <c r="N145" i="5" s="1"/>
  <c r="N116" i="5"/>
  <c r="N123" i="5" s="1"/>
  <c r="N124" i="5" s="1"/>
  <c r="J116" i="5"/>
  <c r="L116" i="5" s="1"/>
  <c r="I123" i="5"/>
  <c r="J105" i="5"/>
  <c r="L105" i="5" s="1"/>
  <c r="I173" i="5"/>
  <c r="J121" i="5"/>
  <c r="L121" i="5" s="1"/>
  <c r="I122" i="5"/>
  <c r="I124" i="5" l="1"/>
  <c r="J124" i="5" s="1"/>
  <c r="L124" i="5" s="1"/>
  <c r="J123" i="5"/>
  <c r="L123" i="5" s="1"/>
  <c r="J122" i="5"/>
  <c r="L122" i="5" s="1"/>
  <c r="I133" i="5"/>
  <c r="I172" i="5"/>
  <c r="J172" i="5" s="1"/>
  <c r="J173" i="5"/>
  <c r="L173" i="5" s="1"/>
  <c r="I145" i="5" l="1"/>
  <c r="J133" i="5"/>
  <c r="L133" i="5" s="1"/>
  <c r="J145" i="5" l="1"/>
  <c r="L145" i="5" s="1"/>
  <c r="N219" i="5"/>
  <c r="N220" i="5"/>
  <c r="N130" i="5"/>
  <c r="N74" i="5"/>
  <c r="G221" i="7"/>
  <c r="G132" i="7"/>
  <c r="G77" i="7"/>
  <c r="J75" i="7"/>
  <c r="J80" i="7"/>
  <c r="J69" i="7"/>
  <c r="I113" i="1"/>
  <c r="I135" i="1"/>
  <c r="K29" i="1"/>
  <c r="J63" i="5"/>
  <c r="I218" i="5"/>
  <c r="I217" i="5"/>
  <c r="H150" i="7"/>
  <c r="H146" i="7"/>
  <c r="G151" i="7"/>
  <c r="G157" i="7"/>
  <c r="G173" i="7"/>
  <c r="G171" i="7"/>
  <c r="G69" i="7"/>
  <c r="G75" i="7"/>
  <c r="G80" i="7"/>
  <c r="E185" i="7"/>
  <c r="F80" i="7"/>
  <c r="F69" i="7"/>
  <c r="F75" i="7"/>
  <c r="G219" i="7"/>
  <c r="G220" i="7"/>
  <c r="J151" i="7"/>
  <c r="J157" i="7"/>
  <c r="J132" i="7"/>
  <c r="J221" i="7"/>
  <c r="J77" i="7"/>
  <c r="J219" i="7"/>
  <c r="J220" i="7"/>
  <c r="G141" i="5"/>
  <c r="K69" i="7"/>
  <c r="K75" i="7"/>
  <c r="K80" i="7"/>
  <c r="I146" i="7"/>
  <c r="I150" i="7"/>
  <c r="J160" i="1"/>
  <c r="N108" i="5"/>
  <c r="N107" i="5"/>
  <c r="M144" i="1"/>
  <c r="G205" i="7"/>
  <c r="E171" i="7"/>
  <c r="E173" i="7"/>
  <c r="I138" i="7"/>
  <c r="I137" i="7"/>
  <c r="H173" i="7"/>
  <c r="H171" i="7"/>
  <c r="E80" i="7"/>
  <c r="E75" i="7"/>
  <c r="E69" i="7"/>
  <c r="D132" i="7"/>
  <c r="D77" i="7"/>
  <c r="D221" i="7"/>
  <c r="D183" i="5"/>
  <c r="I148" i="1"/>
  <c r="N160" i="5"/>
  <c r="E138" i="7"/>
  <c r="E137" i="7"/>
  <c r="J65" i="5"/>
  <c r="G211" i="5"/>
  <c r="D150" i="7"/>
  <c r="D146" i="7"/>
  <c r="J217" i="7"/>
  <c r="K213" i="7"/>
  <c r="K205" i="7"/>
  <c r="N149" i="5"/>
  <c r="L142" i="5"/>
  <c r="G177" i="5"/>
  <c r="N217" i="5"/>
  <c r="N218" i="5"/>
  <c r="L146" i="5"/>
  <c r="J146" i="7"/>
  <c r="J150" i="7"/>
  <c r="L177" i="1"/>
  <c r="K164" i="1"/>
  <c r="M155" i="1"/>
  <c r="G137" i="7"/>
  <c r="G138" i="7"/>
  <c r="M145" i="1"/>
  <c r="O162" i="1"/>
  <c r="G192" i="5"/>
  <c r="D217" i="5"/>
  <c r="D218" i="5"/>
  <c r="E204" i="5"/>
  <c r="G195" i="5"/>
  <c r="D80" i="7"/>
  <c r="D69" i="7"/>
  <c r="D75" i="7"/>
  <c r="K137" i="7"/>
  <c r="K138" i="7"/>
  <c r="N144" i="5"/>
  <c r="N148" i="5"/>
  <c r="I219" i="5"/>
  <c r="I220" i="5"/>
  <c r="H69" i="7"/>
  <c r="H80" i="7"/>
  <c r="H75" i="7"/>
  <c r="G194" i="5"/>
  <c r="I189" i="7"/>
  <c r="I160" i="5"/>
  <c r="G99" i="5"/>
  <c r="G159" i="7"/>
  <c r="D219" i="5"/>
  <c r="D220" i="5"/>
  <c r="I212" i="7"/>
  <c r="L77" i="5"/>
  <c r="N204" i="5"/>
  <c r="D160" i="5"/>
  <c r="K155" i="1"/>
  <c r="D185" i="7"/>
  <c r="E195" i="5"/>
  <c r="D66" i="5"/>
  <c r="E73" i="5"/>
  <c r="F159" i="7"/>
  <c r="J212" i="7"/>
  <c r="D186" i="7"/>
  <c r="D189" i="7"/>
  <c r="K132" i="7"/>
  <c r="K77" i="7"/>
  <c r="K221" i="7"/>
  <c r="J178" i="1"/>
  <c r="S177" i="1"/>
  <c r="L175" i="1"/>
  <c r="J177" i="1"/>
  <c r="I77" i="7"/>
  <c r="I221" i="7"/>
  <c r="I132" i="7"/>
  <c r="E150" i="7"/>
  <c r="E146" i="7"/>
  <c r="D184" i="5"/>
  <c r="D187" i="5"/>
  <c r="I219" i="7"/>
  <c r="I220" i="7"/>
  <c r="I69" i="1"/>
  <c r="I180" i="1"/>
  <c r="I179" i="1"/>
  <c r="F150" i="7"/>
  <c r="F146" i="7"/>
  <c r="D149" i="5"/>
  <c r="E141" i="5"/>
  <c r="M130" i="1"/>
  <c r="K173" i="7"/>
  <c r="K171" i="7"/>
  <c r="L91" i="5"/>
  <c r="G150" i="7"/>
  <c r="G146" i="7"/>
  <c r="M108" i="1"/>
  <c r="I160" i="1"/>
  <c r="I125" i="5"/>
  <c r="K121" i="1"/>
  <c r="M121" i="1"/>
  <c r="F206" i="7"/>
  <c r="D206" i="7"/>
  <c r="K220" i="7"/>
  <c r="K217" i="7"/>
  <c r="K219" i="7"/>
  <c r="D163" i="7"/>
  <c r="J119" i="7"/>
  <c r="I152" i="1"/>
  <c r="I153" i="1"/>
  <c r="I107" i="5"/>
  <c r="I108" i="5"/>
  <c r="J213" i="7"/>
  <c r="J205" i="7"/>
  <c r="E206" i="7"/>
  <c r="N117" i="5"/>
  <c r="J98" i="5"/>
  <c r="L98" i="5"/>
  <c r="I164" i="5"/>
  <c r="J28" i="5"/>
  <c r="J143" i="5"/>
  <c r="L143" i="5"/>
  <c r="I117" i="5"/>
  <c r="I210" i="7"/>
  <c r="N164" i="5"/>
  <c r="G129" i="5"/>
  <c r="H127" i="7"/>
  <c r="I171" i="7"/>
  <c r="I173" i="7"/>
  <c r="F171" i="7"/>
  <c r="F172" i="7"/>
  <c r="F173" i="7"/>
  <c r="K119" i="7"/>
  <c r="J71" i="5"/>
  <c r="I66" i="5"/>
  <c r="F219" i="7"/>
  <c r="F217" i="7"/>
  <c r="F220" i="7"/>
  <c r="D125" i="5"/>
  <c r="J153" i="5"/>
  <c r="L153" i="5"/>
  <c r="D162" i="7"/>
  <c r="E131" i="5"/>
  <c r="G131" i="5"/>
  <c r="I217" i="7"/>
  <c r="E153" i="5"/>
  <c r="G153" i="5"/>
  <c r="N198" i="5"/>
  <c r="N200" i="5"/>
  <c r="I204" i="5"/>
  <c r="L204" i="5"/>
  <c r="M152" i="1"/>
  <c r="K195" i="7"/>
  <c r="D200" i="5"/>
  <c r="G208" i="7"/>
  <c r="G209" i="7"/>
  <c r="G210" i="7"/>
  <c r="D72" i="5"/>
  <c r="E72" i="5"/>
  <c r="G179" i="5"/>
  <c r="K185" i="7"/>
  <c r="J164" i="1"/>
  <c r="M164" i="1"/>
  <c r="J135" i="1"/>
  <c r="J113" i="1"/>
  <c r="J102" i="1"/>
  <c r="J95" i="1"/>
  <c r="K63" i="5"/>
  <c r="F221" i="7"/>
  <c r="F132" i="7"/>
  <c r="F77" i="7"/>
  <c r="J204" i="5"/>
  <c r="J195" i="5"/>
  <c r="L195" i="5"/>
  <c r="I102" i="1"/>
  <c r="I95" i="1"/>
  <c r="I72" i="1"/>
  <c r="I69" i="7"/>
  <c r="I80" i="7"/>
  <c r="I75" i="7"/>
  <c r="N136" i="5"/>
  <c r="N135" i="5"/>
  <c r="D200" i="7"/>
  <c r="D202" i="7"/>
  <c r="K122" i="7"/>
  <c r="K127" i="7"/>
  <c r="G184" i="7"/>
  <c r="M149" i="1"/>
  <c r="H162" i="7"/>
  <c r="E215" i="5"/>
  <c r="E217" i="5"/>
  <c r="I178" i="1"/>
  <c r="S176" i="1"/>
  <c r="I177" i="1"/>
  <c r="E219" i="7"/>
  <c r="E220" i="7"/>
  <c r="D176" i="5"/>
  <c r="E177" i="5"/>
  <c r="F151" i="7"/>
  <c r="F157" i="7"/>
  <c r="K150" i="7"/>
  <c r="K146" i="7"/>
  <c r="I151" i="7"/>
  <c r="I157" i="7"/>
  <c r="F119" i="7"/>
  <c r="J122" i="7"/>
  <c r="J127" i="7"/>
  <c r="J211" i="5"/>
  <c r="L211" i="5"/>
  <c r="E200" i="7"/>
  <c r="E202" i="7"/>
  <c r="M118" i="1"/>
  <c r="H137" i="7"/>
  <c r="H138" i="7"/>
  <c r="D119" i="7"/>
  <c r="J112" i="5"/>
  <c r="L112" i="5"/>
  <c r="G206" i="7"/>
  <c r="J173" i="7"/>
  <c r="J171" i="7"/>
  <c r="E217" i="7"/>
  <c r="M133" i="1"/>
  <c r="I159" i="7"/>
  <c r="N120" i="5"/>
  <c r="N125" i="5"/>
  <c r="H178" i="7"/>
  <c r="K114" i="7"/>
  <c r="I206" i="7"/>
  <c r="I207" i="7"/>
  <c r="H158" i="7"/>
  <c r="H172" i="7"/>
  <c r="K107" i="1"/>
  <c r="M107" i="1"/>
  <c r="G147" i="5"/>
  <c r="J179" i="1"/>
  <c r="J180" i="1"/>
  <c r="I178" i="7"/>
  <c r="F178" i="7"/>
  <c r="D210" i="7"/>
  <c r="D184" i="7"/>
  <c r="N183" i="5"/>
  <c r="I182" i="5"/>
  <c r="J73" i="5"/>
  <c r="D198" i="5"/>
  <c r="E198" i="5"/>
  <c r="G198" i="5"/>
  <c r="K186" i="7"/>
  <c r="K189" i="7"/>
  <c r="L175" i="5"/>
  <c r="D117" i="5"/>
  <c r="J210" i="5"/>
  <c r="L210" i="5"/>
  <c r="J158" i="1"/>
  <c r="K158" i="1"/>
  <c r="M158" i="1"/>
  <c r="K159" i="7"/>
  <c r="K110" i="1"/>
  <c r="M110" i="1"/>
  <c r="F184" i="7"/>
  <c r="H221" i="7"/>
  <c r="H132" i="7"/>
  <c r="H77" i="7"/>
  <c r="I119" i="7"/>
  <c r="K165" i="1"/>
  <c r="M131" i="1"/>
  <c r="I162" i="7"/>
  <c r="H219" i="7"/>
  <c r="H217" i="7"/>
  <c r="H220" i="7"/>
  <c r="D171" i="7"/>
  <c r="D173" i="7"/>
  <c r="J165" i="1"/>
  <c r="J170" i="1"/>
  <c r="K170" i="1"/>
  <c r="F122" i="7"/>
  <c r="F127" i="7"/>
  <c r="J159" i="5"/>
  <c r="I159" i="5"/>
  <c r="G167" i="5"/>
  <c r="K151" i="7"/>
  <c r="K157" i="7"/>
  <c r="I65" i="5"/>
  <c r="E211" i="5"/>
  <c r="H210" i="7"/>
  <c r="G128" i="5"/>
  <c r="H206" i="7"/>
  <c r="J189" i="7"/>
  <c r="J146" i="5"/>
  <c r="L167" i="5"/>
  <c r="I170" i="1"/>
  <c r="I183" i="5"/>
  <c r="I200" i="5"/>
  <c r="J138" i="7"/>
  <c r="J137" i="7"/>
  <c r="K109" i="1"/>
  <c r="M109" i="1"/>
  <c r="N207" i="5"/>
  <c r="N208" i="5"/>
  <c r="E77" i="7"/>
  <c r="E132" i="7"/>
  <c r="E221" i="7"/>
  <c r="E194" i="5"/>
  <c r="I186" i="7"/>
  <c r="I185" i="7"/>
  <c r="E99" i="5"/>
  <c r="D107" i="5"/>
  <c r="D108" i="5"/>
  <c r="I172" i="7"/>
  <c r="M153" i="1"/>
  <c r="D159" i="7"/>
  <c r="I135" i="5"/>
  <c r="G143" i="5"/>
  <c r="F158" i="7"/>
  <c r="E110" i="7"/>
  <c r="I149" i="1"/>
  <c r="K149" i="1"/>
  <c r="S169" i="1"/>
  <c r="K133" i="7"/>
  <c r="G199" i="7"/>
  <c r="G157" i="5"/>
  <c r="J207" i="7"/>
  <c r="J206" i="7"/>
  <c r="J155" i="1"/>
  <c r="E168" i="5"/>
  <c r="G168" i="5"/>
  <c r="G170" i="5"/>
  <c r="I215" i="5"/>
  <c r="J215" i="5"/>
  <c r="J217" i="5"/>
  <c r="I133" i="7"/>
  <c r="I164" i="1"/>
  <c r="I158" i="1"/>
  <c r="I165" i="1"/>
  <c r="J114" i="7"/>
  <c r="G171" i="5"/>
  <c r="L206" i="5"/>
  <c r="J162" i="7"/>
  <c r="K132" i="1"/>
  <c r="M132" i="1"/>
  <c r="K118" i="1"/>
  <c r="J125" i="1"/>
  <c r="L197" i="5"/>
  <c r="D110" i="7"/>
  <c r="F138" i="7"/>
  <c r="F137" i="7"/>
  <c r="H122" i="7"/>
  <c r="H119" i="7"/>
  <c r="J175" i="5"/>
  <c r="I158" i="7"/>
  <c r="G196" i="5"/>
  <c r="E147" i="5"/>
  <c r="F163" i="7"/>
  <c r="N215" i="5"/>
  <c r="E129" i="5"/>
  <c r="G146" i="5"/>
  <c r="G154" i="5"/>
  <c r="D178" i="7"/>
  <c r="G142" i="5"/>
  <c r="K206" i="7"/>
  <c r="D158" i="7"/>
  <c r="D172" i="7"/>
  <c r="J200" i="7"/>
  <c r="J202" i="7"/>
  <c r="J209" i="7"/>
  <c r="J210" i="7"/>
  <c r="J175" i="1"/>
  <c r="I125" i="1"/>
  <c r="E166" i="5"/>
  <c r="G166" i="5"/>
  <c r="L170" i="5"/>
  <c r="G207" i="7"/>
  <c r="G212" i="7"/>
  <c r="J165" i="5"/>
  <c r="L165" i="5"/>
  <c r="J170" i="5"/>
  <c r="E159" i="7"/>
  <c r="J154" i="5"/>
  <c r="L154" i="5"/>
  <c r="I213" i="7"/>
  <c r="I205" i="7"/>
  <c r="J126" i="1"/>
  <c r="J127" i="1"/>
  <c r="J185" i="7"/>
  <c r="J186" i="7"/>
  <c r="N77" i="5"/>
  <c r="N72" i="5"/>
  <c r="G203" i="5"/>
  <c r="S170" i="1"/>
  <c r="D161" i="5"/>
  <c r="E154" i="5"/>
  <c r="D138" i="7"/>
  <c r="D137" i="7"/>
  <c r="N211" i="5"/>
  <c r="N203" i="5"/>
  <c r="E151" i="7"/>
  <c r="E157" i="7"/>
  <c r="F207" i="7"/>
  <c r="F212" i="7"/>
  <c r="E213" i="7"/>
  <c r="E205" i="7"/>
  <c r="J208" i="7"/>
  <c r="M124" i="1"/>
  <c r="H157" i="7"/>
  <c r="H151" i="7"/>
  <c r="D135" i="5"/>
  <c r="N157" i="5"/>
  <c r="L208" i="5"/>
  <c r="H133" i="7"/>
  <c r="J159" i="7"/>
  <c r="I160" i="7"/>
  <c r="I177" i="7"/>
  <c r="I179" i="7"/>
  <c r="L147" i="5"/>
  <c r="M106" i="1"/>
  <c r="J163" i="7"/>
  <c r="F185" i="7"/>
  <c r="J72" i="1"/>
  <c r="K72" i="1"/>
  <c r="M72" i="1"/>
  <c r="K144" i="1"/>
  <c r="J149" i="1"/>
  <c r="J29" i="5"/>
  <c r="E163" i="7"/>
  <c r="E119" i="7"/>
  <c r="I136" i="1"/>
  <c r="I137" i="1"/>
  <c r="E207" i="7"/>
  <c r="E212" i="7"/>
  <c r="E206" i="5"/>
  <c r="G206" i="5"/>
  <c r="I198" i="5"/>
  <c r="J198" i="5"/>
  <c r="L198" i="5"/>
  <c r="D160" i="7"/>
  <c r="D177" i="7"/>
  <c r="D179" i="7"/>
  <c r="J30" i="5"/>
  <c r="E192" i="5"/>
  <c r="H184" i="7"/>
  <c r="J91" i="5"/>
  <c r="D220" i="7"/>
  <c r="D219" i="7"/>
  <c r="D122" i="7"/>
  <c r="D127" i="7"/>
  <c r="G213" i="7"/>
  <c r="G217" i="7"/>
  <c r="L157" i="5"/>
  <c r="E122" i="7"/>
  <c r="E127" i="7"/>
  <c r="L177" i="5"/>
  <c r="L156" i="5"/>
  <c r="J207" i="5"/>
  <c r="G156" i="5"/>
  <c r="K152" i="1"/>
  <c r="L144" i="5"/>
  <c r="N65" i="5"/>
  <c r="G110" i="7"/>
  <c r="D215" i="5"/>
  <c r="E205" i="5"/>
  <c r="G205" i="5"/>
  <c r="H114" i="7"/>
  <c r="H190" i="7"/>
  <c r="E132" i="5"/>
  <c r="G132" i="5"/>
  <c r="M163" i="1"/>
  <c r="D148" i="5"/>
  <c r="G165" i="5"/>
  <c r="K184" i="7"/>
  <c r="G185" i="7"/>
  <c r="G119" i="7"/>
  <c r="N169" i="5"/>
  <c r="N156" i="5"/>
  <c r="N170" i="5"/>
  <c r="N171" i="5"/>
  <c r="D74" i="5"/>
  <c r="E74" i="5"/>
  <c r="G155" i="5"/>
  <c r="J167" i="5"/>
  <c r="E196" i="5"/>
  <c r="S171" i="1"/>
  <c r="M141" i="1"/>
  <c r="K178" i="7"/>
  <c r="G190" i="7"/>
  <c r="J129" i="5"/>
  <c r="L129" i="5"/>
  <c r="F186" i="7"/>
  <c r="F189" i="7"/>
  <c r="E114" i="7"/>
  <c r="J177" i="5"/>
  <c r="D190" i="7"/>
  <c r="H185" i="7"/>
  <c r="I122" i="7"/>
  <c r="I127" i="7"/>
  <c r="J152" i="1"/>
  <c r="K136" i="5"/>
  <c r="J206" i="5"/>
  <c r="J172" i="7"/>
  <c r="E193" i="5"/>
  <c r="G193" i="5"/>
  <c r="H213" i="7"/>
  <c r="H205" i="7"/>
  <c r="J99" i="5"/>
  <c r="L99" i="5"/>
  <c r="L171" i="5"/>
  <c r="K163" i="1"/>
  <c r="J172" i="1"/>
  <c r="N161" i="5"/>
  <c r="I168" i="1"/>
  <c r="G163" i="7"/>
  <c r="H163" i="7"/>
  <c r="H207" i="7"/>
  <c r="H212" i="7"/>
  <c r="D131" i="5"/>
  <c r="D130" i="5"/>
  <c r="G130" i="5"/>
  <c r="I110" i="7"/>
  <c r="D151" i="7"/>
  <c r="D157" i="7"/>
  <c r="H186" i="7"/>
  <c r="H189" i="7"/>
  <c r="E167" i="5"/>
  <c r="J114" i="1"/>
  <c r="J115" i="1"/>
  <c r="D205" i="5"/>
  <c r="D210" i="5"/>
  <c r="E210" i="5"/>
  <c r="G210" i="5"/>
  <c r="J111" i="5"/>
  <c r="L111" i="5"/>
  <c r="F114" i="7"/>
  <c r="K106" i="1"/>
  <c r="E112" i="5"/>
  <c r="G112" i="5"/>
  <c r="E162" i="7"/>
  <c r="M120" i="1"/>
  <c r="J179" i="7"/>
  <c r="J178" i="7"/>
  <c r="F148" i="7"/>
  <c r="F149" i="7"/>
  <c r="F160" i="7"/>
  <c r="F177" i="7"/>
  <c r="F179" i="7"/>
  <c r="K177" i="7"/>
  <c r="K179" i="7"/>
  <c r="E158" i="5"/>
  <c r="G158" i="5"/>
  <c r="E208" i="5"/>
  <c r="G208" i="5"/>
  <c r="D169" i="5"/>
  <c r="E170" i="5"/>
  <c r="L81" i="5"/>
  <c r="N184" i="5"/>
  <c r="N187" i="5"/>
  <c r="I210" i="5"/>
  <c r="L174" i="5"/>
  <c r="J81" i="5"/>
  <c r="J158" i="7"/>
  <c r="J160" i="7"/>
  <c r="J177" i="7"/>
  <c r="G195" i="7"/>
  <c r="J166" i="5"/>
  <c r="L166" i="5"/>
  <c r="I208" i="7"/>
  <c r="I209" i="7"/>
  <c r="J197" i="5"/>
  <c r="I144" i="1"/>
  <c r="I154" i="1"/>
  <c r="I155" i="1"/>
  <c r="D182" i="5"/>
  <c r="K149" i="7"/>
  <c r="K160" i="7"/>
  <c r="K158" i="7"/>
  <c r="K172" i="7"/>
  <c r="J163" i="1"/>
  <c r="J171" i="1"/>
  <c r="K171" i="1"/>
  <c r="K194" i="7"/>
  <c r="F190" i="7"/>
  <c r="J136" i="1"/>
  <c r="J137" i="1"/>
  <c r="G175" i="5"/>
  <c r="I167" i="1"/>
  <c r="N193" i="5"/>
  <c r="J149" i="7"/>
  <c r="I175" i="5"/>
  <c r="I177" i="5"/>
  <c r="I176" i="5"/>
  <c r="J176" i="5"/>
  <c r="L140" i="5"/>
  <c r="H209" i="7"/>
  <c r="J197" i="7"/>
  <c r="J153" i="1"/>
  <c r="K153" i="1"/>
  <c r="M123" i="1"/>
  <c r="G122" i="7"/>
  <c r="G127" i="7"/>
  <c r="J132" i="5"/>
  <c r="L132" i="5"/>
  <c r="E133" i="7"/>
  <c r="E186" i="7"/>
  <c r="E189" i="7"/>
  <c r="N131" i="5"/>
  <c r="D114" i="7"/>
  <c r="K110" i="7"/>
  <c r="G176" i="7"/>
  <c r="G198" i="7"/>
  <c r="F133" i="7"/>
  <c r="I163" i="7"/>
  <c r="K163" i="7"/>
  <c r="G133" i="7"/>
  <c r="J154" i="1"/>
  <c r="K154" i="1"/>
  <c r="M154" i="1"/>
  <c r="J199" i="7"/>
  <c r="J168" i="5"/>
  <c r="L168" i="5"/>
  <c r="F110" i="7"/>
  <c r="D195" i="5"/>
  <c r="D204" i="5"/>
  <c r="G204" i="5"/>
  <c r="G197" i="5"/>
  <c r="H159" i="7"/>
  <c r="G197" i="7"/>
  <c r="G200" i="7"/>
  <c r="G202" i="7"/>
  <c r="K130" i="1"/>
  <c r="K120" i="1"/>
  <c r="D217" i="7"/>
  <c r="N205" i="5"/>
  <c r="N210" i="5"/>
  <c r="I199" i="7"/>
  <c r="D188" i="5"/>
  <c r="J190" i="7"/>
  <c r="J184" i="7"/>
  <c r="N206" i="5"/>
  <c r="G168" i="7"/>
  <c r="G186" i="7"/>
  <c r="G189" i="7"/>
  <c r="F162" i="7"/>
  <c r="J140" i="5"/>
  <c r="I148" i="5"/>
  <c r="K131" i="1"/>
  <c r="E143" i="5"/>
  <c r="J156" i="5"/>
  <c r="E190" i="7"/>
  <c r="E184" i="7"/>
  <c r="J69" i="1"/>
  <c r="K69" i="1"/>
  <c r="M69" i="1"/>
  <c r="H160" i="7"/>
  <c r="H177" i="7"/>
  <c r="H179" i="7"/>
  <c r="I184" i="5"/>
  <c r="I187" i="5"/>
  <c r="D207" i="7"/>
  <c r="D212" i="7"/>
  <c r="J142" i="5"/>
  <c r="E156" i="5"/>
  <c r="G162" i="7"/>
  <c r="I111" i="5"/>
  <c r="I112" i="5"/>
  <c r="I120" i="5"/>
  <c r="J120" i="5"/>
  <c r="L120" i="5"/>
  <c r="E195" i="7"/>
  <c r="D195" i="7"/>
  <c r="D213" i="7"/>
  <c r="D205" i="7"/>
  <c r="I115" i="1"/>
  <c r="E187" i="7"/>
  <c r="E188" i="7"/>
  <c r="E181" i="7"/>
  <c r="E196" i="7"/>
  <c r="E197" i="7"/>
  <c r="E142" i="5"/>
  <c r="J192" i="5"/>
  <c r="L192" i="5"/>
  <c r="H197" i="7"/>
  <c r="H200" i="7"/>
  <c r="H202" i="7"/>
  <c r="I109" i="1"/>
  <c r="I108" i="1"/>
  <c r="I147" i="1"/>
  <c r="I145" i="1"/>
  <c r="D208" i="5"/>
  <c r="D207" i="5"/>
  <c r="E207" i="5"/>
  <c r="D77" i="5"/>
  <c r="E77" i="5"/>
  <c r="G77" i="5"/>
  <c r="I114" i="7"/>
  <c r="D155" i="5"/>
  <c r="E155" i="5"/>
  <c r="L179" i="5"/>
  <c r="F210" i="7"/>
  <c r="J131" i="5"/>
  <c r="L131" i="5"/>
  <c r="N155" i="5"/>
  <c r="N159" i="5"/>
  <c r="J157" i="5"/>
  <c r="E165" i="5"/>
  <c r="L203" i="5"/>
  <c r="K133" i="1"/>
  <c r="I166" i="1"/>
  <c r="J168" i="7"/>
  <c r="J176" i="7"/>
  <c r="J198" i="7"/>
  <c r="J148" i="7"/>
  <c r="H208" i="7"/>
  <c r="K207" i="7"/>
  <c r="K212" i="7"/>
  <c r="J179" i="5"/>
  <c r="D99" i="5"/>
  <c r="D167" i="5"/>
  <c r="D168" i="5"/>
  <c r="D192" i="5"/>
  <c r="D193" i="5"/>
  <c r="D211" i="5"/>
  <c r="D203" i="5"/>
  <c r="E203" i="5"/>
  <c r="I144" i="5"/>
  <c r="J144" i="5"/>
  <c r="M148" i="1"/>
  <c r="I149" i="5"/>
  <c r="K149" i="5"/>
  <c r="F213" i="7"/>
  <c r="F205" i="7"/>
  <c r="J110" i="7"/>
  <c r="E197" i="5"/>
  <c r="D197" i="5"/>
  <c r="D206" i="5"/>
  <c r="N195" i="5"/>
  <c r="E128" i="5"/>
  <c r="D188" i="7"/>
  <c r="D181" i="7"/>
  <c r="D196" i="7"/>
  <c r="D197" i="7"/>
  <c r="J133" i="7"/>
  <c r="I188" i="5"/>
  <c r="J109" i="1"/>
  <c r="J108" i="1"/>
  <c r="J147" i="1"/>
  <c r="J145" i="1"/>
  <c r="K145" i="1"/>
  <c r="D194" i="7"/>
  <c r="J194" i="5"/>
  <c r="L194" i="5"/>
  <c r="N166" i="5"/>
  <c r="N174" i="5"/>
  <c r="N196" i="5"/>
  <c r="N197" i="5"/>
  <c r="I77" i="5"/>
  <c r="J77" i="5"/>
  <c r="K68" i="1"/>
  <c r="M68" i="1"/>
  <c r="H110" i="7"/>
  <c r="J144" i="1"/>
  <c r="D148" i="7"/>
  <c r="D149" i="7"/>
  <c r="J158" i="5"/>
  <c r="L158" i="5"/>
  <c r="I144" i="7"/>
  <c r="I145" i="7"/>
  <c r="I148" i="7"/>
  <c r="I149" i="7"/>
  <c r="I171" i="1"/>
  <c r="I163" i="1"/>
  <c r="I172" i="1"/>
  <c r="N66" i="5"/>
  <c r="G177" i="7"/>
  <c r="G179" i="7"/>
  <c r="G178" i="7"/>
  <c r="I197" i="5"/>
  <c r="I206" i="5"/>
  <c r="I207" i="5"/>
  <c r="I208" i="5"/>
  <c r="J208" i="5"/>
  <c r="I179" i="5"/>
  <c r="I194" i="5"/>
  <c r="I195" i="5"/>
  <c r="I205" i="5"/>
  <c r="J205" i="5"/>
  <c r="L205" i="5"/>
  <c r="K142" i="1"/>
  <c r="M142" i="1"/>
  <c r="F144" i="7"/>
  <c r="F145" i="7"/>
  <c r="S168" i="1"/>
  <c r="J193" i="5"/>
  <c r="L193" i="5"/>
  <c r="N111" i="5"/>
  <c r="N112" i="5"/>
  <c r="I81" i="5"/>
  <c r="I91" i="5"/>
  <c r="I98" i="5"/>
  <c r="I99" i="5"/>
  <c r="I167" i="5"/>
  <c r="I168" i="5"/>
  <c r="I192" i="5"/>
  <c r="I193" i="5"/>
  <c r="I211" i="5"/>
  <c r="I203" i="5"/>
  <c r="J203" i="5"/>
  <c r="I155" i="5"/>
  <c r="J155" i="5"/>
  <c r="L155" i="5"/>
  <c r="I157" i="5"/>
  <c r="J147" i="5"/>
  <c r="G149" i="7"/>
  <c r="G160" i="7"/>
  <c r="G158" i="7"/>
  <c r="G172" i="7"/>
  <c r="N158" i="5"/>
  <c r="N175" i="5"/>
  <c r="N177" i="5"/>
  <c r="N176" i="5"/>
  <c r="I74" i="5"/>
  <c r="J74" i="5"/>
  <c r="K162" i="7"/>
  <c r="E146" i="5"/>
  <c r="E140" i="5"/>
  <c r="G140" i="5"/>
  <c r="J196" i="5"/>
  <c r="L196" i="5"/>
  <c r="I169" i="5"/>
  <c r="J169" i="5"/>
  <c r="I120" i="1"/>
  <c r="I123" i="1"/>
  <c r="I124" i="1"/>
  <c r="I133" i="1"/>
  <c r="I134" i="1"/>
  <c r="I143" i="1"/>
  <c r="K141" i="1"/>
  <c r="I131" i="5"/>
  <c r="I130" i="5"/>
  <c r="L130" i="5"/>
  <c r="J143" i="1"/>
  <c r="K143" i="1"/>
  <c r="M143" i="1"/>
  <c r="K119" i="1"/>
  <c r="M119" i="1"/>
  <c r="G148" i="7"/>
  <c r="E175" i="5"/>
  <c r="D175" i="5"/>
  <c r="D177" i="5"/>
  <c r="N192" i="5"/>
  <c r="J174" i="5"/>
  <c r="I166" i="5"/>
  <c r="I174" i="5"/>
  <c r="I196" i="5"/>
  <c r="F181" i="7"/>
  <c r="F196" i="7"/>
  <c r="F197" i="7"/>
  <c r="F200" i="7"/>
  <c r="F202" i="7"/>
  <c r="E194" i="7"/>
  <c r="J146" i="1"/>
  <c r="K146" i="1"/>
  <c r="M146" i="1"/>
  <c r="D133" i="7"/>
  <c r="I72" i="5"/>
  <c r="J72" i="5"/>
  <c r="K102" i="7"/>
  <c r="K169" i="7"/>
  <c r="K170" i="7"/>
  <c r="F209" i="7"/>
  <c r="G114" i="7"/>
  <c r="E179" i="5"/>
  <c r="D179" i="5"/>
  <c r="D194" i="5"/>
  <c r="E168" i="7"/>
  <c r="E176" i="7"/>
  <c r="E198" i="7"/>
  <c r="E199" i="7"/>
  <c r="E208" i="7"/>
  <c r="E209" i="7"/>
  <c r="E210" i="7"/>
  <c r="N188" i="5"/>
  <c r="N182" i="5"/>
  <c r="I181" i="7"/>
  <c r="I196" i="7"/>
  <c r="I197" i="7"/>
  <c r="I200" i="7"/>
  <c r="I202" i="7"/>
  <c r="K123" i="1"/>
  <c r="H144" i="7"/>
  <c r="H145" i="7"/>
  <c r="H148" i="7"/>
  <c r="H149" i="7"/>
  <c r="K124" i="1"/>
  <c r="D158" i="5"/>
  <c r="D156" i="5"/>
  <c r="D170" i="5"/>
  <c r="D171" i="5"/>
  <c r="E171" i="5"/>
  <c r="G188" i="7"/>
  <c r="G181" i="7"/>
  <c r="G196" i="7"/>
  <c r="K144" i="7"/>
  <c r="K145" i="7"/>
  <c r="K148" i="7"/>
  <c r="D112" i="5"/>
  <c r="D120" i="5"/>
  <c r="E120" i="5"/>
  <c r="G120" i="5"/>
  <c r="I165" i="5"/>
  <c r="I185" i="5"/>
  <c r="I186" i="5"/>
  <c r="D196" i="5"/>
  <c r="I142" i="5"/>
  <c r="I143" i="5"/>
  <c r="I146" i="5"/>
  <c r="I147" i="5"/>
  <c r="I158" i="5"/>
  <c r="I156" i="5"/>
  <c r="I170" i="5"/>
  <c r="I171" i="5"/>
  <c r="J171" i="5"/>
  <c r="F102" i="7"/>
  <c r="F169" i="7"/>
  <c r="F170" i="7"/>
  <c r="F194" i="7"/>
  <c r="F195" i="7"/>
  <c r="H102" i="7"/>
  <c r="H169" i="7"/>
  <c r="H170" i="7"/>
  <c r="H194" i="7"/>
  <c r="H195" i="7"/>
  <c r="D144" i="7"/>
  <c r="D145" i="7"/>
  <c r="G102" i="7"/>
  <c r="G169" i="7"/>
  <c r="G170" i="7"/>
  <c r="G194" i="7"/>
  <c r="J102" i="7"/>
  <c r="J169" i="7"/>
  <c r="J170" i="7"/>
  <c r="J194" i="7"/>
  <c r="J195" i="7"/>
  <c r="D168" i="7"/>
  <c r="D176" i="7"/>
  <c r="D198" i="7"/>
  <c r="D199" i="7"/>
  <c r="D208" i="7"/>
  <c r="D209" i="7"/>
  <c r="J128" i="5"/>
  <c r="L128" i="5"/>
  <c r="K168" i="7"/>
  <c r="K176" i="7"/>
  <c r="K198" i="7"/>
  <c r="K199" i="7"/>
  <c r="K208" i="7"/>
  <c r="K209" i="7"/>
  <c r="K210" i="7"/>
  <c r="I102" i="7"/>
  <c r="I169" i="7"/>
  <c r="I170" i="7"/>
  <c r="I194" i="7"/>
  <c r="I195" i="7"/>
  <c r="I121" i="1"/>
  <c r="I131" i="1"/>
  <c r="I132" i="1"/>
  <c r="I141" i="1"/>
  <c r="I142" i="1"/>
  <c r="I156" i="1"/>
  <c r="I157" i="1"/>
  <c r="J144" i="7"/>
  <c r="J145" i="7"/>
  <c r="H168" i="7"/>
  <c r="H176" i="7"/>
  <c r="H198" i="7"/>
  <c r="H199" i="7"/>
  <c r="I153" i="5"/>
  <c r="I154" i="5"/>
  <c r="I161" i="5"/>
  <c r="K161" i="5"/>
  <c r="J181" i="7"/>
  <c r="J196" i="7"/>
  <c r="D166" i="5"/>
  <c r="D174" i="5"/>
  <c r="E174" i="5"/>
  <c r="G174" i="5"/>
  <c r="J121" i="1"/>
  <c r="J131" i="1"/>
  <c r="J132" i="1"/>
  <c r="J141" i="1"/>
  <c r="J142" i="1"/>
  <c r="J148" i="1"/>
  <c r="K148" i="1"/>
  <c r="D142" i="5"/>
  <c r="D143" i="5"/>
  <c r="D146" i="5"/>
  <c r="D147" i="5"/>
  <c r="D157" i="5"/>
  <c r="E157" i="5"/>
  <c r="G187" i="7"/>
  <c r="J118" i="1"/>
  <c r="J130" i="1"/>
  <c r="J140" i="1"/>
  <c r="K140" i="1"/>
  <c r="M140" i="1"/>
  <c r="I130" i="1"/>
  <c r="I140" i="1"/>
  <c r="I146" i="1"/>
  <c r="I175" i="1"/>
  <c r="K175" i="1"/>
  <c r="K177" i="1"/>
  <c r="E177" i="7"/>
  <c r="E179" i="7"/>
  <c r="E178" i="7"/>
  <c r="I114" i="1"/>
  <c r="J64" i="1"/>
  <c r="J68" i="1"/>
  <c r="J106" i="1"/>
  <c r="J107" i="1"/>
  <c r="J110" i="1"/>
  <c r="J119" i="1"/>
  <c r="J120" i="1"/>
  <c r="J123" i="1"/>
  <c r="J124" i="1"/>
  <c r="J133" i="1"/>
  <c r="J134" i="1"/>
  <c r="K134" i="1"/>
  <c r="M134" i="1"/>
  <c r="K200" i="7"/>
  <c r="K202" i="7"/>
  <c r="K190" i="7"/>
  <c r="G144" i="7"/>
  <c r="G145" i="7"/>
  <c r="N99" i="5"/>
  <c r="N167" i="5"/>
  <c r="N168" i="5"/>
  <c r="N142" i="5"/>
  <c r="N143" i="5"/>
  <c r="N146" i="5"/>
  <c r="N147" i="5"/>
  <c r="I140" i="5"/>
  <c r="I141" i="5"/>
  <c r="J141" i="5"/>
  <c r="L141" i="5"/>
  <c r="F187" i="7"/>
  <c r="F188" i="7"/>
  <c r="I187" i="7"/>
  <c r="I188" i="7"/>
  <c r="I190" i="7"/>
  <c r="I184" i="7"/>
  <c r="E102" i="7"/>
  <c r="E169" i="7"/>
  <c r="E170" i="7"/>
  <c r="D187" i="7"/>
  <c r="N73" i="5"/>
  <c r="N128" i="5"/>
  <c r="N129" i="5"/>
  <c r="N132" i="5"/>
  <c r="N140" i="5"/>
  <c r="N141" i="5"/>
  <c r="N153" i="5"/>
  <c r="N154" i="5"/>
  <c r="N165" i="5"/>
  <c r="N185" i="5"/>
  <c r="N186" i="5"/>
  <c r="N179" i="5"/>
  <c r="N194" i="5"/>
  <c r="D185" i="5"/>
  <c r="D186" i="5"/>
  <c r="H68" i="7"/>
  <c r="H76" i="7"/>
  <c r="H130" i="7"/>
  <c r="H131" i="7"/>
  <c r="H134" i="7"/>
  <c r="H142" i="7"/>
  <c r="H143" i="7"/>
  <c r="H155" i="7"/>
  <c r="H156" i="7"/>
  <c r="H167" i="7"/>
  <c r="H187" i="7"/>
  <c r="H188" i="7"/>
  <c r="H181" i="7"/>
  <c r="H196" i="7"/>
  <c r="J68" i="7"/>
  <c r="J76" i="7"/>
  <c r="J130" i="7"/>
  <c r="J131" i="7"/>
  <c r="J134" i="7"/>
  <c r="J142" i="7"/>
  <c r="J143" i="7"/>
  <c r="J155" i="7"/>
  <c r="J156" i="7"/>
  <c r="J167" i="7"/>
  <c r="J187" i="7"/>
  <c r="J188" i="7"/>
  <c r="K68" i="7"/>
  <c r="K76" i="7"/>
  <c r="K130" i="7"/>
  <c r="K131" i="7"/>
  <c r="K134" i="7"/>
  <c r="K142" i="7"/>
  <c r="K143" i="7"/>
  <c r="K155" i="7"/>
  <c r="K156" i="7"/>
  <c r="K167" i="7"/>
  <c r="K187" i="7"/>
  <c r="K188" i="7"/>
  <c r="K181" i="7"/>
  <c r="K196" i="7"/>
  <c r="K197" i="7"/>
  <c r="D130" i="7"/>
  <c r="D131" i="7"/>
  <c r="D134" i="7"/>
  <c r="D142" i="7"/>
  <c r="D143" i="7"/>
  <c r="D155" i="7"/>
  <c r="D156" i="7"/>
  <c r="D167" i="7"/>
  <c r="D68" i="7"/>
  <c r="D76" i="7"/>
  <c r="D102" i="7"/>
  <c r="D169" i="7"/>
  <c r="D170" i="7"/>
  <c r="I119" i="1"/>
  <c r="I64" i="1"/>
  <c r="I68" i="1"/>
  <c r="I106" i="1"/>
  <c r="I107" i="1"/>
  <c r="I110" i="1"/>
  <c r="I118" i="1"/>
  <c r="I126" i="1"/>
  <c r="I127" i="1"/>
  <c r="I167" i="7"/>
  <c r="I68" i="7"/>
  <c r="I76" i="7"/>
  <c r="I130" i="7"/>
  <c r="I131" i="7"/>
  <c r="I134" i="7"/>
  <c r="I142" i="7"/>
  <c r="I143" i="7"/>
  <c r="I155" i="7"/>
  <c r="I156" i="7"/>
  <c r="I168" i="7"/>
  <c r="I176" i="7"/>
  <c r="I198" i="7"/>
  <c r="G134" i="7"/>
  <c r="G142" i="7"/>
  <c r="G143" i="7"/>
  <c r="G155" i="7"/>
  <c r="G156" i="7"/>
  <c r="G167" i="7"/>
  <c r="G68" i="7"/>
  <c r="G76" i="7"/>
  <c r="G130" i="7"/>
  <c r="G131" i="7"/>
  <c r="E142" i="7"/>
  <c r="E143" i="7"/>
  <c r="E155" i="7"/>
  <c r="E156" i="7"/>
  <c r="E167" i="7"/>
  <c r="E68" i="7"/>
  <c r="E76" i="7"/>
  <c r="E130" i="7"/>
  <c r="E131" i="7"/>
  <c r="E134" i="7"/>
  <c r="E144" i="7"/>
  <c r="E145" i="7"/>
  <c r="E148" i="7"/>
  <c r="E149" i="7"/>
  <c r="E160" i="7"/>
  <c r="E158" i="7"/>
  <c r="E172" i="7"/>
  <c r="D144" i="5"/>
  <c r="E144" i="5"/>
  <c r="G144" i="5"/>
  <c r="D140" i="5"/>
  <c r="D141" i="5"/>
  <c r="D153" i="5"/>
  <c r="D154" i="5"/>
  <c r="D165" i="5"/>
  <c r="D65" i="5"/>
  <c r="D73" i="5"/>
  <c r="D128" i="5"/>
  <c r="D129" i="5"/>
  <c r="D132" i="5"/>
  <c r="D136" i="5"/>
  <c r="I71" i="5"/>
  <c r="I73" i="5"/>
  <c r="I128" i="5"/>
  <c r="I129" i="5"/>
  <c r="I132" i="5"/>
  <c r="I136" i="5"/>
  <c r="N71" i="5"/>
  <c r="N81" i="5"/>
  <c r="N91" i="5"/>
  <c r="N98" i="5"/>
  <c r="F167" i="7"/>
  <c r="F68" i="7"/>
  <c r="F76" i="7"/>
  <c r="F130" i="7"/>
  <c r="F131" i="7"/>
  <c r="F134" i="7"/>
  <c r="F142" i="7"/>
  <c r="F143" i="7"/>
  <c r="F155" i="7"/>
  <c r="F156" i="7"/>
  <c r="F168" i="7"/>
  <c r="F176" i="7"/>
  <c r="F198" i="7"/>
  <c r="F199" i="7"/>
  <c r="F208" i="7"/>
</calcChain>
</file>

<file path=xl/comments1.xml><?xml version="1.0" encoding="utf-8"?>
<comments xmlns="http://schemas.openxmlformats.org/spreadsheetml/2006/main">
  <authors>
    <author>tc={20F0E166-889C-40F2-970F-426DF46C7A6E}</author>
    <author>tc={7E2CEEEE-E2CA-4341-A7E9-BFFB9A59AD44}</author>
    <author>tc={D4BB6C21-A16F-441F-B829-DB6445E3B443}</author>
    <author>tc={03BCD853-FB6F-41D2-9B67-63B8E35D39AA}</author>
    <author>tc={54DE80C6-F686-466B-A19B-F95E2898E56E}</author>
    <author>tc={3BC74D37-9687-4F62-BFD8-2C70E1C113AA}</author>
    <author>tc={7AFD5D05-D871-4872-B482-51BEE8A148FF}</author>
    <author>tc={DE5A09EB-7375-438B-96A9-E8FC6D466467}</author>
  </authors>
  <commentList>
    <comment ref="D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E8" authorId="1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F8" authorId="2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G8" authorId="3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H8" authorId="4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I8" authorId="5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J8" authorId="6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K8" authorId="7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</commentList>
</comments>
</file>

<file path=xl/comments2.xml><?xml version="1.0" encoding="utf-8"?>
<comments xmlns="http://schemas.openxmlformats.org/spreadsheetml/2006/main">
  <authors>
    <author>tc={FB6871B8-997B-45CD-A8A2-AC89D58771FD}</author>
    <author>tc={7A674FD6-57DE-4A8D-ABF0-006461971C46}</author>
    <author>tc={EA66D4C8-7F0E-464F-82D6-05383DD852CA}</author>
  </authors>
  <commentList>
    <comment ref="D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I8" authorId="1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N8" authorId="2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</commentList>
</comments>
</file>

<file path=xl/comments3.xml><?xml version="1.0" encoding="utf-8"?>
<comments xmlns="http://schemas.openxmlformats.org/spreadsheetml/2006/main">
  <authors>
    <author>tc={9108078F-753B-40B9-B8E4-74413475BC49}</author>
    <author>tc={D93C357F-5EE5-4A63-A382-598686203E47}</author>
    <author>tc={90CAC85D-C872-4FF8-86FA-4AF8C4B1EA56}</author>
  </authors>
  <commentList>
    <comment ref="D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I8" authorId="1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J8" authorId="2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</commentList>
</comments>
</file>

<file path=xl/comments4.xml><?xml version="1.0" encoding="utf-8"?>
<comments xmlns="http://schemas.openxmlformats.org/spreadsheetml/2006/main">
  <authors>
    <author>tc={CBCD0C09-5022-4CFA-80E8-B67A01C69D09}</author>
    <author>tc={1F5C75D3-B195-45BD-9365-E8BCA0F1EFE1}</author>
    <author>tc={D1663CBD-0D61-45BC-B5A6-B6C091A63E13}</author>
  </authors>
  <commentList>
    <comment ref="D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I8" authorId="1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  <comment ref="J8" authorId="2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Ajustadas para minimizar error con gasturb
</t>
        </r>
      </text>
    </comment>
  </commentList>
</comments>
</file>

<file path=xl/comments5.xml><?xml version="1.0" encoding="utf-8"?>
<comments xmlns="http://schemas.openxmlformats.org/spreadsheetml/2006/main">
  <authors>
    <author>tc={22C7BABA-039A-48E0-A258-CB20C05B1D69}</author>
    <author>tc={D6C9D284-548E-4E2A-BA8A-F021D45DCA4F}</author>
    <author>tc={620F8912-37CF-4B51-87F1-53AF320AA500}</author>
    <author>tc={F936A635-9658-4D83-94C4-BD9A0270F68A}</author>
  </authors>
  <commentList>
    <comment ref="D69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Si la presion estatica es menor a la presion atmosferica, el flujo no esta estrangulado ni en M=1. La tobera la consideramos perfectamente expandida y calculamos el Mach a la salida</t>
        </r>
      </text>
    </comment>
    <comment ref="G73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????????</t>
        </r>
      </text>
    </comment>
    <comment ref="D78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Para que calcularla si no se va a utilizar?</t>
        </r>
      </text>
    </comment>
    <comment ref="E96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El flujo masico lo podemos obtener de la parte del Design point</t>
        </r>
      </text>
    </comment>
  </commentList>
</comments>
</file>

<file path=xl/sharedStrings.xml><?xml version="1.0" encoding="utf-8"?>
<sst xmlns="http://schemas.openxmlformats.org/spreadsheetml/2006/main" count="1482" uniqueCount="272">
  <si>
    <t>PIA</t>
  </si>
  <si>
    <t>Flight Conditions</t>
  </si>
  <si>
    <t>Design Point Dry</t>
  </si>
  <si>
    <t>Static</t>
  </si>
  <si>
    <t>Cruise height</t>
  </si>
  <si>
    <t>m</t>
  </si>
  <si>
    <t xml:space="preserve">Temperature </t>
  </si>
  <si>
    <t>°C</t>
  </si>
  <si>
    <t>°K</t>
  </si>
  <si>
    <t>Pressure</t>
  </si>
  <si>
    <t>kPa</t>
  </si>
  <si>
    <t>M0</t>
  </si>
  <si>
    <t xml:space="preserve">Gas Properties </t>
  </si>
  <si>
    <t>CP cold</t>
  </si>
  <si>
    <t>J/kgK</t>
  </si>
  <si>
    <t>y cold</t>
  </si>
  <si>
    <t>CP hot</t>
  </si>
  <si>
    <t xml:space="preserve">J/kg </t>
  </si>
  <si>
    <t>y hot</t>
  </si>
  <si>
    <t>CP AB</t>
  </si>
  <si>
    <t>y AB</t>
  </si>
  <si>
    <t>FHV</t>
  </si>
  <si>
    <t>kJ/kg</t>
  </si>
  <si>
    <t xml:space="preserve">Design </t>
  </si>
  <si>
    <t>Shaft Speed</t>
  </si>
  <si>
    <t>LP Spool</t>
  </si>
  <si>
    <t>rpm</t>
  </si>
  <si>
    <t>HP Spool</t>
  </si>
  <si>
    <t>Pressure Ratio</t>
  </si>
  <si>
    <t>Inlet</t>
  </si>
  <si>
    <t>-</t>
  </si>
  <si>
    <t>OPR</t>
  </si>
  <si>
    <t>FPR</t>
  </si>
  <si>
    <t>LPC</t>
  </si>
  <si>
    <t>HPC</t>
  </si>
  <si>
    <t>Burner</t>
  </si>
  <si>
    <t>Afterburner</t>
  </si>
  <si>
    <t>Fan Duct</t>
  </si>
  <si>
    <t>Mixer</t>
  </si>
  <si>
    <t>Nozzle</t>
  </si>
  <si>
    <t>LPC-HPC Comp Recovery</t>
  </si>
  <si>
    <t>HPC - LPC Turb Recovery</t>
  </si>
  <si>
    <t>Efficiency</t>
  </si>
  <si>
    <t>Fan Polytropic</t>
  </si>
  <si>
    <t>Comp Polytropic (LP)</t>
  </si>
  <si>
    <t>Comp Polytropic (HP)</t>
  </si>
  <si>
    <t>Turb Polytropic (HP)</t>
  </si>
  <si>
    <t>Turb Polytropic (LP)</t>
  </si>
  <si>
    <t>Shaft/Mech (HP)</t>
  </si>
  <si>
    <t>Shaft/Mech (LP)</t>
  </si>
  <si>
    <t>LPC Isentropic</t>
  </si>
  <si>
    <t>HPC Isentropic</t>
  </si>
  <si>
    <t>Bleeds</t>
  </si>
  <si>
    <t>LP Compressor</t>
  </si>
  <si>
    <t>%</t>
  </si>
  <si>
    <t>HP Compressor</t>
  </si>
  <si>
    <t>HP Turbine</t>
  </si>
  <si>
    <t>HP Turbine exit</t>
  </si>
  <si>
    <t>LP Turbine</t>
  </si>
  <si>
    <t>Jet Pipe Cooling</t>
  </si>
  <si>
    <t>Throttle</t>
  </si>
  <si>
    <t>TIT</t>
  </si>
  <si>
    <t>T-ab</t>
  </si>
  <si>
    <t>Bypass ratio</t>
  </si>
  <si>
    <t>Mass Flow air rate</t>
  </si>
  <si>
    <t>kg/s</t>
  </si>
  <si>
    <t>Turbine Exit Mach No</t>
  </si>
  <si>
    <t>A9/A8</t>
  </si>
  <si>
    <t>Mass flow</t>
  </si>
  <si>
    <t>Total air mass flow rate</t>
  </si>
  <si>
    <t>Fan air mass flow rate</t>
  </si>
  <si>
    <t>Core air mass flow rate</t>
  </si>
  <si>
    <t>Combustor Fuel flow</t>
  </si>
  <si>
    <t>Afterburner fuel flow</t>
  </si>
  <si>
    <t>Total fuel flow</t>
  </si>
  <si>
    <t>bleed</t>
  </si>
  <si>
    <t xml:space="preserve">Components </t>
  </si>
  <si>
    <t>Ambient</t>
  </si>
  <si>
    <t>m0</t>
  </si>
  <si>
    <t>p0</t>
  </si>
  <si>
    <t>Pt0</t>
  </si>
  <si>
    <t>t0</t>
  </si>
  <si>
    <t>Tt0</t>
  </si>
  <si>
    <t>a0</t>
  </si>
  <si>
    <t>m/s</t>
  </si>
  <si>
    <t>V0</t>
  </si>
  <si>
    <t>RairCold</t>
  </si>
  <si>
    <t>kJ/kg K</t>
  </si>
  <si>
    <t>inlet</t>
  </si>
  <si>
    <t>m1</t>
  </si>
  <si>
    <t>Pt1</t>
  </si>
  <si>
    <t>Pt2</t>
  </si>
  <si>
    <t>Tt1</t>
  </si>
  <si>
    <t>Tt2</t>
  </si>
  <si>
    <t>Fan</t>
  </si>
  <si>
    <t>m2</t>
  </si>
  <si>
    <t>m13</t>
  </si>
  <si>
    <t>Pt13</t>
  </si>
  <si>
    <t>Pt16</t>
  </si>
  <si>
    <t>Tt12</t>
  </si>
  <si>
    <t>Tt13</t>
  </si>
  <si>
    <t>Tt16</t>
  </si>
  <si>
    <t>M16</t>
  </si>
  <si>
    <t xml:space="preserve">Power </t>
  </si>
  <si>
    <t>m21</t>
  </si>
  <si>
    <t>Pt21</t>
  </si>
  <si>
    <t>Tt21</t>
  </si>
  <si>
    <t>MW</t>
  </si>
  <si>
    <t xml:space="preserve">HP compressor </t>
  </si>
  <si>
    <t>m25</t>
  </si>
  <si>
    <t>Pt25</t>
  </si>
  <si>
    <t>Pt3</t>
  </si>
  <si>
    <t>Tt25</t>
  </si>
  <si>
    <t>Tt3</t>
  </si>
  <si>
    <t>Power</t>
  </si>
  <si>
    <t>m3</t>
  </si>
  <si>
    <t>m31</t>
  </si>
  <si>
    <t>fuel/air ratio</t>
  </si>
  <si>
    <t>mf</t>
  </si>
  <si>
    <t>m4</t>
  </si>
  <si>
    <t>Pt4</t>
  </si>
  <si>
    <t>Tt4</t>
  </si>
  <si>
    <t>Qb</t>
  </si>
  <si>
    <t>m4 √T4/P4</t>
  </si>
  <si>
    <t>error</t>
  </si>
  <si>
    <t>HP turbine</t>
  </si>
  <si>
    <t>m41</t>
  </si>
  <si>
    <t>m44</t>
  </si>
  <si>
    <t>Tt41</t>
  </si>
  <si>
    <t>Tt43</t>
  </si>
  <si>
    <t>Tt44</t>
  </si>
  <si>
    <t>Pt41</t>
  </si>
  <si>
    <t>Pt43</t>
  </si>
  <si>
    <t>Pt44</t>
  </si>
  <si>
    <t>Powr</t>
  </si>
  <si>
    <t>m4.5 √T4.5/P4.5</t>
  </si>
  <si>
    <t>m45</t>
  </si>
  <si>
    <t>m5</t>
  </si>
  <si>
    <t>Tt45</t>
  </si>
  <si>
    <t>Tt5</t>
  </si>
  <si>
    <t>Pt45</t>
  </si>
  <si>
    <t>Pt5</t>
  </si>
  <si>
    <t>m5 √T5/P5</t>
  </si>
  <si>
    <t>BPRcalc</t>
  </si>
  <si>
    <t>m16</t>
  </si>
  <si>
    <t>m64</t>
  </si>
  <si>
    <t>T5</t>
  </si>
  <si>
    <t>Tt6</t>
  </si>
  <si>
    <t>T16</t>
  </si>
  <si>
    <t>Tt64</t>
  </si>
  <si>
    <t>P6</t>
  </si>
  <si>
    <t>Pt6</t>
  </si>
  <si>
    <t>Pt64</t>
  </si>
  <si>
    <t>M6</t>
  </si>
  <si>
    <t>M64</t>
  </si>
  <si>
    <t>Cp16</t>
  </si>
  <si>
    <t>y16</t>
  </si>
  <si>
    <t>A163/A63</t>
  </si>
  <si>
    <t>C1</t>
  </si>
  <si>
    <t>C2</t>
  </si>
  <si>
    <t>C</t>
  </si>
  <si>
    <t>Con-Di</t>
  </si>
  <si>
    <t>m7</t>
  </si>
  <si>
    <t>m8</t>
  </si>
  <si>
    <t>Pt7</t>
  </si>
  <si>
    <t>Pt8</t>
  </si>
  <si>
    <t>Tt7</t>
  </si>
  <si>
    <t>Tt8</t>
  </si>
  <si>
    <t>P8</t>
  </si>
  <si>
    <t>M8</t>
  </si>
  <si>
    <t>M9</t>
  </si>
  <si>
    <t>A8</t>
  </si>
  <si>
    <t>P8/P0</t>
  </si>
  <si>
    <t>P9</t>
  </si>
  <si>
    <t>T9</t>
  </si>
  <si>
    <t>a9</t>
  </si>
  <si>
    <t>V9</t>
  </si>
  <si>
    <t>R air hot</t>
  </si>
  <si>
    <t>rhofan</t>
  </si>
  <si>
    <t>kg/m3</t>
  </si>
  <si>
    <t>A9</t>
  </si>
  <si>
    <t>Area Diff</t>
  </si>
  <si>
    <t>Performance Parameters</t>
  </si>
  <si>
    <t xml:space="preserve">Thrust </t>
  </si>
  <si>
    <t>N</t>
  </si>
  <si>
    <t xml:space="preserve">Specific Thrust </t>
  </si>
  <si>
    <t>N/kg/s</t>
  </si>
  <si>
    <t>TSFC</t>
  </si>
  <si>
    <t>Kg/s/N</t>
  </si>
  <si>
    <t>Imperial Units</t>
  </si>
  <si>
    <t>Gas Turb</t>
  </si>
  <si>
    <t>Off Design Dry</t>
  </si>
  <si>
    <t>Off Design Wet</t>
  </si>
  <si>
    <t>core mass flow</t>
  </si>
  <si>
    <t>Pt24</t>
  </si>
  <si>
    <t>Tt24</t>
  </si>
  <si>
    <t>mFab</t>
  </si>
  <si>
    <t>m61</t>
  </si>
  <si>
    <t>f ab</t>
  </si>
  <si>
    <t>Tt61</t>
  </si>
  <si>
    <t>Pt61</t>
  </si>
  <si>
    <t>Air mass flow rate</t>
  </si>
  <si>
    <t>Fuel to Air Ratio</t>
  </si>
  <si>
    <t>Turbine Exit Temp</t>
  </si>
  <si>
    <t>K</t>
  </si>
  <si>
    <t>Turbine Exit Press</t>
  </si>
  <si>
    <t>Reheat Cooling Flow Bleeding</t>
  </si>
  <si>
    <t>Dry Thrust</t>
  </si>
  <si>
    <t>kN</t>
  </si>
  <si>
    <t>Wet Thrust</t>
  </si>
  <si>
    <t>Reheat Temp</t>
  </si>
  <si>
    <t>Design Point</t>
  </si>
  <si>
    <t xml:space="preserve">Off Design </t>
  </si>
  <si>
    <t xml:space="preserve">from ISA at cruise height given </t>
  </si>
  <si>
    <t>BPR</t>
  </si>
  <si>
    <t>Tr/Tl</t>
  </si>
  <si>
    <t>Tc(D-P)</t>
  </si>
  <si>
    <t>Tr/Tl (O-D)</t>
  </si>
  <si>
    <t>Tc(O-D)</t>
  </si>
  <si>
    <t>PRC</t>
  </si>
  <si>
    <t>Fan nozzle</t>
  </si>
  <si>
    <t>Comp Polytropic (HP &amp; LP)</t>
  </si>
  <si>
    <t>Turb Polytropic (HP MP &amp; LP)</t>
  </si>
  <si>
    <t>Shaft/Mech (HP &amp; LP)</t>
  </si>
  <si>
    <t>off design</t>
  </si>
  <si>
    <t>Fan Isentropic</t>
  </si>
  <si>
    <t xml:space="preserve">mass flor air </t>
  </si>
  <si>
    <t>Bypass Ratio</t>
  </si>
  <si>
    <t>mt=mc+mf</t>
  </si>
  <si>
    <t>mt=(1+bp)mc</t>
  </si>
  <si>
    <t>fan mass flow</t>
  </si>
  <si>
    <t>bp=mf/mc</t>
  </si>
  <si>
    <t>mc=mt/(1+bp)</t>
  </si>
  <si>
    <t>mf=bp*mc</t>
  </si>
  <si>
    <t>T0</t>
  </si>
  <si>
    <t>Pt19</t>
  </si>
  <si>
    <t>Tt19</t>
  </si>
  <si>
    <t>P19</t>
  </si>
  <si>
    <t>Since nozzle is convergent maximum mach can attain is Mach 1</t>
  </si>
  <si>
    <t>M19</t>
  </si>
  <si>
    <t>T19</t>
  </si>
  <si>
    <t>a19</t>
  </si>
  <si>
    <t>P19&gt;P0, ¿Se calcula V19eff para el off-design?</t>
  </si>
  <si>
    <t>V19</t>
  </si>
  <si>
    <t>R air cold</t>
  </si>
  <si>
    <t>A19</t>
  </si>
  <si>
    <t>V19eff</t>
  </si>
  <si>
    <t>Pt2.5</t>
  </si>
  <si>
    <t>Tt2.5 (ideal O-D)</t>
  </si>
  <si>
    <t>Tt2.5</t>
  </si>
  <si>
    <r>
      <t>m</t>
    </r>
    <r>
      <rPr>
        <vertAlign val="subscript"/>
        <sz val="11"/>
        <color theme="1"/>
        <rFont val="Calibri"/>
        <family val="2"/>
        <scheme val="minor"/>
      </rPr>
      <t>air</t>
    </r>
  </si>
  <si>
    <r>
      <t>m</t>
    </r>
    <r>
      <rPr>
        <vertAlign val="subscript"/>
        <sz val="11"/>
        <color theme="1"/>
        <rFont val="Calibri"/>
        <family val="2"/>
        <scheme val="minor"/>
      </rPr>
      <t>fuel</t>
    </r>
  </si>
  <si>
    <t>mhot</t>
  </si>
  <si>
    <t>Tt4.3</t>
  </si>
  <si>
    <t>Pt4.3</t>
  </si>
  <si>
    <t>m4.3 √T4.3/P4.3</t>
  </si>
  <si>
    <t>MP Turbine</t>
  </si>
  <si>
    <t>Tt4.6</t>
  </si>
  <si>
    <t>Pt4.6</t>
  </si>
  <si>
    <t>m4.6 √T4.6/P4.6</t>
  </si>
  <si>
    <t>Pt9</t>
  </si>
  <si>
    <t>Tt9</t>
  </si>
  <si>
    <t>Critic pressure relation</t>
  </si>
  <si>
    <t>Critic temperature relation</t>
  </si>
  <si>
    <t>Real pressure relation</t>
  </si>
  <si>
    <t>Nozzle is chocked</t>
  </si>
  <si>
    <t xml:space="preserve">V9 </t>
  </si>
  <si>
    <t>V9eff</t>
  </si>
  <si>
    <t>Core Thrust</t>
  </si>
  <si>
    <t>Fan Thrust</t>
  </si>
  <si>
    <t>Target</t>
  </si>
  <si>
    <t>Off-Design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</si>
</sst>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* #,##0.00_);_(* \(#,##0.00\);_(* &quot;-&quot;??_);_(@_)"/>
    <numFmt numFmtId="165" formatCode="0.000"/>
    <numFmt numFmtId="166" formatCode="0.0"/>
    <numFmt numFmtId="167" formatCode="0.0000"/>
    <numFmt numFmtId="168" formatCode="0.00000"/>
    <numFmt numFmtId="169" formatCode="0.0%"/>
    <numFmt numFmtId="170" formatCode="0.000000"/>
    <numFmt numFmtId="171" formatCode="_(* #,##0_);_(* \(#,##0\);_(* &quot;-&quot;??_);_(@_)"/>
    <numFmt numFmtId="172" formatCode="0.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13" borderId="0" applyNumberFormat="0" applyBorder="0" applyAlignment="0" applyProtection="0"/>
    <xf numFmtId="0" fontId="6" fillId="16" borderId="2" applyNumberFormat="0" applyAlignment="0" applyProtection="0"/>
    <xf numFmtId="0" fontId="8" fillId="18" borderId="0" applyNumberFormat="0" applyBorder="0" applyAlignment="0" applyProtection="0"/>
  </cellStyleXfs>
  <cellXfs count="64">
    <xf numFmtId="0" fontId="0" fillId="0" borderId="0" xfId="0"/>
    <xf numFmtId="0" fontId="0" fillId="2" borderId="0" xfId="0" applyFill="1"/>
    <xf numFmtId="0" fontId="0" fillId="3" borderId="0" xfId="0" applyFill="1"/>
    <xf numFmtId="164" fontId="0" fillId="0" borderId="0" xfId="1" applyFont="1"/>
    <xf numFmtId="0" fontId="3" fillId="0" borderId="0" xfId="0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0" xfId="0" applyAlignment="1">
      <alignment horizontal="right" vertical="center"/>
    </xf>
    <xf numFmtId="0" fontId="0" fillId="9" borderId="0" xfId="0" applyFill="1"/>
    <xf numFmtId="0" fontId="0" fillId="10" borderId="0" xfId="0" applyFill="1"/>
    <xf numFmtId="165" fontId="0" fillId="7" borderId="0" xfId="0" applyNumberFormat="1" applyFill="1"/>
    <xf numFmtId="165" fontId="0" fillId="0" borderId="0" xfId="0" applyNumberFormat="1"/>
    <xf numFmtId="2" fontId="0" fillId="0" borderId="0" xfId="0" applyNumberFormat="1"/>
    <xf numFmtId="166" fontId="0" fillId="5" borderId="0" xfId="0" applyNumberFormat="1" applyFill="1"/>
    <xf numFmtId="9" fontId="0" fillId="0" borderId="0" xfId="2" applyFont="1"/>
    <xf numFmtId="165" fontId="4" fillId="0" borderId="0" xfId="0" applyNumberFormat="1" applyFont="1"/>
    <xf numFmtId="165" fontId="0" fillId="12" borderId="0" xfId="0" applyNumberFormat="1" applyFill="1"/>
    <xf numFmtId="165" fontId="0" fillId="11" borderId="0" xfId="0" applyNumberFormat="1" applyFill="1"/>
    <xf numFmtId="165" fontId="0" fillId="4" borderId="0" xfId="0" applyNumberFormat="1" applyFill="1"/>
    <xf numFmtId="11" fontId="0" fillId="0" borderId="0" xfId="0" applyNumberFormat="1"/>
    <xf numFmtId="0" fontId="5" fillId="13" borderId="0" xfId="3"/>
    <xf numFmtId="165" fontId="5" fillId="13" borderId="0" xfId="3" applyNumberFormat="1"/>
    <xf numFmtId="166" fontId="0" fillId="0" borderId="0" xfId="0" applyNumberFormat="1"/>
    <xf numFmtId="0" fontId="0" fillId="14" borderId="0" xfId="0" applyFill="1"/>
    <xf numFmtId="0" fontId="0" fillId="15" borderId="1" xfId="0" applyFill="1" applyBorder="1"/>
    <xf numFmtId="0" fontId="0" fillId="0" borderId="0" xfId="0" applyAlignment="1">
      <alignment wrapText="1"/>
    </xf>
    <xf numFmtId="167" fontId="0" fillId="0" borderId="0" xfId="0" applyNumberFormat="1"/>
    <xf numFmtId="1" fontId="0" fillId="7" borderId="0" xfId="0" applyNumberFormat="1" applyFill="1"/>
    <xf numFmtId="167" fontId="0" fillId="0" borderId="0" xfId="2" applyNumberFormat="1" applyFont="1"/>
    <xf numFmtId="168" fontId="0" fillId="0" borderId="0" xfId="0" applyNumberFormat="1"/>
    <xf numFmtId="169" fontId="0" fillId="0" borderId="0" xfId="2" applyNumberFormat="1" applyFont="1"/>
    <xf numFmtId="170" fontId="0" fillId="0" borderId="0" xfId="0" applyNumberFormat="1"/>
    <xf numFmtId="0" fontId="0" fillId="17" borderId="0" xfId="0" applyFill="1"/>
    <xf numFmtId="10" fontId="0" fillId="0" borderId="0" xfId="2" applyNumberFormat="1" applyFont="1"/>
    <xf numFmtId="167" fontId="6" fillId="16" borderId="2" xfId="4" applyNumberFormat="1"/>
    <xf numFmtId="2" fontId="7" fillId="0" borderId="0" xfId="0" applyNumberFormat="1" applyFont="1"/>
    <xf numFmtId="0" fontId="0" fillId="0" borderId="0" xfId="2" applyNumberFormat="1" applyFont="1"/>
    <xf numFmtId="165" fontId="7" fillId="0" borderId="0" xfId="0" applyNumberFormat="1" applyFont="1"/>
    <xf numFmtId="1" fontId="0" fillId="0" borderId="0" xfId="2" applyNumberFormat="1" applyFont="1"/>
    <xf numFmtId="166" fontId="7" fillId="0" borderId="0" xfId="0" applyNumberFormat="1" applyFont="1"/>
    <xf numFmtId="2" fontId="3" fillId="0" borderId="0" xfId="0" applyNumberFormat="1" applyFont="1"/>
    <xf numFmtId="0" fontId="9" fillId="5" borderId="0" xfId="5" applyFont="1" applyFill="1"/>
    <xf numFmtId="165" fontId="9" fillId="5" borderId="0" xfId="5" applyNumberFormat="1" applyFont="1" applyFill="1"/>
    <xf numFmtId="0" fontId="9" fillId="5" borderId="0" xfId="5" applyNumberFormat="1" applyFont="1" applyFill="1"/>
    <xf numFmtId="167" fontId="7" fillId="4" borderId="0" xfId="0" applyNumberFormat="1" applyFont="1" applyFill="1"/>
    <xf numFmtId="1" fontId="0" fillId="0" borderId="0" xfId="0" applyNumberFormat="1"/>
    <xf numFmtId="171" fontId="0" fillId="0" borderId="0" xfId="1" applyNumberFormat="1" applyFont="1"/>
    <xf numFmtId="167" fontId="9" fillId="5" borderId="0" xfId="5" applyNumberFormat="1" applyFont="1" applyFill="1"/>
    <xf numFmtId="165" fontId="3" fillId="12" borderId="0" xfId="0" applyNumberFormat="1" applyFont="1" applyFill="1"/>
    <xf numFmtId="10" fontId="3" fillId="12" borderId="0" xfId="2" applyNumberFormat="1" applyFont="1" applyFill="1"/>
    <xf numFmtId="165" fontId="0" fillId="5" borderId="0" xfId="0" applyNumberFormat="1" applyFill="1"/>
    <xf numFmtId="0" fontId="0" fillId="11" borderId="0" xfId="0" applyFill="1"/>
    <xf numFmtId="167" fontId="0" fillId="11" borderId="0" xfId="0" applyNumberFormat="1" applyFill="1"/>
    <xf numFmtId="169" fontId="0" fillId="11" borderId="0" xfId="2" applyNumberFormat="1" applyFont="1" applyFill="1"/>
    <xf numFmtId="0" fontId="0" fillId="11" borderId="0" xfId="2" applyNumberFormat="1" applyFont="1" applyFill="1"/>
    <xf numFmtId="10" fontId="9" fillId="5" borderId="0" xfId="2" applyNumberFormat="1" applyFont="1" applyFill="1"/>
    <xf numFmtId="168" fontId="0" fillId="5" borderId="0" xfId="0" applyNumberFormat="1" applyFill="1"/>
    <xf numFmtId="10" fontId="0" fillId="5" borderId="0" xfId="2" applyNumberFormat="1" applyFont="1" applyFill="1"/>
    <xf numFmtId="172" fontId="0" fillId="11" borderId="0" xfId="2" applyNumberFormat="1" applyFont="1" applyFill="1"/>
    <xf numFmtId="2" fontId="0" fillId="0" borderId="0" xfId="2" applyNumberFormat="1" applyFont="1"/>
    <xf numFmtId="0" fontId="0" fillId="8" borderId="0" xfId="0" applyFill="1" applyAlignment="1">
      <alignment horizontal="center" wrapText="1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 wrapText="1"/>
    </xf>
  </cellXfs>
  <cellStyles count="6">
    <cellStyle name="Bad" xfId="3" builtinId="27"/>
    <cellStyle name="Comma" xfId="1" builtinId="3"/>
    <cellStyle name="Input" xfId="4" builtinId="20"/>
    <cellStyle name="Neutral" xfId="5" builtinId="28"/>
    <cellStyle name="Normal" xfId="0" builtinId="0"/>
    <cellStyle name="Percent" xfId="2" builtinId="5"/>
  </cellStyles>
  <dxfs count="23"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Thrust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4F7-4AB5-B145-7E9DEC436DF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4F7-4AB5-B145-7E9DEC436D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('Sheet1 (2)'!$B$147,'Sheet1 (2)'!$B$148)</c:f>
              <c:strCache>
                <c:ptCount val="2"/>
                <c:pt idx="0">
                  <c:v>Core Thrust</c:v>
                </c:pt>
                <c:pt idx="1">
                  <c:v>Fan Thrust</c:v>
                </c:pt>
              </c:strCache>
            </c:strRef>
          </c:cat>
          <c:val>
            <c:numRef>
              <c:f>('Sheet1 (2)'!$D$147,'Sheet1 (2)'!$D$148)</c:f>
              <c:numCache>
                <c:formatCode>0.000</c:formatCode>
                <c:ptCount val="2"/>
                <c:pt idx="0">
                  <c:v>59.959083793462227</c:v>
                </c:pt>
                <c:pt idx="1">
                  <c:v>106.40391565870581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4F7-4AB5-B145-7E9DEC436DF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emf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emf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7143</xdr:colOff>
      <xdr:row>1</xdr:row>
      <xdr:rowOff>11907</xdr:rowOff>
    </xdr:from>
    <xdr:to>
      <xdr:col>45</xdr:col>
      <xdr:colOff>581947</xdr:colOff>
      <xdr:row>48</xdr:row>
      <xdr:rowOff>11858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E2C4038-7713-49E2-A6AB-CB2AEB85A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24618" y="202407"/>
          <a:ext cx="6670805" cy="8191451"/>
        </a:xfrm>
        <a:prstGeom prst="rect">
          <a:avLst/>
        </a:prstGeom>
      </xdr:spPr>
    </xdr:pic>
    <xdr:clientData/>
  </xdr:twoCellAnchor>
  <xdr:twoCellAnchor editAs="oneCell">
    <xdr:from>
      <xdr:col>16</xdr:col>
      <xdr:colOff>16668</xdr:colOff>
      <xdr:row>1</xdr:row>
      <xdr:rowOff>28574</xdr:rowOff>
    </xdr:from>
    <xdr:to>
      <xdr:col>25</xdr:col>
      <xdr:colOff>531193</xdr:colOff>
      <xdr:row>22</xdr:row>
      <xdr:rowOff>141683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631F84F-DE19-4237-A52E-9E5C47492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08668" y="219074"/>
          <a:ext cx="7620176" cy="4304109"/>
        </a:xfrm>
        <a:prstGeom prst="rect">
          <a:avLst/>
        </a:prstGeom>
      </xdr:spPr>
    </xdr:pic>
    <xdr:clientData/>
  </xdr:twoCellAnchor>
  <xdr:twoCellAnchor editAs="oneCell">
    <xdr:from>
      <xdr:col>26</xdr:col>
      <xdr:colOff>95249</xdr:colOff>
      <xdr:row>1</xdr:row>
      <xdr:rowOff>61232</xdr:rowOff>
    </xdr:from>
    <xdr:to>
      <xdr:col>38</xdr:col>
      <xdr:colOff>2392</xdr:colOff>
      <xdr:row>15</xdr:row>
      <xdr:rowOff>39854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59D5560-DD9D-4AFF-9BDB-DD0EBB926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12249" y="251732"/>
          <a:ext cx="7377468" cy="2836122"/>
        </a:xfrm>
        <a:prstGeom prst="rect">
          <a:avLst/>
        </a:prstGeom>
      </xdr:spPr>
    </xdr:pic>
    <xdr:clientData/>
  </xdr:twoCellAnchor>
  <xdr:twoCellAnchor editAs="oneCell">
    <xdr:from>
      <xdr:col>15</xdr:col>
      <xdr:colOff>307504</xdr:colOff>
      <xdr:row>47</xdr:row>
      <xdr:rowOff>126395</xdr:rowOff>
    </xdr:from>
    <xdr:to>
      <xdr:col>26</xdr:col>
      <xdr:colOff>314162</xdr:colOff>
      <xdr:row>87</xdr:row>
      <xdr:rowOff>89354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C7AE8CE-351F-4629-8F23-F220BFBA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587" y="9841895"/>
          <a:ext cx="8748490" cy="7582958"/>
        </a:xfrm>
        <a:prstGeom prst="rect">
          <a:avLst/>
        </a:prstGeom>
      </xdr:spPr>
    </xdr:pic>
    <xdr:clientData/>
  </xdr:twoCellAnchor>
  <xdr:twoCellAnchor editAs="oneCell">
    <xdr:from>
      <xdr:col>16</xdr:col>
      <xdr:colOff>70919</xdr:colOff>
      <xdr:row>20</xdr:row>
      <xdr:rowOff>60031</xdr:rowOff>
    </xdr:from>
    <xdr:to>
      <xdr:col>26</xdr:col>
      <xdr:colOff>520566</xdr:colOff>
      <xdr:row>47</xdr:row>
      <xdr:rowOff>14734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E42A235D-EF16-467E-AD83-369B71AD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2978" y="4060531"/>
          <a:ext cx="8136882" cy="4145703"/>
        </a:xfrm>
        <a:prstGeom prst="rect">
          <a:avLst/>
        </a:prstGeom>
      </xdr:spPr>
    </xdr:pic>
    <xdr:clientData/>
  </xdr:twoCellAnchor>
  <xdr:twoCellAnchor editAs="oneCell">
    <xdr:from>
      <xdr:col>35</xdr:col>
      <xdr:colOff>523875</xdr:colOff>
      <xdr:row>48</xdr:row>
      <xdr:rowOff>47625</xdr:rowOff>
    </xdr:from>
    <xdr:to>
      <xdr:col>47</xdr:col>
      <xdr:colOff>191490</xdr:colOff>
      <xdr:row>99</xdr:row>
      <xdr:rowOff>163297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99F85F63-E2C0-411E-7A9C-A0A9F3DF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55875" y="9953625"/>
          <a:ext cx="7097115" cy="983117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35</xdr:col>
      <xdr:colOff>272031</xdr:colOff>
      <xdr:row>76</xdr:row>
      <xdr:rowOff>1322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9DA55788-3AF6-4755-B62E-901761B9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598188" y="9906000"/>
          <a:ext cx="4105848" cy="5344271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48</xdr:row>
      <xdr:rowOff>0</xdr:rowOff>
    </xdr:from>
    <xdr:to>
      <xdr:col>55</xdr:col>
      <xdr:colOff>400624</xdr:colOff>
      <xdr:row>76</xdr:row>
      <xdr:rowOff>29322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26DFC36-52BC-12F0-E184-EA931A378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099750" y="9906000"/>
          <a:ext cx="4115374" cy="536332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48</xdr:row>
      <xdr:rowOff>0</xdr:rowOff>
    </xdr:from>
    <xdr:to>
      <xdr:col>68</xdr:col>
      <xdr:colOff>286738</xdr:colOff>
      <xdr:row>99</xdr:row>
      <xdr:rowOff>68040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4C33591A-68CF-6657-11F2-8EB5F6A87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052750" y="9906000"/>
          <a:ext cx="7097115" cy="9783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7143</xdr:colOff>
      <xdr:row>1</xdr:row>
      <xdr:rowOff>11907</xdr:rowOff>
    </xdr:from>
    <xdr:to>
      <xdr:col>43</xdr:col>
      <xdr:colOff>581948</xdr:colOff>
      <xdr:row>43</xdr:row>
      <xdr:rowOff>11858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CBD3D46-2A68-4E7A-B859-2531BB7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76581" y="190501"/>
          <a:ext cx="7004180" cy="7680674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</xdr:colOff>
      <xdr:row>1</xdr:row>
      <xdr:rowOff>28574</xdr:rowOff>
    </xdr:from>
    <xdr:to>
      <xdr:col>23</xdr:col>
      <xdr:colOff>531194</xdr:colOff>
      <xdr:row>22</xdr:row>
      <xdr:rowOff>141683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D537337E-DFF5-43CC-AFAB-24658073E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4043" y="207168"/>
          <a:ext cx="8055947" cy="4043363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11906</xdr:colOff>
      <xdr:row>26</xdr:row>
      <xdr:rowOff>16668</xdr:rowOff>
    </xdr:from>
    <xdr:to>
      <xdr:col>29</xdr:col>
      <xdr:colOff>478284</xdr:colOff>
      <xdr:row>52</xdr:row>
      <xdr:rowOff>83344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EC31D97-6CA3-472A-AD82-60E72EA28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9281" y="4660106"/>
          <a:ext cx="12022584" cy="4710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28575</xdr:colOff>
      <xdr:row>92</xdr:row>
      <xdr:rowOff>176211</xdr:rowOff>
    </xdr:from>
    <xdr:to>
      <xdr:col>23</xdr:col>
      <xdr:colOff>8141</xdr:colOff>
      <xdr:row>134</xdr:row>
      <xdr:rowOff>153504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EFB72B9-3C74-4051-B604-2A57EEFC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5950" y="16249649"/>
          <a:ext cx="7528127" cy="7454420"/>
        </a:xfrm>
        <a:prstGeom prst="rect">
          <a:avLst/>
        </a:prstGeom>
      </xdr:spPr>
    </xdr:pic>
    <xdr:clientData/>
  </xdr:twoCellAnchor>
  <xdr:twoCellAnchor editAs="oneCell">
    <xdr:from>
      <xdr:col>25</xdr:col>
      <xdr:colOff>635792</xdr:colOff>
      <xdr:row>93</xdr:row>
      <xdr:rowOff>11907</xdr:rowOff>
    </xdr:from>
    <xdr:to>
      <xdr:col>32</xdr:col>
      <xdr:colOff>455403</xdr:colOff>
      <xdr:row>117</xdr:row>
      <xdr:rowOff>36360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36B8EC-6787-093D-7EED-E7A8145B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18855" y="16263938"/>
          <a:ext cx="4458287" cy="4305941"/>
        </a:xfrm>
        <a:prstGeom prst="rect">
          <a:avLst/>
        </a:prstGeom>
      </xdr:spPr>
    </xdr:pic>
    <xdr:clientData/>
  </xdr:twoCellAnchor>
  <xdr:twoCellAnchor editAs="oneCell">
    <xdr:from>
      <xdr:col>26</xdr:col>
      <xdr:colOff>235746</xdr:colOff>
      <xdr:row>1</xdr:row>
      <xdr:rowOff>16668</xdr:rowOff>
    </xdr:from>
    <xdr:to>
      <xdr:col>32</xdr:col>
      <xdr:colOff>392519</xdr:colOff>
      <xdr:row>23</xdr:row>
      <xdr:rowOff>8331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44760B7-CD56-AD75-DC87-0ECDA4ED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61746" y="195262"/>
          <a:ext cx="4152509" cy="4090987"/>
        </a:xfrm>
        <a:prstGeom prst="rect">
          <a:avLst/>
        </a:prstGeom>
      </xdr:spPr>
    </xdr:pic>
    <xdr:clientData/>
  </xdr:twoCellAnchor>
  <xdr:twoCellAnchor editAs="oneCell">
    <xdr:from>
      <xdr:col>44</xdr:col>
      <xdr:colOff>119063</xdr:colOff>
      <xdr:row>1</xdr:row>
      <xdr:rowOff>0</xdr:rowOff>
    </xdr:from>
    <xdr:to>
      <xdr:col>55</xdr:col>
      <xdr:colOff>551059</xdr:colOff>
      <xdr:row>41</xdr:row>
      <xdr:rowOff>152320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FB5EBBEC-5776-931A-E943-43E17756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60813" y="178594"/>
          <a:ext cx="7499548" cy="747585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1047750</xdr:colOff>
      <xdr:row>54</xdr:row>
      <xdr:rowOff>169069</xdr:rowOff>
    </xdr:from>
    <xdr:to>
      <xdr:col>24</xdr:col>
      <xdr:colOff>513042</xdr:colOff>
      <xdr:row>91</xdr:row>
      <xdr:rowOff>11906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6336CB5A-DBCB-D646-D142-179A6759C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1950" y="9557998"/>
          <a:ext cx="8752163" cy="6136144"/>
        </a:xfrm>
        <a:prstGeom prst="rect">
          <a:avLst/>
        </a:prstGeom>
      </xdr:spPr>
    </xdr:pic>
    <xdr:clientData/>
  </xdr:twoCellAnchor>
  <xdr:twoCellAnchor editAs="oneCell">
    <xdr:from>
      <xdr:col>13</xdr:col>
      <xdr:colOff>953689</xdr:colOff>
      <xdr:row>132</xdr:row>
      <xdr:rowOff>54928</xdr:rowOff>
    </xdr:from>
    <xdr:to>
      <xdr:col>24</xdr:col>
      <xdr:colOff>410255</xdr:colOff>
      <xdr:row>172</xdr:row>
      <xdr:rowOff>134736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15222196-A955-5887-833F-B67E4D68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3740" y="24540528"/>
          <a:ext cx="8752966" cy="7445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7143</xdr:colOff>
      <xdr:row>1</xdr:row>
      <xdr:rowOff>11907</xdr:rowOff>
    </xdr:from>
    <xdr:to>
      <xdr:col>43</xdr:col>
      <xdr:colOff>581948</xdr:colOff>
      <xdr:row>43</xdr:row>
      <xdr:rowOff>11858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59B5EC0-8AB6-4C74-9939-1DD2E22B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72306" y="192882"/>
          <a:ext cx="7051805" cy="7781876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</xdr:colOff>
      <xdr:row>1</xdr:row>
      <xdr:rowOff>28574</xdr:rowOff>
    </xdr:from>
    <xdr:to>
      <xdr:col>23</xdr:col>
      <xdr:colOff>531194</xdr:colOff>
      <xdr:row>22</xdr:row>
      <xdr:rowOff>141683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EA7EC85-D67F-4FD5-9D9C-B03E353FE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4818" y="209549"/>
          <a:ext cx="8096426" cy="4094559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11906</xdr:colOff>
      <xdr:row>26</xdr:row>
      <xdr:rowOff>16668</xdr:rowOff>
    </xdr:from>
    <xdr:to>
      <xdr:col>29</xdr:col>
      <xdr:colOff>478284</xdr:colOff>
      <xdr:row>52</xdr:row>
      <xdr:rowOff>83344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86D0DCC-40C2-4DB8-B265-F41391D36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0056" y="4902993"/>
          <a:ext cx="12072591" cy="4772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28575</xdr:colOff>
      <xdr:row>92</xdr:row>
      <xdr:rowOff>176211</xdr:rowOff>
    </xdr:from>
    <xdr:to>
      <xdr:col>23</xdr:col>
      <xdr:colOff>6573</xdr:colOff>
      <xdr:row>134</xdr:row>
      <xdr:rowOff>153504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51D0822-D944-4788-AD46-A61727C6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96725" y="17006886"/>
          <a:ext cx="7544798" cy="7578243"/>
        </a:xfrm>
        <a:prstGeom prst="rect">
          <a:avLst/>
        </a:prstGeom>
      </xdr:spPr>
    </xdr:pic>
    <xdr:clientData/>
  </xdr:twoCellAnchor>
  <xdr:twoCellAnchor editAs="oneCell">
    <xdr:from>
      <xdr:col>25</xdr:col>
      <xdr:colOff>635792</xdr:colOff>
      <xdr:row>93</xdr:row>
      <xdr:rowOff>11907</xdr:rowOff>
    </xdr:from>
    <xdr:to>
      <xdr:col>32</xdr:col>
      <xdr:colOff>455403</xdr:colOff>
      <xdr:row>117</xdr:row>
      <xdr:rowOff>36360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F5A8140-FCE6-48BB-8F75-8C66D8BA9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81242" y="17023557"/>
          <a:ext cx="4491624" cy="4367853"/>
        </a:xfrm>
        <a:prstGeom prst="rect">
          <a:avLst/>
        </a:prstGeom>
      </xdr:spPr>
    </xdr:pic>
    <xdr:clientData/>
  </xdr:twoCellAnchor>
  <xdr:twoCellAnchor editAs="oneCell">
    <xdr:from>
      <xdr:col>26</xdr:col>
      <xdr:colOff>235746</xdr:colOff>
      <xdr:row>1</xdr:row>
      <xdr:rowOff>16668</xdr:rowOff>
    </xdr:from>
    <xdr:to>
      <xdr:col>32</xdr:col>
      <xdr:colOff>392518</xdr:colOff>
      <xdr:row>23</xdr:row>
      <xdr:rowOff>8331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516A7146-2549-4450-9FE8-C9F632FCB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28896" y="197643"/>
          <a:ext cx="4181085" cy="4154088"/>
        </a:xfrm>
        <a:prstGeom prst="rect">
          <a:avLst/>
        </a:prstGeom>
      </xdr:spPr>
    </xdr:pic>
    <xdr:clientData/>
  </xdr:twoCellAnchor>
  <xdr:twoCellAnchor editAs="oneCell">
    <xdr:from>
      <xdr:col>44</xdr:col>
      <xdr:colOff>119063</xdr:colOff>
      <xdr:row>1</xdr:row>
      <xdr:rowOff>0</xdr:rowOff>
    </xdr:from>
    <xdr:to>
      <xdr:col>55</xdr:col>
      <xdr:colOff>551060</xdr:colOff>
      <xdr:row>41</xdr:row>
      <xdr:rowOff>152320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1F2E3D0D-C912-468C-9BD0-F71540F1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08926" y="180975"/>
          <a:ext cx="7556697" cy="757229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1047750</xdr:colOff>
      <xdr:row>54</xdr:row>
      <xdr:rowOff>169069</xdr:rowOff>
    </xdr:from>
    <xdr:to>
      <xdr:col>24</xdr:col>
      <xdr:colOff>513042</xdr:colOff>
      <xdr:row>91</xdr:row>
      <xdr:rowOff>11906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5C7FDCDB-D652-4814-96EA-6667380C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3863" y="10122694"/>
          <a:ext cx="8756929" cy="6538912"/>
        </a:xfrm>
        <a:prstGeom prst="rect">
          <a:avLst/>
        </a:prstGeom>
      </xdr:spPr>
    </xdr:pic>
    <xdr:clientData/>
  </xdr:twoCellAnchor>
  <xdr:twoCellAnchor editAs="oneCell">
    <xdr:from>
      <xdr:col>13</xdr:col>
      <xdr:colOff>596502</xdr:colOff>
      <xdr:row>117</xdr:row>
      <xdr:rowOff>150178</xdr:rowOff>
    </xdr:from>
    <xdr:to>
      <xdr:col>24</xdr:col>
      <xdr:colOff>54769</xdr:colOff>
      <xdr:row>158</xdr:row>
      <xdr:rowOff>46631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678CF6B6-9C8D-4BAA-B496-D00DE72B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02615" y="21505228"/>
          <a:ext cx="8749904" cy="7316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161</xdr:row>
      <xdr:rowOff>87630</xdr:rowOff>
    </xdr:from>
    <xdr:to>
      <xdr:col>6</xdr:col>
      <xdr:colOff>68580</xdr:colOff>
      <xdr:row>176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F82791B-2574-4E22-8965-FAA3A9975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 Simental" id="{5E6843A1-7B7D-403F-B2DB-D2791968F4C3}" userId="Chris Simental" providerId="None"/>
  <person displayName="Chris Simental" id="{D8FC1B05-0947-413F-A4B8-E43F4AD52F78}" userId="9448d5a1151a803a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3-08-15T22:39:47.85" personId="{D8FC1B05-0947-413F-A4B8-E43F4AD52F78}" id="{20F0E166-889C-40F2-970F-426DF46C7A6E}">
    <text xml:space="preserve">Ajustadas para minimizar error con gasturb
</text>
  </threadedComment>
  <threadedComment ref="E8" dT="2023-08-15T22:39:47.85" personId="{D8FC1B05-0947-413F-A4B8-E43F4AD52F78}" id="{7E2CEEEE-E2CA-4341-A7E9-BFFB9A59AD44}">
    <text xml:space="preserve">Ajustadas para minimizar error con gasturb
</text>
  </threadedComment>
  <threadedComment ref="F8" dT="2023-08-15T22:39:47.85" personId="{D8FC1B05-0947-413F-A4B8-E43F4AD52F78}" id="{D4BB6C21-A16F-441F-B829-DB6445E3B443}">
    <text xml:space="preserve">Ajustadas para minimizar error con gasturb
</text>
  </threadedComment>
  <threadedComment ref="G8" dT="2023-08-15T22:39:47.85" personId="{D8FC1B05-0947-413F-A4B8-E43F4AD52F78}" id="{03BCD853-FB6F-41D2-9B67-63B8E35D39AA}">
    <text xml:space="preserve">Ajustadas para minimizar error con gasturb
</text>
  </threadedComment>
  <threadedComment ref="H8" dT="2023-08-15T22:39:47.85" personId="{D8FC1B05-0947-413F-A4B8-E43F4AD52F78}" id="{54DE80C6-F686-466B-A19B-F95E2898E56E}">
    <text xml:space="preserve">Ajustadas para minimizar error con gasturb
</text>
  </threadedComment>
  <threadedComment ref="I8" dT="2023-08-15T22:39:47.85" personId="{D8FC1B05-0947-413F-A4B8-E43F4AD52F78}" id="{3BC74D37-9687-4F62-BFD8-2C70E1C113AA}">
    <text xml:space="preserve">Ajustadas para minimizar error con gasturb
</text>
  </threadedComment>
  <threadedComment ref="J8" dT="2023-08-15T22:39:47.85" personId="{D8FC1B05-0947-413F-A4B8-E43F4AD52F78}" id="{7AFD5D05-D871-4872-B482-51BEE8A148FF}">
    <text xml:space="preserve">Ajustadas para minimizar error con gasturb
</text>
  </threadedComment>
  <threadedComment ref="K8" dT="2023-08-15T22:39:47.85" personId="{D8FC1B05-0947-413F-A4B8-E43F4AD52F78}" id="{DE5A09EB-7375-438B-96A9-E8FC6D466467}">
    <text xml:space="preserve">Ajustadas para minimizar error con gasturb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3-08-15T22:39:47.85" personId="{D8FC1B05-0947-413F-A4B8-E43F4AD52F78}" id="{FB6871B8-997B-45CD-A8A2-AC89D58771FD}">
    <text xml:space="preserve">Ajustadas para minimizar error con gasturb
</text>
  </threadedComment>
  <threadedComment ref="I8" dT="2023-08-15T22:39:47.85" personId="{D8FC1B05-0947-413F-A4B8-E43F4AD52F78}" id="{7A674FD6-57DE-4A8D-ABF0-006461971C46}">
    <text xml:space="preserve">Ajustadas para minimizar error con gasturb
</text>
  </threadedComment>
  <threadedComment ref="N8" dT="2023-08-15T22:39:47.85" personId="{D8FC1B05-0947-413F-A4B8-E43F4AD52F78}" id="{EA66D4C8-7F0E-464F-82D6-05383DD852CA}">
    <text xml:space="preserve">Ajustadas para minimizar error con gasturb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8-15T22:39:47.85" personId="{D8FC1B05-0947-413F-A4B8-E43F4AD52F78}" id="{9108078F-753B-40B9-B8E4-74413475BC49}">
    <text xml:space="preserve">Ajustadas para minimizar error con gasturb
</text>
  </threadedComment>
  <threadedComment ref="I8" dT="2023-08-15T22:39:47.85" personId="{D8FC1B05-0947-413F-A4B8-E43F4AD52F78}" id="{D93C357F-5EE5-4A63-A382-598686203E47}">
    <text xml:space="preserve">Ajustadas para minimizar error con gasturb
</text>
  </threadedComment>
  <threadedComment ref="J8" dT="2023-08-15T22:39:47.85" personId="{D8FC1B05-0947-413F-A4B8-E43F4AD52F78}" id="{90CAC85D-C872-4FF8-86FA-4AF8C4B1EA56}">
    <text xml:space="preserve">Ajustadas para minimizar error con gasturb
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8" dT="2023-08-15T22:39:47.85" personId="{D8FC1B05-0947-413F-A4B8-E43F4AD52F78}" id="{CBCD0C09-5022-4CFA-80E8-B67A01C69D09}">
    <text xml:space="preserve">Ajustadas para minimizar error con gasturb
</text>
  </threadedComment>
  <threadedComment ref="I8" dT="2023-08-15T22:39:47.85" personId="{D8FC1B05-0947-413F-A4B8-E43F4AD52F78}" id="{1F5C75D3-B195-45BD-9365-E8BCA0F1EFE1}">
    <text xml:space="preserve">Ajustadas para minimizar error con gasturb
</text>
  </threadedComment>
  <threadedComment ref="J8" dT="2023-08-15T22:39:47.85" personId="{D8FC1B05-0947-413F-A4B8-E43F4AD52F78}" id="{D1663CBD-0D61-45BC-B5A6-B6C091A63E13}">
    <text xml:space="preserve">Ajustadas para minimizar error con gasturb
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69" dT="2020-11-22T02:05:21.01" personId="{5E6843A1-7B7D-403F-B2DB-D2791968F4C3}" id="{22C7BABA-039A-48E0-A258-CB20C05B1D69}">
    <text>Si la presion estatica es menor a la presion atmosferica, el flujo no esta estrangulado ni en M=1. La tobera la consideramos perfectamente expandida y calculamos el Mach a la salida</text>
  </threadedComment>
  <threadedComment ref="G73" dT="2020-11-22T02:02:22.07" personId="{5E6843A1-7B7D-403F-B2DB-D2791968F4C3}" id="{D6C9D284-548E-4E2A-BA8A-F021D45DCA4F}">
    <text>????????</text>
  </threadedComment>
  <threadedComment ref="D78" dT="2020-11-22T02:33:23.75" personId="{5E6843A1-7B7D-403F-B2DB-D2791968F4C3}" id="{620F8912-37CF-4B51-87F1-53AF320AA500}">
    <text>Para que calcularla si no se va a utilizar?</text>
  </threadedComment>
  <threadedComment ref="E96" dT="2020-11-21T15:28:57.75" personId="{5E6843A1-7B7D-403F-B2DB-D2791968F4C3}" id="{F936A635-9658-4D83-94C4-BD9A0270F68A}">
    <text>El flujo masico lo podemos obtener de la parte del Design point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222"/>
  <sheetViews>
    <sheetView zoomScale="70" zoomScaleNormal="70" workbookViewId="0">
      <selection activeCell="G8" sqref="G8"/>
    </sheetView>
  </sheetViews>
  <sheetFormatPr defaultColWidth="9.140625" defaultRowHeight="15" x14ac:dyDescent="0.25"/>
  <cols>
    <col min="2" max="2" width="23.85546875" bestFit="1" customWidth="1"/>
    <col min="4" max="11" width="13.7109375" bestFit="1" customWidth="1"/>
  </cols>
  <sheetData>
    <row r="1" spans="1:11" x14ac:dyDescent="0.25">
      <c r="A1" t="s">
        <v>0</v>
      </c>
    </row>
    <row r="4" spans="1:11" s="26" customFormat="1" ht="30" x14ac:dyDescent="0.25">
      <c r="A4" s="61" t="s">
        <v>1</v>
      </c>
      <c r="B4" s="61"/>
      <c r="D4" s="26" t="s">
        <v>2</v>
      </c>
      <c r="E4" s="26" t="s">
        <v>2</v>
      </c>
      <c r="F4" s="26" t="s">
        <v>2</v>
      </c>
      <c r="G4" s="26" t="s">
        <v>2</v>
      </c>
      <c r="H4" s="26" t="s">
        <v>2</v>
      </c>
      <c r="I4" s="26" t="s">
        <v>2</v>
      </c>
      <c r="J4" s="26" t="s">
        <v>2</v>
      </c>
      <c r="K4" s="26" t="s">
        <v>2</v>
      </c>
    </row>
    <row r="5" spans="1:11" x14ac:dyDescent="0.25">
      <c r="A5" t="s">
        <v>3</v>
      </c>
      <c r="B5" t="s">
        <v>4</v>
      </c>
      <c r="C5" t="s">
        <v>5</v>
      </c>
      <c r="D5">
        <v>16130</v>
      </c>
      <c r="E5">
        <v>16130</v>
      </c>
      <c r="F5">
        <v>16130</v>
      </c>
      <c r="G5">
        <v>16130</v>
      </c>
      <c r="H5">
        <v>16130</v>
      </c>
      <c r="I5">
        <v>16130</v>
      </c>
      <c r="J5">
        <v>16130</v>
      </c>
      <c r="K5">
        <v>16130</v>
      </c>
    </row>
    <row r="6" spans="1:11" x14ac:dyDescent="0.25">
      <c r="B6" t="s">
        <v>6</v>
      </c>
      <c r="C6" t="s">
        <v>7</v>
      </c>
      <c r="D6">
        <v>-51.499999999999972</v>
      </c>
      <c r="E6">
        <v>-51.499999999999972</v>
      </c>
      <c r="F6">
        <v>-51.499999999999972</v>
      </c>
      <c r="G6">
        <v>-51.499999999999972</v>
      </c>
      <c r="H6">
        <v>-51.499999999999972</v>
      </c>
      <c r="I6">
        <v>-51.499999999999972</v>
      </c>
      <c r="J6">
        <v>-51.499999999999972</v>
      </c>
      <c r="K6">
        <v>-51.499999999999972</v>
      </c>
    </row>
    <row r="7" spans="1:11" x14ac:dyDescent="0.25">
      <c r="B7" t="s">
        <v>6</v>
      </c>
      <c r="C7" t="s">
        <v>8</v>
      </c>
      <c r="D7">
        <f>CONVERT(D6,"C","K")</f>
        <v>221.65</v>
      </c>
      <c r="E7">
        <f t="shared" ref="E7:K7" si="0">CONVERT(E6,"C","K")</f>
        <v>221.65</v>
      </c>
      <c r="F7">
        <f t="shared" si="0"/>
        <v>221.65</v>
      </c>
      <c r="G7">
        <f t="shared" si="0"/>
        <v>221.65</v>
      </c>
      <c r="H7">
        <f t="shared" si="0"/>
        <v>221.65</v>
      </c>
      <c r="I7">
        <f t="shared" si="0"/>
        <v>221.65</v>
      </c>
      <c r="J7">
        <f t="shared" si="0"/>
        <v>221.65</v>
      </c>
      <c r="K7">
        <f t="shared" si="0"/>
        <v>221.65</v>
      </c>
    </row>
    <row r="8" spans="1:11" x14ac:dyDescent="0.25">
      <c r="B8" t="s">
        <v>9</v>
      </c>
      <c r="C8" t="s">
        <v>10</v>
      </c>
      <c r="D8" s="36">
        <v>10.038766618853135</v>
      </c>
      <c r="E8" s="36">
        <v>10.038766618853135</v>
      </c>
      <c r="F8" s="36">
        <v>10.038766618853135</v>
      </c>
      <c r="G8" s="36">
        <v>10.038766618853135</v>
      </c>
      <c r="H8" s="36">
        <v>10.038766618853135</v>
      </c>
      <c r="I8" s="36">
        <v>10.038766618853135</v>
      </c>
      <c r="J8" s="36">
        <v>10.038766618853135</v>
      </c>
      <c r="K8" s="36">
        <v>10.038766618853135</v>
      </c>
    </row>
    <row r="9" spans="1:11" x14ac:dyDescent="0.25">
      <c r="B9" t="s">
        <v>11</v>
      </c>
      <c r="D9" s="40">
        <v>1.9992291457367513</v>
      </c>
      <c r="E9" s="40">
        <v>1.9992291457367513</v>
      </c>
      <c r="F9" s="40">
        <v>1.9992291457367513</v>
      </c>
      <c r="G9" s="40">
        <v>1.9992291457367513</v>
      </c>
      <c r="H9" s="40">
        <v>1.9992291457367513</v>
      </c>
      <c r="I9" s="40">
        <v>1.9992291457367513</v>
      </c>
      <c r="J9" s="40">
        <v>1.9992291457367513</v>
      </c>
      <c r="K9" s="40">
        <v>1.9992291457367513</v>
      </c>
    </row>
    <row r="11" spans="1:11" x14ac:dyDescent="0.25">
      <c r="A11" s="2" t="s">
        <v>12</v>
      </c>
      <c r="B11" s="2"/>
    </row>
    <row r="12" spans="1:11" x14ac:dyDescent="0.25">
      <c r="B12" t="s">
        <v>13</v>
      </c>
      <c r="C12" t="s">
        <v>14</v>
      </c>
      <c r="D12" s="23">
        <v>1005.5464824120608</v>
      </c>
      <c r="E12" s="23">
        <v>1005.5464824120608</v>
      </c>
      <c r="F12" s="23">
        <v>1005.5464824120608</v>
      </c>
      <c r="G12" s="23">
        <v>1005.5464824120608</v>
      </c>
      <c r="H12" s="23">
        <v>1005.5464824120608</v>
      </c>
      <c r="I12" s="23">
        <v>1005.5464824120608</v>
      </c>
      <c r="J12" s="23">
        <v>1005.5464824120608</v>
      </c>
      <c r="K12" s="23">
        <v>1005.5464824120608</v>
      </c>
    </row>
    <row r="13" spans="1:11" x14ac:dyDescent="0.25">
      <c r="B13" t="s">
        <v>15</v>
      </c>
      <c r="D13">
        <v>1.4</v>
      </c>
      <c r="E13">
        <v>1.4</v>
      </c>
      <c r="F13">
        <v>1.4</v>
      </c>
      <c r="G13">
        <v>1.4</v>
      </c>
      <c r="H13">
        <v>1.4</v>
      </c>
      <c r="I13">
        <v>1.4</v>
      </c>
      <c r="J13">
        <v>1.4</v>
      </c>
      <c r="K13">
        <v>1.4</v>
      </c>
    </row>
    <row r="14" spans="1:11" x14ac:dyDescent="0.25">
      <c r="B14" t="s">
        <v>16</v>
      </c>
      <c r="C14" t="s">
        <v>17</v>
      </c>
      <c r="D14" s="13">
        <v>1169.5404045015168</v>
      </c>
      <c r="E14" s="13">
        <v>1169.5404045015168</v>
      </c>
      <c r="F14" s="13">
        <v>1169.5404045015168</v>
      </c>
      <c r="G14" s="13">
        <v>1169.5404045015168</v>
      </c>
      <c r="H14" s="13">
        <v>1169.5404045015168</v>
      </c>
      <c r="I14" s="13">
        <v>1169.5404045015168</v>
      </c>
      <c r="J14" s="13">
        <v>1169.5404045015168</v>
      </c>
      <c r="K14" s="13">
        <v>1169.5404045015168</v>
      </c>
    </row>
    <row r="15" spans="1:11" x14ac:dyDescent="0.25">
      <c r="B15" t="s">
        <v>18</v>
      </c>
      <c r="D15">
        <v>1.33</v>
      </c>
      <c r="E15">
        <v>1.33</v>
      </c>
      <c r="F15">
        <v>1.33</v>
      </c>
      <c r="G15">
        <v>1.33</v>
      </c>
      <c r="H15">
        <v>1.33</v>
      </c>
      <c r="I15">
        <v>1.33</v>
      </c>
      <c r="J15">
        <v>1.33</v>
      </c>
      <c r="K15">
        <v>1.33</v>
      </c>
    </row>
    <row r="16" spans="1:11" x14ac:dyDescent="0.25">
      <c r="B16" t="s">
        <v>19</v>
      </c>
      <c r="C16" t="s">
        <v>17</v>
      </c>
      <c r="D16">
        <f>1.2351*1000</f>
        <v>1235.1000000000001</v>
      </c>
      <c r="E16">
        <f t="shared" ref="E16:K16" si="1">1.2351*1000</f>
        <v>1235.1000000000001</v>
      </c>
      <c r="F16">
        <f t="shared" si="1"/>
        <v>1235.1000000000001</v>
      </c>
      <c r="G16">
        <f t="shared" si="1"/>
        <v>1235.1000000000001</v>
      </c>
      <c r="H16">
        <f t="shared" si="1"/>
        <v>1235.1000000000001</v>
      </c>
      <c r="I16">
        <f t="shared" si="1"/>
        <v>1235.1000000000001</v>
      </c>
      <c r="J16">
        <f t="shared" si="1"/>
        <v>1235.1000000000001</v>
      </c>
      <c r="K16">
        <f t="shared" si="1"/>
        <v>1235.1000000000001</v>
      </c>
    </row>
    <row r="17" spans="1:13" x14ac:dyDescent="0.25">
      <c r="B17" t="s">
        <v>20</v>
      </c>
      <c r="D17">
        <v>1.3</v>
      </c>
      <c r="E17">
        <v>1.3</v>
      </c>
      <c r="F17">
        <v>1.3</v>
      </c>
      <c r="G17">
        <v>1.3</v>
      </c>
      <c r="H17">
        <v>1.3</v>
      </c>
      <c r="I17">
        <v>1.3</v>
      </c>
      <c r="J17">
        <v>1.3</v>
      </c>
      <c r="K17">
        <v>1.3</v>
      </c>
    </row>
    <row r="18" spans="1:13" x14ac:dyDescent="0.25">
      <c r="B18" t="s">
        <v>21</v>
      </c>
      <c r="C18" t="s">
        <v>22</v>
      </c>
      <c r="D18">
        <v>43152.88</v>
      </c>
      <c r="E18">
        <v>43152.88</v>
      </c>
      <c r="F18">
        <v>43152.88</v>
      </c>
      <c r="G18">
        <v>43152.88</v>
      </c>
      <c r="H18">
        <v>43152.88</v>
      </c>
      <c r="I18">
        <v>43152.88</v>
      </c>
      <c r="J18">
        <v>43152.88</v>
      </c>
      <c r="K18">
        <v>43152.88</v>
      </c>
    </row>
    <row r="20" spans="1:13" x14ac:dyDescent="0.25">
      <c r="A20" t="s">
        <v>23</v>
      </c>
    </row>
    <row r="21" spans="1:13" x14ac:dyDescent="0.25">
      <c r="A21" t="s">
        <v>24</v>
      </c>
    </row>
    <row r="22" spans="1:13" x14ac:dyDescent="0.25">
      <c r="B22" t="s">
        <v>25</v>
      </c>
      <c r="C22" t="s">
        <v>26</v>
      </c>
      <c r="D22">
        <v>8382</v>
      </c>
      <c r="E22">
        <v>8382</v>
      </c>
      <c r="F22">
        <v>8382</v>
      </c>
      <c r="G22">
        <v>8382</v>
      </c>
      <c r="H22">
        <v>8382</v>
      </c>
      <c r="I22">
        <v>8382</v>
      </c>
      <c r="J22">
        <v>8382</v>
      </c>
      <c r="K22">
        <v>8382</v>
      </c>
    </row>
    <row r="23" spans="1:13" x14ac:dyDescent="0.25">
      <c r="B23" t="s">
        <v>27</v>
      </c>
      <c r="C23" t="s">
        <v>26</v>
      </c>
      <c r="D23">
        <v>5819</v>
      </c>
      <c r="E23">
        <v>5819</v>
      </c>
      <c r="F23">
        <v>5819</v>
      </c>
      <c r="G23">
        <v>5819</v>
      </c>
      <c r="H23">
        <v>5819</v>
      </c>
      <c r="I23">
        <v>5819</v>
      </c>
      <c r="J23">
        <v>5819</v>
      </c>
      <c r="K23">
        <v>5819</v>
      </c>
    </row>
    <row r="25" spans="1:13" x14ac:dyDescent="0.25">
      <c r="A25" s="9" t="s">
        <v>28</v>
      </c>
      <c r="B25" s="9"/>
      <c r="D25" s="41">
        <f>D26*D27</f>
        <v>16.226028937708243</v>
      </c>
      <c r="E25" s="41">
        <f t="shared" ref="E25:K25" si="2">E26*E27</f>
        <v>16.226028937708243</v>
      </c>
      <c r="F25" s="41">
        <f t="shared" si="2"/>
        <v>16.226028937708243</v>
      </c>
      <c r="G25" s="41">
        <f t="shared" si="2"/>
        <v>16.226028937708243</v>
      </c>
      <c r="H25" s="41">
        <f t="shared" si="2"/>
        <v>16.226028937708243</v>
      </c>
      <c r="I25" s="41">
        <f t="shared" si="2"/>
        <v>16.226028937708243</v>
      </c>
      <c r="J25" s="41">
        <f t="shared" si="2"/>
        <v>16.226028937708243</v>
      </c>
      <c r="K25" s="41">
        <f t="shared" si="2"/>
        <v>16.226028937708243</v>
      </c>
    </row>
    <row r="26" spans="1:13" x14ac:dyDescent="0.25">
      <c r="B26" t="s">
        <v>29</v>
      </c>
      <c r="C26" t="s">
        <v>30</v>
      </c>
      <c r="D26" s="12">
        <v>0.93700000000000006</v>
      </c>
      <c r="E26" s="12">
        <v>0.93700000000000006</v>
      </c>
      <c r="F26" s="12">
        <v>0.93700000000000006</v>
      </c>
      <c r="G26" s="12">
        <v>0.93700000000000006</v>
      </c>
      <c r="H26" s="12">
        <v>0.93700000000000006</v>
      </c>
      <c r="I26" s="12">
        <v>0.93700000000000006</v>
      </c>
      <c r="J26" s="12">
        <v>0.93700000000000006</v>
      </c>
      <c r="K26" s="12">
        <v>0.93700000000000006</v>
      </c>
    </row>
    <row r="27" spans="1:13" x14ac:dyDescent="0.25">
      <c r="B27" t="s">
        <v>31</v>
      </c>
      <c r="C27" t="s">
        <v>30</v>
      </c>
      <c r="D27" s="13">
        <v>17.316999933520002</v>
      </c>
      <c r="E27" s="13">
        <v>17.316999933520002</v>
      </c>
      <c r="F27" s="13">
        <v>17.316999933520002</v>
      </c>
      <c r="G27" s="13">
        <v>17.316999933520002</v>
      </c>
      <c r="H27" s="13">
        <v>17.316999933520002</v>
      </c>
      <c r="I27" s="13">
        <v>17.316999933520002</v>
      </c>
      <c r="J27" s="13">
        <v>17.316999933520002</v>
      </c>
      <c r="K27" s="13">
        <v>17.316999933520002</v>
      </c>
    </row>
    <row r="28" spans="1:13" x14ac:dyDescent="0.25">
      <c r="B28" t="s">
        <v>32</v>
      </c>
      <c r="D28" s="12">
        <v>1.2</v>
      </c>
      <c r="E28" s="12">
        <v>1.4</v>
      </c>
      <c r="F28" s="12">
        <v>1.6</v>
      </c>
      <c r="G28" s="12">
        <v>1.8</v>
      </c>
      <c r="H28" s="12">
        <v>2</v>
      </c>
      <c r="I28" s="12">
        <v>2.2000000000000002</v>
      </c>
      <c r="J28" s="12">
        <v>2.4</v>
      </c>
      <c r="K28" s="12">
        <v>2.6</v>
      </c>
      <c r="M28" s="12"/>
    </row>
    <row r="29" spans="1:13" x14ac:dyDescent="0.25">
      <c r="B29" s="2" t="s">
        <v>33</v>
      </c>
      <c r="C29" t="s">
        <v>30</v>
      </c>
      <c r="D29" s="12">
        <f>D28/1.1035343035343</f>
        <v>1.0874152223059568</v>
      </c>
      <c r="E29" s="12">
        <f t="shared" ref="E29:K29" si="3">E28/1.1035343035343</f>
        <v>1.268651092690283</v>
      </c>
      <c r="F29" s="12">
        <f t="shared" si="3"/>
        <v>1.4498869630746092</v>
      </c>
      <c r="G29" s="12">
        <f t="shared" si="3"/>
        <v>1.6311228334589354</v>
      </c>
      <c r="H29" s="12">
        <f t="shared" si="3"/>
        <v>1.8123587038432614</v>
      </c>
      <c r="I29" s="12">
        <f t="shared" si="3"/>
        <v>1.9935945742275876</v>
      </c>
      <c r="J29" s="12">
        <f t="shared" si="3"/>
        <v>2.1748304446119135</v>
      </c>
      <c r="K29" s="12">
        <f t="shared" si="3"/>
        <v>2.35606631499624</v>
      </c>
    </row>
    <row r="30" spans="1:13" x14ac:dyDescent="0.25">
      <c r="B30" s="2" t="s">
        <v>34</v>
      </c>
      <c r="C30" t="s">
        <v>30</v>
      </c>
      <c r="D30" s="12">
        <f>D27/D28</f>
        <v>14.430833277933335</v>
      </c>
      <c r="E30" s="12">
        <f t="shared" ref="E30:K30" si="4">E27/E28</f>
        <v>12.369285666800002</v>
      </c>
      <c r="F30" s="12">
        <f t="shared" si="4"/>
        <v>10.82312495845</v>
      </c>
      <c r="G30" s="12">
        <f t="shared" si="4"/>
        <v>9.6205555186222238</v>
      </c>
      <c r="H30" s="12">
        <f t="shared" si="4"/>
        <v>8.6584999667600009</v>
      </c>
      <c r="I30" s="12">
        <f t="shared" si="4"/>
        <v>7.8713636061454544</v>
      </c>
      <c r="J30" s="12">
        <f t="shared" si="4"/>
        <v>7.2154166389666674</v>
      </c>
      <c r="K30" s="12">
        <f t="shared" si="4"/>
        <v>6.6603845898153855</v>
      </c>
    </row>
    <row r="31" spans="1:13" x14ac:dyDescent="0.25">
      <c r="B31" t="s">
        <v>35</v>
      </c>
      <c r="C31" t="s">
        <v>30</v>
      </c>
      <c r="D31" s="13">
        <v>0.96</v>
      </c>
      <c r="E31" s="13">
        <v>0.96</v>
      </c>
      <c r="F31" s="13">
        <v>0.96</v>
      </c>
      <c r="G31" s="13">
        <v>0.96</v>
      </c>
      <c r="H31" s="13">
        <v>0.96</v>
      </c>
      <c r="I31" s="13">
        <v>0.96</v>
      </c>
      <c r="J31" s="13">
        <v>0.96</v>
      </c>
      <c r="K31" s="13">
        <v>0.96</v>
      </c>
    </row>
    <row r="32" spans="1:13" x14ac:dyDescent="0.25">
      <c r="B32" t="s">
        <v>36</v>
      </c>
      <c r="C32" t="s">
        <v>30</v>
      </c>
      <c r="D32" s="13">
        <v>0.99</v>
      </c>
      <c r="E32" s="13">
        <v>0.99</v>
      </c>
      <c r="F32" s="13">
        <v>0.99</v>
      </c>
      <c r="G32" s="13">
        <v>0.99</v>
      </c>
      <c r="H32" s="13">
        <v>0.99</v>
      </c>
      <c r="I32" s="13">
        <v>0.99</v>
      </c>
      <c r="J32" s="13">
        <v>0.99</v>
      </c>
      <c r="K32" s="13">
        <v>0.99</v>
      </c>
    </row>
    <row r="33" spans="1:11" x14ac:dyDescent="0.25">
      <c r="B33" t="s">
        <v>37</v>
      </c>
      <c r="D33" s="13">
        <f>18.392/18.578</f>
        <v>0.98998815803638718</v>
      </c>
      <c r="E33" s="13">
        <f t="shared" ref="E33:K33" si="5">18.392/18.578</f>
        <v>0.98998815803638718</v>
      </c>
      <c r="F33" s="13">
        <f t="shared" si="5"/>
        <v>0.98998815803638718</v>
      </c>
      <c r="G33" s="13">
        <f t="shared" si="5"/>
        <v>0.98998815803638718</v>
      </c>
      <c r="H33" s="13">
        <f t="shared" si="5"/>
        <v>0.98998815803638718</v>
      </c>
      <c r="I33" s="13">
        <f t="shared" si="5"/>
        <v>0.98998815803638718</v>
      </c>
      <c r="J33" s="13">
        <f t="shared" si="5"/>
        <v>0.98998815803638718</v>
      </c>
      <c r="K33" s="13">
        <f t="shared" si="5"/>
        <v>0.98998815803638718</v>
      </c>
    </row>
    <row r="34" spans="1:11" x14ac:dyDescent="0.25">
      <c r="B34" t="s">
        <v>38</v>
      </c>
      <c r="C34" t="s">
        <v>30</v>
      </c>
      <c r="D34" s="13">
        <f>16.824/16.994</f>
        <v>0.98999646934212082</v>
      </c>
      <c r="E34" s="13">
        <f t="shared" ref="E34:K34" si="6">16.824/16.994</f>
        <v>0.98999646934212082</v>
      </c>
      <c r="F34" s="13">
        <f t="shared" si="6"/>
        <v>0.98999646934212082</v>
      </c>
      <c r="G34" s="13">
        <f t="shared" si="6"/>
        <v>0.98999646934212082</v>
      </c>
      <c r="H34" s="13">
        <f t="shared" si="6"/>
        <v>0.98999646934212082</v>
      </c>
      <c r="I34" s="13">
        <f t="shared" si="6"/>
        <v>0.98999646934212082</v>
      </c>
      <c r="J34" s="13">
        <f t="shared" si="6"/>
        <v>0.98999646934212082</v>
      </c>
      <c r="K34" s="13">
        <f t="shared" si="6"/>
        <v>0.98999646934212082</v>
      </c>
    </row>
    <row r="35" spans="1:11" x14ac:dyDescent="0.25">
      <c r="B35" t="s">
        <v>39</v>
      </c>
      <c r="C35" t="s">
        <v>30</v>
      </c>
      <c r="D35" s="13">
        <v>0.99</v>
      </c>
      <c r="E35" s="13">
        <v>0.99</v>
      </c>
      <c r="F35" s="13">
        <v>0.99</v>
      </c>
      <c r="G35" s="13">
        <v>0.99</v>
      </c>
      <c r="H35" s="13">
        <v>0.99</v>
      </c>
      <c r="I35" s="13">
        <v>0.99</v>
      </c>
      <c r="J35" s="13">
        <v>0.99</v>
      </c>
      <c r="K35" s="13">
        <v>0.99</v>
      </c>
    </row>
    <row r="36" spans="1:11" x14ac:dyDescent="0.25">
      <c r="B36" t="s">
        <v>40</v>
      </c>
      <c r="D36" s="13">
        <v>0.99</v>
      </c>
      <c r="E36" s="13">
        <v>0.99</v>
      </c>
      <c r="F36" s="13">
        <v>0.99</v>
      </c>
      <c r="G36" s="13">
        <v>0.99</v>
      </c>
      <c r="H36" s="13">
        <v>0.99</v>
      </c>
      <c r="I36" s="13">
        <v>0.99</v>
      </c>
      <c r="J36" s="13">
        <v>0.99</v>
      </c>
      <c r="K36" s="13">
        <v>0.99</v>
      </c>
    </row>
    <row r="37" spans="1:11" x14ac:dyDescent="0.25">
      <c r="B37" t="s">
        <v>41</v>
      </c>
      <c r="D37" s="13">
        <f>38.362/38.75</f>
        <v>0.98998709677419361</v>
      </c>
      <c r="E37" s="13">
        <f t="shared" ref="E37:K37" si="7">38.362/38.75</f>
        <v>0.98998709677419361</v>
      </c>
      <c r="F37" s="13">
        <f t="shared" si="7"/>
        <v>0.98998709677419361</v>
      </c>
      <c r="G37" s="13">
        <f t="shared" si="7"/>
        <v>0.98998709677419361</v>
      </c>
      <c r="H37" s="13">
        <f t="shared" si="7"/>
        <v>0.98998709677419361</v>
      </c>
      <c r="I37" s="13">
        <f t="shared" si="7"/>
        <v>0.98998709677419361</v>
      </c>
      <c r="J37" s="13">
        <f t="shared" si="7"/>
        <v>0.98998709677419361</v>
      </c>
      <c r="K37" s="13">
        <f t="shared" si="7"/>
        <v>0.98998709677419361</v>
      </c>
    </row>
    <row r="38" spans="1:11" x14ac:dyDescent="0.25">
      <c r="D38" s="13"/>
      <c r="E38" s="13"/>
      <c r="F38" s="13"/>
      <c r="G38" s="13"/>
      <c r="H38" s="13"/>
      <c r="I38" s="13"/>
      <c r="J38" s="13"/>
      <c r="K38" s="13"/>
    </row>
    <row r="39" spans="1:11" x14ac:dyDescent="0.25">
      <c r="D39" s="13"/>
      <c r="E39" s="13"/>
      <c r="F39" s="13"/>
      <c r="G39" s="13"/>
      <c r="H39" s="13"/>
      <c r="I39" s="13"/>
      <c r="J39" s="13"/>
      <c r="K39" s="13"/>
    </row>
    <row r="40" spans="1:11" x14ac:dyDescent="0.25">
      <c r="D40" s="13"/>
      <c r="E40" s="13"/>
      <c r="F40" s="13"/>
      <c r="G40" s="13"/>
      <c r="H40" s="13"/>
      <c r="I40" s="13"/>
      <c r="J40" s="13"/>
      <c r="K40" s="13"/>
    </row>
    <row r="42" spans="1:11" x14ac:dyDescent="0.25">
      <c r="A42" s="10" t="s">
        <v>42</v>
      </c>
      <c r="B42" s="10"/>
    </row>
    <row r="43" spans="1:11" x14ac:dyDescent="0.25">
      <c r="B43" t="s">
        <v>43</v>
      </c>
      <c r="D43" s="27">
        <v>0.91785332807875319</v>
      </c>
      <c r="E43" s="27">
        <v>0.91785332807875319</v>
      </c>
      <c r="F43" s="27">
        <v>0.91785332807875319</v>
      </c>
      <c r="G43" s="27">
        <v>0.91785332807875319</v>
      </c>
      <c r="H43" s="27">
        <v>0.91785332807875319</v>
      </c>
      <c r="I43" s="27">
        <v>0.91785332807875319</v>
      </c>
      <c r="J43" s="27">
        <v>0.91785332807875319</v>
      </c>
      <c r="K43" s="27">
        <v>0.91785332807875319</v>
      </c>
    </row>
    <row r="44" spans="1:11" x14ac:dyDescent="0.25">
      <c r="B44" t="s">
        <v>44</v>
      </c>
      <c r="C44" t="s">
        <v>30</v>
      </c>
      <c r="D44" s="29">
        <v>0.91095454640180418</v>
      </c>
      <c r="E44" s="29">
        <v>0.91095454640180418</v>
      </c>
      <c r="F44" s="29">
        <v>0.91095454640180418</v>
      </c>
      <c r="G44" s="29">
        <v>0.91095454640180418</v>
      </c>
      <c r="H44" s="29">
        <v>0.91095454640180418</v>
      </c>
      <c r="I44" s="29">
        <v>0.91095454640180418</v>
      </c>
      <c r="J44" s="29">
        <v>0.91095454640180418</v>
      </c>
      <c r="K44" s="29">
        <v>0.91095454640180418</v>
      </c>
    </row>
    <row r="45" spans="1:11" x14ac:dyDescent="0.25">
      <c r="B45" t="s">
        <v>45</v>
      </c>
      <c r="C45" t="s">
        <v>30</v>
      </c>
      <c r="D45" s="29">
        <v>0.91</v>
      </c>
      <c r="E45" s="29">
        <v>0.91</v>
      </c>
      <c r="F45" s="29">
        <v>0.91</v>
      </c>
      <c r="G45" s="29">
        <v>0.91</v>
      </c>
      <c r="H45" s="29">
        <v>0.91</v>
      </c>
      <c r="I45" s="29">
        <v>0.91</v>
      </c>
      <c r="J45" s="29">
        <v>0.91</v>
      </c>
      <c r="K45" s="29">
        <v>0.91</v>
      </c>
    </row>
    <row r="46" spans="1:11" x14ac:dyDescent="0.25">
      <c r="B46" t="s">
        <v>35</v>
      </c>
      <c r="C46" t="s">
        <v>30</v>
      </c>
      <c r="D46" s="29">
        <v>0.99950000000000006</v>
      </c>
      <c r="E46" s="29">
        <v>0.99950000000000006</v>
      </c>
      <c r="F46" s="29">
        <v>0.99950000000000006</v>
      </c>
      <c r="G46" s="29">
        <v>0.99950000000000006</v>
      </c>
      <c r="H46" s="29">
        <v>0.99950000000000006</v>
      </c>
      <c r="I46" s="29">
        <v>0.99950000000000006</v>
      </c>
      <c r="J46" s="29">
        <v>0.99950000000000006</v>
      </c>
      <c r="K46" s="29">
        <v>0.99950000000000006</v>
      </c>
    </row>
    <row r="47" spans="1:11" x14ac:dyDescent="0.25">
      <c r="B47" t="s">
        <v>36</v>
      </c>
      <c r="C47" t="s">
        <v>30</v>
      </c>
      <c r="D47" s="29">
        <v>0.99</v>
      </c>
      <c r="E47" s="29">
        <v>0.99</v>
      </c>
      <c r="F47" s="29">
        <v>0.99</v>
      </c>
      <c r="G47" s="29">
        <v>0.99</v>
      </c>
      <c r="H47" s="29">
        <v>0.99</v>
      </c>
      <c r="I47" s="29">
        <v>0.99</v>
      </c>
      <c r="J47" s="29">
        <v>0.99</v>
      </c>
      <c r="K47" s="29">
        <v>0.99</v>
      </c>
    </row>
    <row r="48" spans="1:11" x14ac:dyDescent="0.25">
      <c r="B48" t="s">
        <v>46</v>
      </c>
      <c r="C48" t="s">
        <v>30</v>
      </c>
      <c r="D48" s="29">
        <v>0.84889995776661953</v>
      </c>
      <c r="E48" s="29">
        <v>0.84889995776661953</v>
      </c>
      <c r="F48" s="29">
        <v>0.84889995776661953</v>
      </c>
      <c r="G48" s="29">
        <v>0.84889995776661953</v>
      </c>
      <c r="H48" s="29">
        <v>0.84889995776661953</v>
      </c>
      <c r="I48" s="29">
        <v>0.84889995776661953</v>
      </c>
      <c r="J48" s="29">
        <v>0.84889995776661953</v>
      </c>
      <c r="K48" s="29">
        <v>0.84889995776661953</v>
      </c>
    </row>
    <row r="49" spans="1:11" x14ac:dyDescent="0.25">
      <c r="B49" t="s">
        <v>47</v>
      </c>
      <c r="C49" t="s">
        <v>30</v>
      </c>
      <c r="D49" s="29">
        <v>0.9479859899773776</v>
      </c>
      <c r="E49" s="29">
        <v>0.9479859899773776</v>
      </c>
      <c r="F49" s="29">
        <v>0.9479859899773776</v>
      </c>
      <c r="G49" s="29">
        <v>0.9479859899773776</v>
      </c>
      <c r="H49" s="29">
        <v>0.9479859899773776</v>
      </c>
      <c r="I49" s="29">
        <v>0.9479859899773776</v>
      </c>
      <c r="J49" s="29">
        <v>0.9479859899773776</v>
      </c>
      <c r="K49" s="29">
        <v>0.9479859899773776</v>
      </c>
    </row>
    <row r="50" spans="1:11" x14ac:dyDescent="0.25">
      <c r="B50" t="s">
        <v>48</v>
      </c>
      <c r="C50" t="s">
        <v>30</v>
      </c>
      <c r="D50" s="29">
        <v>0.99</v>
      </c>
      <c r="E50" s="29">
        <v>0.99</v>
      </c>
      <c r="F50" s="29">
        <v>0.99</v>
      </c>
      <c r="G50" s="29">
        <v>0.99</v>
      </c>
      <c r="H50" s="29">
        <v>0.99</v>
      </c>
      <c r="I50" s="29">
        <v>0.99</v>
      </c>
      <c r="J50" s="29">
        <v>0.99</v>
      </c>
      <c r="K50" s="29">
        <v>0.99</v>
      </c>
    </row>
    <row r="51" spans="1:11" x14ac:dyDescent="0.25">
      <c r="B51" t="s">
        <v>49</v>
      </c>
      <c r="C51" t="s">
        <v>30</v>
      </c>
      <c r="D51" s="29">
        <v>0.99</v>
      </c>
      <c r="E51" s="29">
        <v>0.99</v>
      </c>
      <c r="F51" s="29">
        <v>0.99</v>
      </c>
      <c r="G51" s="29">
        <v>0.99</v>
      </c>
      <c r="H51" s="29">
        <v>0.99</v>
      </c>
      <c r="I51" s="29">
        <v>0.99</v>
      </c>
      <c r="J51" s="29">
        <v>0.99</v>
      </c>
      <c r="K51" s="29">
        <v>0.99</v>
      </c>
    </row>
    <row r="52" spans="1:11" x14ac:dyDescent="0.25">
      <c r="D52" s="29"/>
      <c r="E52" s="29"/>
      <c r="F52" s="29"/>
      <c r="G52" s="29"/>
      <c r="H52" s="29"/>
      <c r="I52" s="29"/>
      <c r="J52" s="29"/>
      <c r="K52" s="29"/>
    </row>
    <row r="53" spans="1:11" x14ac:dyDescent="0.25">
      <c r="B53" t="s">
        <v>50</v>
      </c>
      <c r="C53" t="s">
        <v>30</v>
      </c>
      <c r="D53" s="12">
        <f>(D29^((D13-1)/D13)-1)/(D29^((D13-1)/(D13*D44))-1)</f>
        <v>0.90988466695102843</v>
      </c>
      <c r="E53" s="12">
        <f t="shared" ref="E53:K53" si="8">(E29^((E13-1)/E13)-1)/(E29^((E13-1)/(E13*E44))-1)</f>
        <v>0.90789675480001686</v>
      </c>
      <c r="F53" s="12">
        <f t="shared" si="8"/>
        <v>0.90615399164853905</v>
      </c>
      <c r="G53" s="12">
        <f t="shared" si="8"/>
        <v>0.90460088961524987</v>
      </c>
      <c r="H53" s="12">
        <f t="shared" si="8"/>
        <v>0.90319906933028637</v>
      </c>
      <c r="I53" s="12">
        <f t="shared" si="8"/>
        <v>0.90192084669178196</v>
      </c>
      <c r="J53" s="12">
        <f t="shared" si="8"/>
        <v>0.90074557640461861</v>
      </c>
      <c r="K53" s="12">
        <f t="shared" si="8"/>
        <v>0.89965743990280322</v>
      </c>
    </row>
    <row r="54" spans="1:11" x14ac:dyDescent="0.25">
      <c r="B54" t="s">
        <v>51</v>
      </c>
      <c r="C54" t="s">
        <v>30</v>
      </c>
      <c r="D54" s="12">
        <f>(D30^((D13-1)/D13)-1)/(D30^((D13-1)/(D13*D44))-1)</f>
        <v>0.87331810824929612</v>
      </c>
      <c r="E54" s="12">
        <f t="shared" ref="E54:K54" si="9">(E30^((E13-1)/E13)-1)/(E30^((E13-1)/(E13*E44))-1)</f>
        <v>0.8756783817595698</v>
      </c>
      <c r="F54" s="12">
        <f t="shared" si="9"/>
        <v>0.87770588486056667</v>
      </c>
      <c r="G54" s="12">
        <f t="shared" si="9"/>
        <v>0.87948091181574239</v>
      </c>
      <c r="H54" s="12">
        <f t="shared" si="9"/>
        <v>0.88105797265126906</v>
      </c>
      <c r="I54" s="12">
        <f t="shared" si="9"/>
        <v>0.88247574489355796</v>
      </c>
      <c r="J54" s="12">
        <f t="shared" si="9"/>
        <v>0.88376265033372892</v>
      </c>
      <c r="K54" s="12">
        <f t="shared" si="9"/>
        <v>0.8849401775189798</v>
      </c>
    </row>
    <row r="55" spans="1:11" x14ac:dyDescent="0.25">
      <c r="D55" s="12"/>
      <c r="E55" s="12"/>
      <c r="F55" s="12"/>
      <c r="G55" s="12"/>
      <c r="H55" s="12"/>
      <c r="I55" s="12"/>
      <c r="J55" s="12"/>
      <c r="K55" s="12"/>
    </row>
    <row r="56" spans="1:11" x14ac:dyDescent="0.25">
      <c r="A56" s="33" t="s">
        <v>52</v>
      </c>
      <c r="B56" s="33"/>
      <c r="D56" s="12"/>
      <c r="E56" s="12"/>
      <c r="F56" s="12"/>
      <c r="G56" s="12"/>
      <c r="H56" s="12"/>
      <c r="I56" s="12"/>
      <c r="J56" s="12"/>
      <c r="K56" s="12"/>
    </row>
    <row r="57" spans="1:11" x14ac:dyDescent="0.25">
      <c r="B57" t="s">
        <v>53</v>
      </c>
      <c r="C57" t="s">
        <v>54</v>
      </c>
      <c r="D57" s="12">
        <f>(165.211-164.291)/165.211</f>
        <v>5.5686364709372615E-3</v>
      </c>
      <c r="E57" s="12">
        <f t="shared" ref="E57:K57" si="10">(165.211-164.291)/165.211</f>
        <v>5.5686364709372615E-3</v>
      </c>
      <c r="F57" s="12">
        <f t="shared" si="10"/>
        <v>5.5686364709372615E-3</v>
      </c>
      <c r="G57" s="12">
        <f t="shared" si="10"/>
        <v>5.5686364709372615E-3</v>
      </c>
      <c r="H57" s="12">
        <f t="shared" si="10"/>
        <v>5.5686364709372615E-3</v>
      </c>
      <c r="I57" s="12">
        <f t="shared" si="10"/>
        <v>5.5686364709372615E-3</v>
      </c>
      <c r="J57" s="12">
        <f t="shared" si="10"/>
        <v>5.5686364709372615E-3</v>
      </c>
      <c r="K57" s="12">
        <f t="shared" si="10"/>
        <v>5.5686364709372615E-3</v>
      </c>
    </row>
    <row r="58" spans="1:11" x14ac:dyDescent="0.25">
      <c r="B58" t="s">
        <v>55</v>
      </c>
      <c r="C58" t="s">
        <v>54</v>
      </c>
      <c r="D58" s="12">
        <f>(164.29-153.9)/164.29</f>
        <v>6.3241828474039724E-2</v>
      </c>
      <c r="E58" s="12">
        <f t="shared" ref="E58:K58" si="11">(164.29-153.9)/164.29</f>
        <v>6.3241828474039724E-2</v>
      </c>
      <c r="F58" s="12">
        <f t="shared" si="11"/>
        <v>6.3241828474039724E-2</v>
      </c>
      <c r="G58" s="12">
        <f t="shared" si="11"/>
        <v>6.3241828474039724E-2</v>
      </c>
      <c r="H58" s="12">
        <f t="shared" si="11"/>
        <v>6.3241828474039724E-2</v>
      </c>
      <c r="I58" s="12">
        <f t="shared" si="11"/>
        <v>6.3241828474039724E-2</v>
      </c>
      <c r="J58" s="12">
        <f t="shared" si="11"/>
        <v>6.3241828474039724E-2</v>
      </c>
      <c r="K58" s="12">
        <f t="shared" si="11"/>
        <v>6.3241828474039724E-2</v>
      </c>
    </row>
    <row r="59" spans="1:11" x14ac:dyDescent="0.25">
      <c r="B59" t="s">
        <v>56</v>
      </c>
      <c r="C59" t="s">
        <v>54</v>
      </c>
      <c r="D59" s="12">
        <f>(163.638-156.758)/164.291</f>
        <v>4.1876913525390892E-2</v>
      </c>
      <c r="E59" s="12">
        <f t="shared" ref="E59:K59" si="12">(163.638-156.758)/164.291</f>
        <v>4.1876913525390892E-2</v>
      </c>
      <c r="F59" s="12">
        <f t="shared" si="12"/>
        <v>4.1876913525390892E-2</v>
      </c>
      <c r="G59" s="12">
        <f t="shared" si="12"/>
        <v>4.1876913525390892E-2</v>
      </c>
      <c r="H59" s="12">
        <f t="shared" si="12"/>
        <v>4.1876913525390892E-2</v>
      </c>
      <c r="I59" s="12">
        <f t="shared" si="12"/>
        <v>4.1876913525390892E-2</v>
      </c>
      <c r="J59" s="12">
        <f t="shared" si="12"/>
        <v>4.1876913525390892E-2</v>
      </c>
      <c r="K59" s="12">
        <f t="shared" si="12"/>
        <v>4.1876913525390892E-2</v>
      </c>
    </row>
    <row r="60" spans="1:11" x14ac:dyDescent="0.25">
      <c r="B60" t="s">
        <v>57</v>
      </c>
      <c r="C60" t="s">
        <v>54</v>
      </c>
      <c r="D60" s="12">
        <f>(165.667-163.638)/164.291</f>
        <v>1.2350037433578202E-2</v>
      </c>
      <c r="E60" s="12">
        <f t="shared" ref="E60:K60" si="13">(165.667-163.638)/164.291</f>
        <v>1.2350037433578202E-2</v>
      </c>
      <c r="F60" s="12">
        <f t="shared" si="13"/>
        <v>1.2350037433578202E-2</v>
      </c>
      <c r="G60" s="12">
        <f t="shared" si="13"/>
        <v>1.2350037433578202E-2</v>
      </c>
      <c r="H60" s="12">
        <f t="shared" si="13"/>
        <v>1.2350037433578202E-2</v>
      </c>
      <c r="I60" s="12">
        <f t="shared" si="13"/>
        <v>1.2350037433578202E-2</v>
      </c>
      <c r="J60" s="12">
        <f t="shared" si="13"/>
        <v>1.2350037433578202E-2</v>
      </c>
      <c r="K60" s="12">
        <f t="shared" si="13"/>
        <v>1.2350037433578202E-2</v>
      </c>
    </row>
    <row r="61" spans="1:11" x14ac:dyDescent="0.25">
      <c r="B61" t="s">
        <v>58</v>
      </c>
      <c r="C61" t="s">
        <v>54</v>
      </c>
      <c r="D61" s="12">
        <f>D58-D59-D60</f>
        <v>9.0148775150706295E-3</v>
      </c>
      <c r="E61" s="12">
        <f t="shared" ref="E61:K61" si="14">E58-E59-E60</f>
        <v>9.0148775150706295E-3</v>
      </c>
      <c r="F61" s="12">
        <f t="shared" si="14"/>
        <v>9.0148775150706295E-3</v>
      </c>
      <c r="G61" s="12">
        <f t="shared" si="14"/>
        <v>9.0148775150706295E-3</v>
      </c>
      <c r="H61" s="12">
        <f t="shared" si="14"/>
        <v>9.0148775150706295E-3</v>
      </c>
      <c r="I61" s="12">
        <f t="shared" si="14"/>
        <v>9.0148775150706295E-3</v>
      </c>
      <c r="J61" s="12">
        <f t="shared" si="14"/>
        <v>9.0148775150706295E-3</v>
      </c>
      <c r="K61" s="12">
        <f t="shared" si="14"/>
        <v>9.0148775150706295E-3</v>
      </c>
    </row>
    <row r="62" spans="1:11" x14ac:dyDescent="0.25">
      <c r="B62" t="s">
        <v>59</v>
      </c>
      <c r="C62" t="s">
        <v>54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</row>
    <row r="64" spans="1:11" x14ac:dyDescent="0.25">
      <c r="D64" s="12">
        <f>(D66*D14)/(D7*D12)</f>
        <v>8.0015486432218577</v>
      </c>
      <c r="E64" s="12">
        <f t="shared" ref="E64:K64" si="15">(E66*E14)/(E7*E12)</f>
        <v>8.0015486432218577</v>
      </c>
      <c r="F64" s="12">
        <f t="shared" si="15"/>
        <v>8.0015486432218577</v>
      </c>
      <c r="G64" s="12">
        <f t="shared" si="15"/>
        <v>8.0015486432218577</v>
      </c>
      <c r="H64" s="12">
        <f t="shared" si="15"/>
        <v>8.0015486432218577</v>
      </c>
      <c r="I64" s="12">
        <f t="shared" si="15"/>
        <v>8.0015486432218577</v>
      </c>
      <c r="J64" s="12">
        <f t="shared" si="15"/>
        <v>8.0015486432218577</v>
      </c>
      <c r="K64" s="12">
        <f t="shared" si="15"/>
        <v>8.0015486432218577</v>
      </c>
    </row>
    <row r="65" spans="1:11" x14ac:dyDescent="0.25">
      <c r="B65" t="s">
        <v>60</v>
      </c>
    </row>
    <row r="66" spans="1:11" x14ac:dyDescent="0.25">
      <c r="B66" t="s">
        <v>61</v>
      </c>
      <c r="C66" t="s">
        <v>8</v>
      </c>
      <c r="D66" s="14">
        <v>1524.8555555555554</v>
      </c>
      <c r="E66" s="14">
        <v>1524.8555555555554</v>
      </c>
      <c r="F66" s="14">
        <v>1524.8555555555554</v>
      </c>
      <c r="G66" s="14">
        <v>1524.8555555555554</v>
      </c>
      <c r="H66" s="14">
        <v>1524.8555555555554</v>
      </c>
      <c r="I66" s="14">
        <v>1524.8555555555554</v>
      </c>
      <c r="J66" s="14">
        <v>1524.8555555555554</v>
      </c>
      <c r="K66" s="14">
        <v>1524.8555555555554</v>
      </c>
    </row>
    <row r="67" spans="1:11" x14ac:dyDescent="0.25">
      <c r="B67" t="s">
        <v>62</v>
      </c>
      <c r="D67" s="14"/>
      <c r="E67" s="14"/>
      <c r="F67" s="14"/>
      <c r="G67" s="14"/>
      <c r="H67" s="14"/>
      <c r="I67" s="14"/>
      <c r="J67" s="14"/>
      <c r="K67" s="14"/>
    </row>
    <row r="68" spans="1:11" x14ac:dyDescent="0.25">
      <c r="B68" t="s">
        <v>63</v>
      </c>
      <c r="D68" s="51">
        <f ca="1">D167</f>
        <v>8.0291643615444457</v>
      </c>
      <c r="E68" s="51">
        <f t="shared" ref="E68:K68" ca="1" si="16">E167</f>
        <v>3.4657712912843368</v>
      </c>
      <c r="F68" s="51">
        <f t="shared" ca="1" si="16"/>
        <v>1.9408933231677237</v>
      </c>
      <c r="G68" s="51">
        <f t="shared" ca="1" si="16"/>
        <v>1.1762545658581718</v>
      </c>
      <c r="H68" s="51">
        <f t="shared" ca="1" si="16"/>
        <v>0.71606400083879462</v>
      </c>
      <c r="I68" s="51">
        <f ca="1">I167</f>
        <v>0</v>
      </c>
      <c r="J68" s="51">
        <f t="shared" ca="1" si="16"/>
        <v>0.18782418572399834</v>
      </c>
      <c r="K68" s="51">
        <f t="shared" ca="1" si="16"/>
        <v>2.1964487731258222E-2</v>
      </c>
    </row>
    <row r="69" spans="1:11" x14ac:dyDescent="0.25">
      <c r="B69" t="s">
        <v>64</v>
      </c>
      <c r="C69" t="s">
        <v>65</v>
      </c>
      <c r="D69" s="12">
        <f t="shared" ref="D69:K69" ca="1" si="17">D76</f>
        <v>21.264426287080919</v>
      </c>
      <c r="E69" s="12">
        <f t="shared" ca="1" si="17"/>
        <v>42.993693021117892</v>
      </c>
      <c r="F69" s="12">
        <f t="shared" ca="1" si="17"/>
        <v>65.286285118696895</v>
      </c>
      <c r="G69" s="12">
        <f t="shared" ca="1" si="17"/>
        <v>88.224972855731977</v>
      </c>
      <c r="H69" s="12">
        <f t="shared" ca="1" si="17"/>
        <v>111.88393900586013</v>
      </c>
      <c r="I69" s="12">
        <f t="shared" ca="1" si="17"/>
        <v>136.33296141630666</v>
      </c>
      <c r="J69" s="12">
        <f t="shared" ca="1" si="17"/>
        <v>161.64008302539557</v>
      </c>
      <c r="K69" s="12">
        <f t="shared" ca="1" si="17"/>
        <v>187.8734557853731</v>
      </c>
    </row>
    <row r="70" spans="1:11" x14ac:dyDescent="0.25">
      <c r="B70" t="s">
        <v>66</v>
      </c>
      <c r="D70" s="12">
        <v>0.439</v>
      </c>
      <c r="E70" s="12">
        <v>0.439</v>
      </c>
      <c r="F70" s="12">
        <v>0.439</v>
      </c>
      <c r="G70" s="12">
        <v>0.439</v>
      </c>
      <c r="H70" s="12">
        <v>0.439</v>
      </c>
      <c r="I70" s="12">
        <v>0.439</v>
      </c>
      <c r="J70" s="12">
        <v>0.439</v>
      </c>
      <c r="K70" s="12">
        <v>0.439</v>
      </c>
    </row>
    <row r="71" spans="1:11" x14ac:dyDescent="0.25">
      <c r="B71" t="s">
        <v>67</v>
      </c>
      <c r="D71">
        <v>1.8</v>
      </c>
      <c r="E71">
        <v>1.8</v>
      </c>
      <c r="F71">
        <v>1.8</v>
      </c>
      <c r="G71">
        <v>1.8</v>
      </c>
      <c r="H71">
        <v>1.8</v>
      </c>
      <c r="I71">
        <v>1.8</v>
      </c>
      <c r="J71">
        <v>1.8</v>
      </c>
      <c r="K71">
        <v>1.8</v>
      </c>
    </row>
    <row r="73" spans="1:11" x14ac:dyDescent="0.25">
      <c r="A73" t="s">
        <v>68</v>
      </c>
    </row>
    <row r="74" spans="1:11" x14ac:dyDescent="0.25">
      <c r="B74" t="s">
        <v>69</v>
      </c>
      <c r="D74" s="13">
        <v>192</v>
      </c>
      <c r="E74" s="13">
        <v>192</v>
      </c>
      <c r="F74" s="13">
        <v>192</v>
      </c>
      <c r="G74" s="13">
        <v>192</v>
      </c>
      <c r="H74" s="13">
        <v>192</v>
      </c>
      <c r="I74" s="13">
        <v>192</v>
      </c>
      <c r="J74" s="13">
        <v>192</v>
      </c>
      <c r="K74" s="13">
        <v>192</v>
      </c>
    </row>
    <row r="75" spans="1:11" x14ac:dyDescent="0.25">
      <c r="B75" t="s">
        <v>70</v>
      </c>
      <c r="D75" s="13">
        <f ca="1">D76*D68</f>
        <v>0</v>
      </c>
      <c r="E75" s="13">
        <f t="shared" ref="E75:K75" ca="1" si="18">E76*E68</f>
        <v>149.00630697888212</v>
      </c>
      <c r="F75" s="13">
        <f t="shared" ca="1" si="18"/>
        <v>126.71371488130312</v>
      </c>
      <c r="G75" s="13">
        <f t="shared" ca="1" si="18"/>
        <v>103.77502714426801</v>
      </c>
      <c r="H75" s="13">
        <f t="shared" ca="1" si="18"/>
        <v>80.116060994139872</v>
      </c>
      <c r="I75" s="13">
        <f t="shared" ca="1" si="18"/>
        <v>55.667038583693383</v>
      </c>
      <c r="J75" s="13">
        <f t="shared" ca="1" si="18"/>
        <v>30.35991697460441</v>
      </c>
      <c r="K75" s="13">
        <f t="shared" ca="1" si="18"/>
        <v>4.1265442146269118</v>
      </c>
    </row>
    <row r="76" spans="1:11" x14ac:dyDescent="0.25">
      <c r="B76" t="s">
        <v>71</v>
      </c>
      <c r="C76" t="s">
        <v>65</v>
      </c>
      <c r="D76" s="13">
        <f ca="1">D74/(1+D68)</f>
        <v>0</v>
      </c>
      <c r="E76" s="13">
        <f t="shared" ref="E76:K76" ca="1" si="19">E74/(1+E68)</f>
        <v>42.993693021117885</v>
      </c>
      <c r="F76" s="13">
        <f t="shared" ca="1" si="19"/>
        <v>65.286285118696895</v>
      </c>
      <c r="G76" s="13">
        <f t="shared" ca="1" si="19"/>
        <v>88.224972855731977</v>
      </c>
      <c r="H76" s="13">
        <f t="shared" ca="1" si="19"/>
        <v>111.88393900586013</v>
      </c>
      <c r="I76" s="13">
        <f t="shared" ca="1" si="19"/>
        <v>136.33296141630663</v>
      </c>
      <c r="J76" s="13">
        <f t="shared" ca="1" si="19"/>
        <v>161.64008302539557</v>
      </c>
      <c r="K76" s="13">
        <f t="shared" ca="1" si="19"/>
        <v>187.8734557853731</v>
      </c>
    </row>
    <row r="77" spans="1:11" x14ac:dyDescent="0.25">
      <c r="B77" t="s">
        <v>72</v>
      </c>
      <c r="C77" t="s">
        <v>65</v>
      </c>
      <c r="D77" s="13">
        <f ca="1">D133</f>
        <v>0.39833794675185785</v>
      </c>
      <c r="E77" s="13">
        <f t="shared" ref="E77:K77" ca="1" si="20">E133</f>
        <v>0.80543032242506263</v>
      </c>
      <c r="F77" s="13">
        <f t="shared" ca="1" si="20"/>
        <v>1.2231142356658076</v>
      </c>
      <c r="G77" s="13">
        <f t="shared" ca="1" si="20"/>
        <v>1.6529353159291043</v>
      </c>
      <c r="H77" s="13">
        <f t="shared" ca="1" si="20"/>
        <v>2.0962800536901387</v>
      </c>
      <c r="I77" s="13">
        <f t="shared" ca="1" si="20"/>
        <v>2.5544535329910505</v>
      </c>
      <c r="J77" s="13">
        <f t="shared" ca="1" si="20"/>
        <v>3.0287290965234597</v>
      </c>
      <c r="K77" s="13">
        <f t="shared" ca="1" si="20"/>
        <v>3.5203826762382575</v>
      </c>
    </row>
    <row r="78" spans="1:11" x14ac:dyDescent="0.25">
      <c r="B78" t="s">
        <v>73</v>
      </c>
      <c r="C78" t="s">
        <v>65</v>
      </c>
      <c r="D78" s="12"/>
      <c r="E78" s="12"/>
      <c r="F78" s="12"/>
      <c r="G78" s="12"/>
      <c r="H78" s="12"/>
      <c r="I78" s="12"/>
      <c r="J78" s="12"/>
      <c r="K78" s="12"/>
    </row>
    <row r="79" spans="1:11" x14ac:dyDescent="0.25">
      <c r="B79" t="s">
        <v>74</v>
      </c>
      <c r="C79" t="s">
        <v>65</v>
      </c>
    </row>
    <row r="80" spans="1:11" x14ac:dyDescent="0.25">
      <c r="B80" t="s">
        <v>75</v>
      </c>
      <c r="C80" t="s">
        <v>65</v>
      </c>
      <c r="D80" s="12">
        <f ca="1">D76+D77-D155</f>
        <v>0.15737321309536512</v>
      </c>
      <c r="E80" s="12">
        <f t="shared" ref="E80:K80" ca="1" si="21">E76+E77-E155</f>
        <v>0.31818360085069486</v>
      </c>
      <c r="F80" s="12">
        <f t="shared" ca="1" si="21"/>
        <v>0.48316052709807877</v>
      </c>
      <c r="G80" s="12">
        <f t="shared" ca="1" si="21"/>
        <v>0.65291686903528046</v>
      </c>
      <c r="H80" s="12">
        <f t="shared" ca="1" si="21"/>
        <v>0.82800183871668764</v>
      </c>
      <c r="I80" s="12">
        <f t="shared" ca="1" si="21"/>
        <v>1.0089319770575287</v>
      </c>
      <c r="J80" s="12">
        <f t="shared" ca="1" si="21"/>
        <v>1.1962109366011191</v>
      </c>
      <c r="K80" s="12">
        <f t="shared" ca="1" si="21"/>
        <v>1.3903431415224929</v>
      </c>
    </row>
    <row r="81" spans="1:11" x14ac:dyDescent="0.25">
      <c r="D81" s="12"/>
      <c r="E81" s="12"/>
      <c r="F81" s="12"/>
      <c r="G81" s="12"/>
      <c r="H81" s="12"/>
      <c r="I81" s="12"/>
      <c r="J81" s="12"/>
      <c r="K81" s="12"/>
    </row>
    <row r="82" spans="1:11" x14ac:dyDescent="0.25">
      <c r="A82" t="s">
        <v>76</v>
      </c>
    </row>
    <row r="83" spans="1:11" x14ac:dyDescent="0.25">
      <c r="A83" t="s">
        <v>77</v>
      </c>
    </row>
    <row r="84" spans="1:11" x14ac:dyDescent="0.25">
      <c r="B84" t="s">
        <v>78</v>
      </c>
      <c r="D84" s="13">
        <f>D74</f>
        <v>192</v>
      </c>
      <c r="E84" s="13">
        <f t="shared" ref="E84:K84" si="22">E74</f>
        <v>192</v>
      </c>
      <c r="F84" s="13">
        <f t="shared" si="22"/>
        <v>192</v>
      </c>
      <c r="G84" s="13">
        <f t="shared" si="22"/>
        <v>192</v>
      </c>
      <c r="H84" s="13">
        <f t="shared" si="22"/>
        <v>192</v>
      </c>
      <c r="I84" s="13">
        <f t="shared" si="22"/>
        <v>192</v>
      </c>
      <c r="J84" s="13">
        <f t="shared" si="22"/>
        <v>192</v>
      </c>
      <c r="K84" s="13">
        <f t="shared" si="22"/>
        <v>192</v>
      </c>
    </row>
    <row r="85" spans="1:11" x14ac:dyDescent="0.25">
      <c r="B85" t="s">
        <v>79</v>
      </c>
      <c r="C85" t="s">
        <v>10</v>
      </c>
      <c r="D85" s="27">
        <f>D8</f>
        <v>10.038766618853135</v>
      </c>
      <c r="E85" s="27">
        <f t="shared" ref="E85:K85" si="23">E8</f>
        <v>10.038766618853135</v>
      </c>
      <c r="F85" s="27">
        <f t="shared" si="23"/>
        <v>10.038766618853135</v>
      </c>
      <c r="G85" s="27">
        <f t="shared" si="23"/>
        <v>10.038766618853135</v>
      </c>
      <c r="H85" s="27">
        <f t="shared" si="23"/>
        <v>10.038766618853135</v>
      </c>
      <c r="I85" s="27">
        <f t="shared" si="23"/>
        <v>10.038766618853135</v>
      </c>
      <c r="J85" s="27">
        <f t="shared" si="23"/>
        <v>10.038766618853135</v>
      </c>
      <c r="K85" s="27">
        <f t="shared" si="23"/>
        <v>10.038766618853135</v>
      </c>
    </row>
    <row r="86" spans="1:11" x14ac:dyDescent="0.25">
      <c r="B86" t="s">
        <v>80</v>
      </c>
      <c r="C86" t="s">
        <v>10</v>
      </c>
      <c r="D86" s="27">
        <f>((((D9^2)*((D13-1)/2))+1)^(D13/(D13-1)))*D85</f>
        <v>78.453689358386967</v>
      </c>
      <c r="E86" s="27">
        <f t="shared" ref="E86:K86" si="24">((((E9^2)*((E13-1)/2))+1)^(E13/(E13-1)))*E85</f>
        <v>78.453689358386967</v>
      </c>
      <c r="F86" s="27">
        <f t="shared" si="24"/>
        <v>78.453689358386967</v>
      </c>
      <c r="G86" s="27">
        <f t="shared" si="24"/>
        <v>78.453689358386967</v>
      </c>
      <c r="H86" s="27">
        <f t="shared" si="24"/>
        <v>78.453689358386967</v>
      </c>
      <c r="I86" s="27">
        <f t="shared" si="24"/>
        <v>78.453689358386967</v>
      </c>
      <c r="J86" s="27">
        <f t="shared" si="24"/>
        <v>78.453689358386967</v>
      </c>
      <c r="K86" s="27">
        <f t="shared" si="24"/>
        <v>78.453689358386967</v>
      </c>
    </row>
    <row r="87" spans="1:11" x14ac:dyDescent="0.25">
      <c r="B87" t="s">
        <v>81</v>
      </c>
      <c r="C87" t="s">
        <v>8</v>
      </c>
      <c r="D87" s="12">
        <f>D7</f>
        <v>221.65</v>
      </c>
      <c r="E87" s="12">
        <f t="shared" ref="E87:K87" si="25">E7</f>
        <v>221.65</v>
      </c>
      <c r="F87" s="12">
        <f t="shared" si="25"/>
        <v>221.65</v>
      </c>
      <c r="G87" s="12">
        <f t="shared" si="25"/>
        <v>221.65</v>
      </c>
      <c r="H87" s="12">
        <f t="shared" si="25"/>
        <v>221.65</v>
      </c>
      <c r="I87" s="12">
        <f t="shared" si="25"/>
        <v>221.65</v>
      </c>
      <c r="J87" s="12">
        <f t="shared" si="25"/>
        <v>221.65</v>
      </c>
      <c r="K87" s="12">
        <f t="shared" si="25"/>
        <v>221.65</v>
      </c>
    </row>
    <row r="88" spans="1:11" x14ac:dyDescent="0.25">
      <c r="B88" t="s">
        <v>82</v>
      </c>
      <c r="C88" t="s">
        <v>8</v>
      </c>
      <c r="D88" s="12">
        <f>((((D9^2)*((D13-1)/2))+1))*D87</f>
        <v>398.83333846364906</v>
      </c>
      <c r="E88" s="12">
        <f t="shared" ref="E88:K88" si="26">((((E9^2)*((E13-1)/2))+1))*E87</f>
        <v>398.83333846364906</v>
      </c>
      <c r="F88" s="12">
        <f t="shared" si="26"/>
        <v>398.83333846364906</v>
      </c>
      <c r="G88" s="12">
        <f t="shared" si="26"/>
        <v>398.83333846364906</v>
      </c>
      <c r="H88" s="12">
        <f t="shared" si="26"/>
        <v>398.83333846364906</v>
      </c>
      <c r="I88" s="12">
        <f t="shared" si="26"/>
        <v>398.83333846364906</v>
      </c>
      <c r="J88" s="12">
        <f t="shared" si="26"/>
        <v>398.83333846364906</v>
      </c>
      <c r="K88" s="12">
        <f t="shared" si="26"/>
        <v>398.83333846364906</v>
      </c>
    </row>
    <row r="89" spans="1:11" x14ac:dyDescent="0.25">
      <c r="B89" t="s">
        <v>83</v>
      </c>
      <c r="C89" t="s">
        <v>84</v>
      </c>
      <c r="D89" s="12">
        <f>SQRT((D13-1)*D12*D87)</f>
        <v>298.58290495380555</v>
      </c>
      <c r="E89" s="12">
        <f t="shared" ref="E89:K89" si="27">SQRT((E13-1)*E12*E87)</f>
        <v>298.58290495380555</v>
      </c>
      <c r="F89" s="12">
        <f t="shared" si="27"/>
        <v>298.58290495380555</v>
      </c>
      <c r="G89" s="12">
        <f t="shared" si="27"/>
        <v>298.58290495380555</v>
      </c>
      <c r="H89" s="12">
        <f t="shared" si="27"/>
        <v>298.58290495380555</v>
      </c>
      <c r="I89" s="12">
        <f t="shared" si="27"/>
        <v>298.58290495380555</v>
      </c>
      <c r="J89" s="12">
        <f t="shared" si="27"/>
        <v>298.58290495380555</v>
      </c>
      <c r="K89" s="12">
        <f t="shared" si="27"/>
        <v>298.58290495380555</v>
      </c>
    </row>
    <row r="90" spans="1:11" x14ac:dyDescent="0.25">
      <c r="B90" t="s">
        <v>85</v>
      </c>
      <c r="C90" t="s">
        <v>84</v>
      </c>
      <c r="D90" s="12">
        <f>D9*D89</f>
        <v>596.93564600239426</v>
      </c>
      <c r="E90" s="12">
        <f t="shared" ref="E90:K90" si="28">E9*E89</f>
        <v>596.93564600239426</v>
      </c>
      <c r="F90" s="12">
        <f t="shared" si="28"/>
        <v>596.93564600239426</v>
      </c>
      <c r="G90" s="12">
        <f t="shared" si="28"/>
        <v>596.93564600239426</v>
      </c>
      <c r="H90" s="12">
        <f t="shared" si="28"/>
        <v>596.93564600239426</v>
      </c>
      <c r="I90" s="12">
        <f t="shared" si="28"/>
        <v>596.93564600239426</v>
      </c>
      <c r="J90" s="12">
        <f t="shared" si="28"/>
        <v>596.93564600239426</v>
      </c>
      <c r="K90" s="12">
        <f t="shared" si="28"/>
        <v>596.93564600239426</v>
      </c>
    </row>
    <row r="91" spans="1:11" x14ac:dyDescent="0.25">
      <c r="B91" t="s">
        <v>86</v>
      </c>
      <c r="C91" t="s">
        <v>87</v>
      </c>
      <c r="D91" s="12">
        <f>((D13-1)/D13)*D12/1000</f>
        <v>0.28729899497487438</v>
      </c>
      <c r="E91" s="12">
        <f t="shared" ref="E91:K91" si="29">((E13-1)/E13)*E12/1000</f>
        <v>0.28729899497487438</v>
      </c>
      <c r="F91" s="12">
        <f t="shared" si="29"/>
        <v>0.28729899497487438</v>
      </c>
      <c r="G91" s="12">
        <f t="shared" si="29"/>
        <v>0.28729899497487438</v>
      </c>
      <c r="H91" s="12">
        <f t="shared" si="29"/>
        <v>0.28729899497487438</v>
      </c>
      <c r="I91" s="12">
        <f t="shared" si="29"/>
        <v>0.28729899497487438</v>
      </c>
      <c r="J91" s="12">
        <f t="shared" si="29"/>
        <v>0.28729899497487438</v>
      </c>
      <c r="K91" s="12">
        <f t="shared" si="29"/>
        <v>0.28729899497487438</v>
      </c>
    </row>
    <row r="92" spans="1:11" x14ac:dyDescent="0.25">
      <c r="D92" s="12"/>
      <c r="E92" s="12"/>
      <c r="F92" s="12"/>
      <c r="G92" s="12"/>
      <c r="H92" s="12"/>
      <c r="I92" s="12"/>
      <c r="J92" s="12"/>
      <c r="K92" s="12"/>
    </row>
    <row r="93" spans="1:11" x14ac:dyDescent="0.25">
      <c r="A93" t="s">
        <v>88</v>
      </c>
      <c r="D93" s="12"/>
      <c r="E93" s="12"/>
      <c r="F93" s="12"/>
      <c r="G93" s="12"/>
      <c r="H93" s="12"/>
      <c r="I93" s="12"/>
      <c r="J93" s="12"/>
      <c r="K93" s="12"/>
    </row>
    <row r="94" spans="1:11" x14ac:dyDescent="0.25">
      <c r="B94" t="s">
        <v>89</v>
      </c>
      <c r="D94" s="12">
        <f>D84</f>
        <v>192</v>
      </c>
      <c r="E94" s="12">
        <f t="shared" ref="E94:K94" si="30">E84</f>
        <v>192</v>
      </c>
      <c r="F94" s="12">
        <f t="shared" si="30"/>
        <v>192</v>
      </c>
      <c r="G94" s="12">
        <f t="shared" si="30"/>
        <v>192</v>
      </c>
      <c r="H94" s="12">
        <f t="shared" si="30"/>
        <v>192</v>
      </c>
      <c r="I94" s="12">
        <f t="shared" si="30"/>
        <v>192</v>
      </c>
      <c r="J94" s="12">
        <f t="shared" si="30"/>
        <v>192</v>
      </c>
      <c r="K94" s="12">
        <f t="shared" si="30"/>
        <v>192</v>
      </c>
    </row>
    <row r="95" spans="1:11" x14ac:dyDescent="0.25">
      <c r="B95" t="s">
        <v>90</v>
      </c>
      <c r="C95" t="s">
        <v>10</v>
      </c>
      <c r="D95" s="12">
        <f>D86</f>
        <v>78.453689358386967</v>
      </c>
      <c r="E95" s="12">
        <f t="shared" ref="E95:K95" si="31">E86</f>
        <v>78.453689358386967</v>
      </c>
      <c r="F95" s="12">
        <f t="shared" si="31"/>
        <v>78.453689358386967</v>
      </c>
      <c r="G95" s="12">
        <f t="shared" si="31"/>
        <v>78.453689358386967</v>
      </c>
      <c r="H95" s="12">
        <f t="shared" si="31"/>
        <v>78.453689358386967</v>
      </c>
      <c r="I95" s="12">
        <f t="shared" si="31"/>
        <v>78.453689358386967</v>
      </c>
      <c r="J95" s="12">
        <f t="shared" si="31"/>
        <v>78.453689358386967</v>
      </c>
      <c r="K95" s="12">
        <f t="shared" si="31"/>
        <v>78.453689358386967</v>
      </c>
    </row>
    <row r="96" spans="1:11" x14ac:dyDescent="0.25">
      <c r="B96" t="s">
        <v>91</v>
      </c>
      <c r="C96" t="s">
        <v>10</v>
      </c>
      <c r="D96" s="12">
        <f>D95*D26</f>
        <v>73.511106928808587</v>
      </c>
      <c r="E96" s="12">
        <f t="shared" ref="E96:K96" si="32">E95*E26</f>
        <v>73.511106928808587</v>
      </c>
      <c r="F96" s="12">
        <f t="shared" si="32"/>
        <v>73.511106928808587</v>
      </c>
      <c r="G96" s="12">
        <f t="shared" si="32"/>
        <v>73.511106928808587</v>
      </c>
      <c r="H96" s="12">
        <f t="shared" si="32"/>
        <v>73.511106928808587</v>
      </c>
      <c r="I96" s="12">
        <f t="shared" si="32"/>
        <v>73.511106928808587</v>
      </c>
      <c r="J96" s="12">
        <f t="shared" si="32"/>
        <v>73.511106928808587</v>
      </c>
      <c r="K96" s="12">
        <f t="shared" si="32"/>
        <v>73.511106928808587</v>
      </c>
    </row>
    <row r="97" spans="1:11" x14ac:dyDescent="0.25">
      <c r="B97" t="s">
        <v>92</v>
      </c>
      <c r="C97" t="s">
        <v>8</v>
      </c>
      <c r="D97" s="12">
        <f>D88</f>
        <v>398.83333846364906</v>
      </c>
      <c r="E97" s="12">
        <f t="shared" ref="E97:K97" si="33">E88</f>
        <v>398.83333846364906</v>
      </c>
      <c r="F97" s="12">
        <f t="shared" si="33"/>
        <v>398.83333846364906</v>
      </c>
      <c r="G97" s="12">
        <f t="shared" si="33"/>
        <v>398.83333846364906</v>
      </c>
      <c r="H97" s="12">
        <f t="shared" si="33"/>
        <v>398.83333846364906</v>
      </c>
      <c r="I97" s="12">
        <f t="shared" si="33"/>
        <v>398.83333846364906</v>
      </c>
      <c r="J97" s="12">
        <f t="shared" si="33"/>
        <v>398.83333846364906</v>
      </c>
      <c r="K97" s="12">
        <f t="shared" si="33"/>
        <v>398.83333846364906</v>
      </c>
    </row>
    <row r="98" spans="1:11" x14ac:dyDescent="0.25">
      <c r="B98" t="s">
        <v>93</v>
      </c>
      <c r="C98" t="s">
        <v>8</v>
      </c>
      <c r="D98" s="12">
        <f>D97</f>
        <v>398.83333846364906</v>
      </c>
      <c r="E98" s="12">
        <f t="shared" ref="E98:K98" si="34">E97</f>
        <v>398.83333846364906</v>
      </c>
      <c r="F98" s="12">
        <f t="shared" si="34"/>
        <v>398.83333846364906</v>
      </c>
      <c r="G98" s="12">
        <f t="shared" si="34"/>
        <v>398.83333846364906</v>
      </c>
      <c r="H98" s="12">
        <f t="shared" si="34"/>
        <v>398.83333846364906</v>
      </c>
      <c r="I98" s="12">
        <f t="shared" si="34"/>
        <v>398.83333846364906</v>
      </c>
      <c r="J98" s="12">
        <f t="shared" si="34"/>
        <v>398.83333846364906</v>
      </c>
      <c r="K98" s="12">
        <f t="shared" si="34"/>
        <v>398.83333846364906</v>
      </c>
    </row>
    <row r="99" spans="1:11" x14ac:dyDescent="0.25">
      <c r="D99" s="12"/>
      <c r="E99" s="12"/>
      <c r="F99" s="12"/>
      <c r="G99" s="12"/>
      <c r="H99" s="12"/>
      <c r="I99" s="12"/>
      <c r="J99" s="12"/>
      <c r="K99" s="12"/>
    </row>
    <row r="100" spans="1:11" x14ac:dyDescent="0.25">
      <c r="A100" t="s">
        <v>94</v>
      </c>
    </row>
    <row r="101" spans="1:11" x14ac:dyDescent="0.25">
      <c r="B101" t="s">
        <v>95</v>
      </c>
      <c r="C101" t="s">
        <v>65</v>
      </c>
      <c r="D101" s="13">
        <f>D94</f>
        <v>192</v>
      </c>
      <c r="E101" s="13">
        <f t="shared" ref="E101:K101" si="35">E94</f>
        <v>192</v>
      </c>
      <c r="F101" s="13">
        <f t="shared" si="35"/>
        <v>192</v>
      </c>
      <c r="G101" s="13">
        <f t="shared" si="35"/>
        <v>192</v>
      </c>
      <c r="H101" s="13">
        <f t="shared" si="35"/>
        <v>192</v>
      </c>
      <c r="I101" s="13">
        <f t="shared" si="35"/>
        <v>192</v>
      </c>
      <c r="J101" s="13">
        <f t="shared" si="35"/>
        <v>192</v>
      </c>
      <c r="K101" s="13">
        <f t="shared" si="35"/>
        <v>192</v>
      </c>
    </row>
    <row r="102" spans="1:11" x14ac:dyDescent="0.25">
      <c r="B102" t="s">
        <v>96</v>
      </c>
      <c r="C102" t="s">
        <v>65</v>
      </c>
      <c r="D102" s="13">
        <f ca="1">D101-D76</f>
        <v>170.73557371291906</v>
      </c>
      <c r="E102" s="13">
        <f t="shared" ref="E102:K102" ca="1" si="36">E101-E76</f>
        <v>149.00630697888212</v>
      </c>
      <c r="F102" s="13">
        <f t="shared" ca="1" si="36"/>
        <v>126.7137148813031</v>
      </c>
      <c r="G102" s="13">
        <f t="shared" ca="1" si="36"/>
        <v>103.77502714426802</v>
      </c>
      <c r="H102" s="13">
        <f t="shared" ca="1" si="36"/>
        <v>80.116060994139872</v>
      </c>
      <c r="I102" s="13">
        <f t="shared" ca="1" si="36"/>
        <v>55.667038583693369</v>
      </c>
      <c r="J102" s="13">
        <f t="shared" ca="1" si="36"/>
        <v>30.359916974604431</v>
      </c>
      <c r="K102" s="13">
        <f t="shared" ca="1" si="36"/>
        <v>4.1265442146269038</v>
      </c>
    </row>
    <row r="103" spans="1:11" x14ac:dyDescent="0.25">
      <c r="B103" t="s">
        <v>91</v>
      </c>
      <c r="C103" t="s">
        <v>10</v>
      </c>
      <c r="D103" s="12">
        <f>D96</f>
        <v>73.511106928808587</v>
      </c>
      <c r="E103" s="12">
        <f t="shared" ref="E103:K103" si="37">E96</f>
        <v>73.511106928808587</v>
      </c>
      <c r="F103" s="12">
        <f t="shared" si="37"/>
        <v>73.511106928808587</v>
      </c>
      <c r="G103" s="12">
        <f t="shared" si="37"/>
        <v>73.511106928808587</v>
      </c>
      <c r="H103" s="12">
        <f t="shared" si="37"/>
        <v>73.511106928808587</v>
      </c>
      <c r="I103" s="12">
        <f t="shared" si="37"/>
        <v>73.511106928808587</v>
      </c>
      <c r="J103" s="12">
        <f t="shared" si="37"/>
        <v>73.511106928808587</v>
      </c>
      <c r="K103" s="12">
        <f t="shared" si="37"/>
        <v>73.511106928808587</v>
      </c>
    </row>
    <row r="104" spans="1:11" x14ac:dyDescent="0.25">
      <c r="B104" t="s">
        <v>97</v>
      </c>
      <c r="C104" t="s">
        <v>10</v>
      </c>
      <c r="D104" s="12">
        <f>D103*D28</f>
        <v>88.213328314570305</v>
      </c>
      <c r="E104" s="12">
        <f t="shared" ref="E104:K104" si="38">E103*E28</f>
        <v>102.91554970033202</v>
      </c>
      <c r="F104" s="12">
        <f t="shared" si="38"/>
        <v>117.61777108609374</v>
      </c>
      <c r="G104" s="12">
        <f t="shared" si="38"/>
        <v>132.31999247185547</v>
      </c>
      <c r="H104" s="12">
        <f t="shared" si="38"/>
        <v>147.02221385761717</v>
      </c>
      <c r="I104" s="12">
        <f t="shared" si="38"/>
        <v>161.72443524337891</v>
      </c>
      <c r="J104" s="12">
        <f t="shared" si="38"/>
        <v>176.42665662914061</v>
      </c>
      <c r="K104" s="12">
        <f t="shared" si="38"/>
        <v>191.12887801490234</v>
      </c>
    </row>
    <row r="105" spans="1:11" x14ac:dyDescent="0.25">
      <c r="B105" t="s">
        <v>98</v>
      </c>
      <c r="C105" t="s">
        <v>10</v>
      </c>
      <c r="D105" s="12">
        <f>D104*D33</f>
        <v>87.330150412400528</v>
      </c>
      <c r="E105" s="12">
        <f t="shared" ref="E105:K105" si="39">E104*E33</f>
        <v>101.88517548113396</v>
      </c>
      <c r="F105" s="12">
        <f t="shared" si="39"/>
        <v>116.44020054986738</v>
      </c>
      <c r="G105" s="12">
        <f t="shared" si="39"/>
        <v>130.99522561860081</v>
      </c>
      <c r="H105" s="12">
        <f t="shared" si="39"/>
        <v>145.55025068733423</v>
      </c>
      <c r="I105" s="12">
        <f t="shared" si="39"/>
        <v>160.10527575606767</v>
      </c>
      <c r="J105" s="12">
        <f t="shared" si="39"/>
        <v>174.66030082480106</v>
      </c>
      <c r="K105" s="12">
        <f t="shared" si="39"/>
        <v>189.2153258935345</v>
      </c>
    </row>
    <row r="106" spans="1:11" x14ac:dyDescent="0.25">
      <c r="B106" t="s">
        <v>99</v>
      </c>
      <c r="C106" t="s">
        <v>8</v>
      </c>
      <c r="D106" s="12">
        <f>D98</f>
        <v>398.83333846364906</v>
      </c>
      <c r="E106" s="12">
        <f t="shared" ref="E106:K106" si="40">E98</f>
        <v>398.83333846364906</v>
      </c>
      <c r="F106" s="12">
        <f t="shared" si="40"/>
        <v>398.83333846364906</v>
      </c>
      <c r="G106" s="12">
        <f t="shared" si="40"/>
        <v>398.83333846364906</v>
      </c>
      <c r="H106" s="12">
        <f t="shared" si="40"/>
        <v>398.83333846364906</v>
      </c>
      <c r="I106" s="12">
        <f t="shared" si="40"/>
        <v>398.83333846364906</v>
      </c>
      <c r="J106" s="12">
        <f t="shared" si="40"/>
        <v>398.83333846364906</v>
      </c>
      <c r="K106" s="12">
        <f t="shared" si="40"/>
        <v>398.83333846364906</v>
      </c>
    </row>
    <row r="107" spans="1:11" x14ac:dyDescent="0.25">
      <c r="B107" t="s">
        <v>100</v>
      </c>
      <c r="C107" t="s">
        <v>8</v>
      </c>
      <c r="D107" s="12">
        <f>D106*(D104/D103)^((D13-1)/(D13*D43))</f>
        <v>422.12338778777752</v>
      </c>
      <c r="E107" s="12">
        <f t="shared" ref="E107:K107" si="41">E106*(E104/E103)^((E13-1)/(E13*E43))</f>
        <v>442.87276042515953</v>
      </c>
      <c r="F107" s="12">
        <f t="shared" si="41"/>
        <v>461.669317256277</v>
      </c>
      <c r="G107" s="12">
        <f t="shared" si="41"/>
        <v>478.91015101142204</v>
      </c>
      <c r="H107" s="12">
        <f t="shared" si="41"/>
        <v>494.87746557235988</v>
      </c>
      <c r="I107" s="12">
        <f t="shared" si="41"/>
        <v>509.77979063012685</v>
      </c>
      <c r="J107" s="12">
        <f t="shared" si="41"/>
        <v>523.77605420835096</v>
      </c>
      <c r="K107" s="12">
        <f t="shared" si="41"/>
        <v>536.99046430938222</v>
      </c>
    </row>
    <row r="108" spans="1:11" x14ac:dyDescent="0.25">
      <c r="B108" t="s">
        <v>101</v>
      </c>
      <c r="C108" t="s">
        <v>8</v>
      </c>
      <c r="D108" s="12">
        <f>D107</f>
        <v>422.12338778777752</v>
      </c>
      <c r="E108" s="12">
        <f t="shared" ref="E108:K108" si="42">E107</f>
        <v>442.87276042515953</v>
      </c>
      <c r="F108" s="12">
        <f t="shared" si="42"/>
        <v>461.669317256277</v>
      </c>
      <c r="G108" s="12">
        <f t="shared" si="42"/>
        <v>478.91015101142204</v>
      </c>
      <c r="H108" s="12">
        <f t="shared" si="42"/>
        <v>494.87746557235988</v>
      </c>
      <c r="I108" s="12">
        <f t="shared" si="42"/>
        <v>509.77979063012685</v>
      </c>
      <c r="J108" s="12">
        <f t="shared" si="42"/>
        <v>523.77605420835096</v>
      </c>
      <c r="K108" s="12">
        <f t="shared" si="42"/>
        <v>536.99046430938222</v>
      </c>
    </row>
    <row r="109" spans="1:11" x14ac:dyDescent="0.25">
      <c r="B109" t="s">
        <v>102</v>
      </c>
      <c r="D109" s="12">
        <f>SQRT((2/(D13-1))*(((1+((D15-1)/2)*(D70^2))^(D15/(D15-1))^((D13-1)/D13))-1))</f>
        <v>0.42839478813973891</v>
      </c>
      <c r="E109" s="12">
        <f t="shared" ref="E109:K109" si="43">SQRT((2/(E13-1))*(((1+((E15-1)/2)*(E70^2))^(E15/(E15-1))^((E13-1)/E13))-1))</f>
        <v>0.42839478813973891</v>
      </c>
      <c r="F109" s="12">
        <f t="shared" si="43"/>
        <v>0.42839478813973891</v>
      </c>
      <c r="G109" s="12">
        <f t="shared" si="43"/>
        <v>0.42839478813973891</v>
      </c>
      <c r="H109" s="12">
        <f t="shared" si="43"/>
        <v>0.42839478813973891</v>
      </c>
      <c r="I109" s="12">
        <f t="shared" si="43"/>
        <v>0.42839478813973891</v>
      </c>
      <c r="J109" s="12">
        <f t="shared" si="43"/>
        <v>0.42839478813973891</v>
      </c>
      <c r="K109" s="12">
        <f t="shared" si="43"/>
        <v>0.42839478813973891</v>
      </c>
    </row>
    <row r="110" spans="1:11" x14ac:dyDescent="0.25">
      <c r="B110" t="s">
        <v>103</v>
      </c>
      <c r="D110" s="12">
        <f ca="1">(D102*D12*(D107-D106))/1000000</f>
        <v>3.9984951873091283</v>
      </c>
      <c r="E110" s="12">
        <f t="shared" ref="E110:K110" ca="1" si="44">(E102*E12*(E107-E106))/1000000</f>
        <v>6.5985484865591602</v>
      </c>
      <c r="F110" s="12">
        <f t="shared" ca="1" si="44"/>
        <v>8.0063423940179099</v>
      </c>
      <c r="G110" s="12">
        <f t="shared" ca="1" si="44"/>
        <v>8.3560645170559447</v>
      </c>
      <c r="H110" s="12">
        <f t="shared" ca="1" si="44"/>
        <v>7.7373555370247917</v>
      </c>
      <c r="I110" s="12">
        <f t="shared" ca="1" si="44"/>
        <v>6.2103158440453043</v>
      </c>
      <c r="J110" s="12">
        <f t="shared" ca="1" si="44"/>
        <v>3.8142896736437035</v>
      </c>
      <c r="K110" s="12">
        <f t="shared" ca="1" si="44"/>
        <v>0.57327360171133923</v>
      </c>
    </row>
    <row r="112" spans="1:11" x14ac:dyDescent="0.25">
      <c r="A112" t="s">
        <v>53</v>
      </c>
      <c r="D112" s="12"/>
      <c r="E112" s="12"/>
      <c r="F112" s="12"/>
      <c r="G112" s="12"/>
      <c r="H112" s="12"/>
      <c r="I112" s="12"/>
      <c r="J112" s="12"/>
      <c r="K112" s="12"/>
    </row>
    <row r="113" spans="1:11" x14ac:dyDescent="0.25">
      <c r="B113" t="s">
        <v>95</v>
      </c>
      <c r="C113" t="s">
        <v>65</v>
      </c>
      <c r="D113" s="12">
        <f>D101</f>
        <v>192</v>
      </c>
      <c r="E113" s="12">
        <f t="shared" ref="E113:K113" si="45">E101</f>
        <v>192</v>
      </c>
      <c r="F113" s="12">
        <f t="shared" si="45"/>
        <v>192</v>
      </c>
      <c r="G113" s="12">
        <f t="shared" si="45"/>
        <v>192</v>
      </c>
      <c r="H113" s="12">
        <f t="shared" si="45"/>
        <v>192</v>
      </c>
      <c r="I113" s="12">
        <f t="shared" si="45"/>
        <v>192</v>
      </c>
      <c r="J113" s="12">
        <f t="shared" si="45"/>
        <v>192</v>
      </c>
      <c r="K113" s="12">
        <f t="shared" si="45"/>
        <v>192</v>
      </c>
    </row>
    <row r="114" spans="1:11" x14ac:dyDescent="0.25">
      <c r="B114" t="s">
        <v>104</v>
      </c>
      <c r="C114" t="s">
        <v>65</v>
      </c>
      <c r="D114" s="12">
        <f ca="1">D113/(1+D68)</f>
        <v>21.26442628708093</v>
      </c>
      <c r="E114" s="12">
        <f t="shared" ref="E114:K114" ca="1" si="46">E113/(1+E68)</f>
        <v>42.993693021117885</v>
      </c>
      <c r="F114" s="12">
        <f t="shared" ca="1" si="46"/>
        <v>65.286285118696895</v>
      </c>
      <c r="G114" s="12">
        <f t="shared" ca="1" si="46"/>
        <v>88.224972855731977</v>
      </c>
      <c r="H114" s="12">
        <f t="shared" ca="1" si="46"/>
        <v>111.88393900586013</v>
      </c>
      <c r="I114" s="12">
        <f t="shared" ca="1" si="46"/>
        <v>136.33296141630663</v>
      </c>
      <c r="J114" s="12">
        <f t="shared" ca="1" si="46"/>
        <v>161.64008302539557</v>
      </c>
      <c r="K114" s="12">
        <f t="shared" ca="1" si="46"/>
        <v>187.8734557853731</v>
      </c>
    </row>
    <row r="115" spans="1:11" x14ac:dyDescent="0.25">
      <c r="B115" t="s">
        <v>91</v>
      </c>
      <c r="C115" t="s">
        <v>10</v>
      </c>
      <c r="D115" s="12">
        <f>D96</f>
        <v>73.511106928808587</v>
      </c>
      <c r="E115" s="12">
        <f t="shared" ref="E115:K115" si="47">E96</f>
        <v>73.511106928808587</v>
      </c>
      <c r="F115" s="12">
        <f t="shared" si="47"/>
        <v>73.511106928808587</v>
      </c>
      <c r="G115" s="12">
        <f t="shared" si="47"/>
        <v>73.511106928808587</v>
      </c>
      <c r="H115" s="12">
        <f t="shared" si="47"/>
        <v>73.511106928808587</v>
      </c>
      <c r="I115" s="12">
        <f t="shared" si="47"/>
        <v>73.511106928808587</v>
      </c>
      <c r="J115" s="12">
        <f t="shared" si="47"/>
        <v>73.511106928808587</v>
      </c>
      <c r="K115" s="12">
        <f t="shared" si="47"/>
        <v>73.511106928808587</v>
      </c>
    </row>
    <row r="116" spans="1:11" x14ac:dyDescent="0.25">
      <c r="B116" t="s">
        <v>105</v>
      </c>
      <c r="C116" t="s">
        <v>10</v>
      </c>
      <c r="D116" s="12">
        <f>D115*D29</f>
        <v>79.937096682947356</v>
      </c>
      <c r="E116" s="12">
        <f t="shared" ref="E116:K116" si="48">E115*E29</f>
        <v>93.259946130105249</v>
      </c>
      <c r="F116" s="12">
        <f t="shared" si="48"/>
        <v>106.58279557726314</v>
      </c>
      <c r="G116" s="12">
        <f t="shared" si="48"/>
        <v>119.90564502442103</v>
      </c>
      <c r="H116" s="12">
        <f t="shared" si="48"/>
        <v>133.22849447157893</v>
      </c>
      <c r="I116" s="12">
        <f t="shared" si="48"/>
        <v>146.55134391873682</v>
      </c>
      <c r="J116" s="12">
        <f t="shared" si="48"/>
        <v>159.87419336589471</v>
      </c>
      <c r="K116" s="12">
        <f t="shared" si="48"/>
        <v>173.1970428130526</v>
      </c>
    </row>
    <row r="117" spans="1:11" x14ac:dyDescent="0.25">
      <c r="B117" t="s">
        <v>93</v>
      </c>
      <c r="C117" t="s">
        <v>8</v>
      </c>
      <c r="D117" s="12">
        <f>D98</f>
        <v>398.83333846364906</v>
      </c>
      <c r="E117" s="12">
        <f t="shared" ref="E117:K117" si="49">E98</f>
        <v>398.83333846364906</v>
      </c>
      <c r="F117" s="12">
        <f t="shared" si="49"/>
        <v>398.83333846364906</v>
      </c>
      <c r="G117" s="12">
        <f t="shared" si="49"/>
        <v>398.83333846364906</v>
      </c>
      <c r="H117" s="12">
        <f t="shared" si="49"/>
        <v>398.83333846364906</v>
      </c>
      <c r="I117" s="12">
        <f t="shared" si="49"/>
        <v>398.83333846364906</v>
      </c>
      <c r="J117" s="12">
        <f t="shared" si="49"/>
        <v>398.83333846364906</v>
      </c>
      <c r="K117" s="12">
        <f t="shared" si="49"/>
        <v>398.83333846364906</v>
      </c>
    </row>
    <row r="118" spans="1:11" x14ac:dyDescent="0.25">
      <c r="B118" t="s">
        <v>106</v>
      </c>
      <c r="C118" t="s">
        <v>8</v>
      </c>
      <c r="D118" s="12">
        <f>D117*(D116/D115)^((D13-1)/(D13*D44))</f>
        <v>409.45540616182382</v>
      </c>
      <c r="E118" s="12">
        <f t="shared" ref="E118:K118" si="50">E117*(E116/E115)^((E13-1)/(E13*E44))</f>
        <v>429.73822389747414</v>
      </c>
      <c r="F118" s="12">
        <f t="shared" si="50"/>
        <v>448.11836019049605</v>
      </c>
      <c r="G118" s="12">
        <f t="shared" si="50"/>
        <v>464.98222969579706</v>
      </c>
      <c r="H118" s="12">
        <f t="shared" si="50"/>
        <v>480.60453079727841</v>
      </c>
      <c r="I118" s="12">
        <f t="shared" si="50"/>
        <v>495.18830143991755</v>
      </c>
      <c r="J118" s="12">
        <f t="shared" si="50"/>
        <v>508.88832130024645</v>
      </c>
      <c r="K118" s="12">
        <f t="shared" si="50"/>
        <v>521.82558259126733</v>
      </c>
    </row>
    <row r="119" spans="1:11" x14ac:dyDescent="0.25">
      <c r="B119" t="s">
        <v>103</v>
      </c>
      <c r="C119" s="7" t="s">
        <v>107</v>
      </c>
      <c r="D119" s="12">
        <f ca="1">(D114*D12*(D118-D117))/1000000</f>
        <v>0.22712497163347239</v>
      </c>
      <c r="E119" s="12">
        <f t="shared" ref="E119:K119" ca="1" si="51">(E114*E12*(E118-E117))/1000000</f>
        <v>1.3360848524447122</v>
      </c>
      <c r="F119" s="12">
        <f t="shared" ca="1" si="51"/>
        <v>3.2354825419145832</v>
      </c>
      <c r="G119" s="12">
        <f t="shared" ca="1" si="51"/>
        <v>5.8683533167459547</v>
      </c>
      <c r="H119" s="12">
        <f t="shared" ca="1" si="51"/>
        <v>9.1996272146713913</v>
      </c>
      <c r="I119" s="12">
        <f t="shared" ca="1" si="51"/>
        <v>13.209218025266644</v>
      </c>
      <c r="J119" s="12">
        <f t="shared" ca="1" si="51"/>
        <v>17.887964583576064</v>
      </c>
      <c r="K119" s="12">
        <f t="shared" ca="1" si="51"/>
        <v>23.235140385788746</v>
      </c>
    </row>
    <row r="120" spans="1:11" x14ac:dyDescent="0.25">
      <c r="D120" s="12"/>
      <c r="E120" s="12"/>
      <c r="F120" s="12"/>
      <c r="G120" s="12"/>
      <c r="H120" s="12"/>
      <c r="I120" s="12"/>
      <c r="J120" s="12"/>
      <c r="K120" s="12"/>
    </row>
    <row r="121" spans="1:11" x14ac:dyDescent="0.25">
      <c r="A121" t="s">
        <v>108</v>
      </c>
      <c r="D121" s="12"/>
      <c r="E121" s="12"/>
      <c r="F121" s="12"/>
      <c r="G121" s="12"/>
      <c r="H121" s="12"/>
      <c r="I121" s="12"/>
      <c r="J121" s="12"/>
      <c r="K121" s="12"/>
    </row>
    <row r="122" spans="1:11" x14ac:dyDescent="0.25">
      <c r="B122" t="s">
        <v>109</v>
      </c>
      <c r="C122" t="s">
        <v>65</v>
      </c>
      <c r="D122" s="12">
        <f ca="1">D114</f>
        <v>21.26442628708093</v>
      </c>
      <c r="E122" s="12">
        <f t="shared" ref="E122:K122" ca="1" si="52">E114</f>
        <v>42.993693021117885</v>
      </c>
      <c r="F122" s="12">
        <f t="shared" ca="1" si="52"/>
        <v>65.286285118696895</v>
      </c>
      <c r="G122" s="12">
        <f t="shared" ca="1" si="52"/>
        <v>88.224972855731977</v>
      </c>
      <c r="H122" s="12">
        <f t="shared" ca="1" si="52"/>
        <v>111.88393900586013</v>
      </c>
      <c r="I122" s="12">
        <f t="shared" ca="1" si="52"/>
        <v>136.33296141630663</v>
      </c>
      <c r="J122" s="12">
        <f t="shared" ca="1" si="52"/>
        <v>161.64008302539557</v>
      </c>
      <c r="K122" s="12">
        <f t="shared" ca="1" si="52"/>
        <v>187.8734557853731</v>
      </c>
    </row>
    <row r="123" spans="1:11" x14ac:dyDescent="0.25">
      <c r="B123" t="s">
        <v>110</v>
      </c>
      <c r="C123" t="s">
        <v>10</v>
      </c>
      <c r="D123" s="12">
        <f>D116*D36</f>
        <v>79.137725716117885</v>
      </c>
      <c r="E123" s="12">
        <f t="shared" ref="E123:K123" si="53">E116*E36</f>
        <v>92.327346668804196</v>
      </c>
      <c r="F123" s="12">
        <f t="shared" si="53"/>
        <v>105.51696762149051</v>
      </c>
      <c r="G123" s="12">
        <f t="shared" si="53"/>
        <v>118.70658857417682</v>
      </c>
      <c r="H123" s="12">
        <f t="shared" si="53"/>
        <v>131.89620952686315</v>
      </c>
      <c r="I123" s="12">
        <f t="shared" si="53"/>
        <v>145.08583047954946</v>
      </c>
      <c r="J123" s="12">
        <f t="shared" si="53"/>
        <v>158.27545143223577</v>
      </c>
      <c r="K123" s="12">
        <f t="shared" si="53"/>
        <v>171.46507238492208</v>
      </c>
    </row>
    <row r="124" spans="1:11" x14ac:dyDescent="0.25">
      <c r="B124" t="s">
        <v>111</v>
      </c>
      <c r="C124" t="s">
        <v>10</v>
      </c>
      <c r="D124" s="12">
        <f>D123*D30</f>
        <v>1142.0233258041146</v>
      </c>
      <c r="E124" s="12">
        <f t="shared" ref="E124:K124" si="54">E123*E30</f>
        <v>1142.0233258041146</v>
      </c>
      <c r="F124" s="12">
        <f t="shared" si="54"/>
        <v>1142.0233258041144</v>
      </c>
      <c r="G124" s="12">
        <f t="shared" si="54"/>
        <v>1142.0233258041146</v>
      </c>
      <c r="H124" s="12">
        <f t="shared" si="54"/>
        <v>1142.0233258041146</v>
      </c>
      <c r="I124" s="12">
        <f t="shared" si="54"/>
        <v>1142.0233258041144</v>
      </c>
      <c r="J124" s="12">
        <f t="shared" si="54"/>
        <v>1142.0233258041146</v>
      </c>
      <c r="K124" s="12">
        <f t="shared" si="54"/>
        <v>1142.0233258041146</v>
      </c>
    </row>
    <row r="125" spans="1:11" x14ac:dyDescent="0.25">
      <c r="B125" t="s">
        <v>112</v>
      </c>
      <c r="C125" t="s">
        <v>8</v>
      </c>
      <c r="D125" s="12">
        <f>D118</f>
        <v>409.45540616182382</v>
      </c>
      <c r="E125" s="12">
        <f t="shared" ref="E125:K125" si="55">E118</f>
        <v>429.73822389747414</v>
      </c>
      <c r="F125" s="12">
        <f t="shared" si="55"/>
        <v>448.11836019049605</v>
      </c>
      <c r="G125" s="12">
        <f t="shared" si="55"/>
        <v>464.98222969579706</v>
      </c>
      <c r="H125" s="12">
        <f t="shared" si="55"/>
        <v>480.60453079727841</v>
      </c>
      <c r="I125" s="12">
        <f t="shared" si="55"/>
        <v>495.18830143991755</v>
      </c>
      <c r="J125" s="12">
        <f t="shared" si="55"/>
        <v>508.88832130024645</v>
      </c>
      <c r="K125" s="12">
        <f t="shared" si="55"/>
        <v>521.82558259126733</v>
      </c>
    </row>
    <row r="126" spans="1:11" x14ac:dyDescent="0.25">
      <c r="B126" t="s">
        <v>113</v>
      </c>
      <c r="C126" t="s">
        <v>8</v>
      </c>
      <c r="D126" s="12">
        <f>D125*(D124/D123)^((D13-1)/(D13*D45))</f>
        <v>946.65417257823549</v>
      </c>
      <c r="E126" s="12">
        <f t="shared" ref="E126:K126" si="56">E125*(E124/E123)^((E13-1)/(E13*E45))</f>
        <v>946.60616423863951</v>
      </c>
      <c r="F126" s="12">
        <f t="shared" si="56"/>
        <v>946.56457949125354</v>
      </c>
      <c r="G126" s="12">
        <f t="shared" si="56"/>
        <v>946.52790066086084</v>
      </c>
      <c r="H126" s="12">
        <f t="shared" si="56"/>
        <v>946.49509153336726</v>
      </c>
      <c r="I126" s="12">
        <f t="shared" si="56"/>
        <v>946.4654130470841</v>
      </c>
      <c r="J126" s="12">
        <f t="shared" si="56"/>
        <v>946.43831952448488</v>
      </c>
      <c r="K126" s="12">
        <f t="shared" si="56"/>
        <v>946.41339658462687</v>
      </c>
    </row>
    <row r="127" spans="1:11" x14ac:dyDescent="0.25">
      <c r="B127" t="s">
        <v>114</v>
      </c>
      <c r="C127" s="7" t="s">
        <v>107</v>
      </c>
      <c r="D127" s="12">
        <f ca="1">(D122*D12*(D126-D125))/1000000</f>
        <v>11.486582278592484</v>
      </c>
      <c r="E127" s="12">
        <f t="shared" ref="E127:K127" ca="1" si="57">(E122*E12*(E126-E125))/1000000</f>
        <v>22.34531583308496</v>
      </c>
      <c r="F127" s="12">
        <f t="shared" ca="1" si="57"/>
        <v>32.722193967349639</v>
      </c>
      <c r="G127" s="12">
        <f t="shared" ca="1" si="57"/>
        <v>42.719992470548405</v>
      </c>
      <c r="H127" s="12">
        <f t="shared" ca="1" si="57"/>
        <v>52.414785198669072</v>
      </c>
      <c r="I127" s="12">
        <f t="shared" ca="1" si="57"/>
        <v>61.865186523913721</v>
      </c>
      <c r="J127" s="12">
        <f t="shared" ca="1" si="57"/>
        <v>71.117896437272606</v>
      </c>
      <c r="K127" s="12">
        <f t="shared" ca="1" si="57"/>
        <v>80.211216034032603</v>
      </c>
    </row>
    <row r="128" spans="1:11" x14ac:dyDescent="0.25">
      <c r="D128" s="12"/>
      <c r="E128" s="12"/>
      <c r="F128" s="12"/>
      <c r="G128" s="12"/>
      <c r="H128" s="12"/>
      <c r="I128" s="12"/>
      <c r="J128" s="12"/>
      <c r="K128" s="12"/>
    </row>
    <row r="129" spans="1:11" x14ac:dyDescent="0.25">
      <c r="A129" t="s">
        <v>35</v>
      </c>
      <c r="D129" s="12"/>
      <c r="E129" s="12"/>
      <c r="F129" s="12"/>
      <c r="G129" s="12"/>
      <c r="H129" s="12"/>
      <c r="I129" s="12"/>
      <c r="J129" s="12"/>
      <c r="K129" s="12"/>
    </row>
    <row r="130" spans="1:11" x14ac:dyDescent="0.25">
      <c r="B130" t="s">
        <v>115</v>
      </c>
      <c r="C130" t="s">
        <v>65</v>
      </c>
      <c r="D130" s="12">
        <f ca="1">D76*(1-D57)</f>
        <v>21.146012427325132</v>
      </c>
      <c r="E130" s="12">
        <f t="shared" ref="E130:K130" ca="1" si="58">E76*(1-E57)</f>
        <v>42.754276774140202</v>
      </c>
      <c r="F130" s="12">
        <f t="shared" ca="1" si="58"/>
        <v>64.922729530332902</v>
      </c>
      <c r="G130" s="12">
        <f t="shared" ca="1" si="58"/>
        <v>87.733680054240097</v>
      </c>
      <c r="H130" s="12">
        <f t="shared" ca="1" si="58"/>
        <v>111.26089802259997</v>
      </c>
      <c r="I130" s="12">
        <f t="shared" ca="1" si="58"/>
        <v>135.57377271517291</v>
      </c>
      <c r="J130" s="12">
        <f t="shared" ca="1" si="58"/>
        <v>160.73996816389501</v>
      </c>
      <c r="K130" s="12">
        <f t="shared" ca="1" si="58"/>
        <v>186.82725680756565</v>
      </c>
    </row>
    <row r="131" spans="1:11" x14ac:dyDescent="0.25">
      <c r="B131" t="s">
        <v>116</v>
      </c>
      <c r="C131" t="s">
        <v>65</v>
      </c>
      <c r="D131" s="12">
        <f ca="1">D130*(1-D58)</f>
        <v>19.808699936486324</v>
      </c>
      <c r="E131" s="12">
        <f t="shared" ref="E131:K131" ca="1" si="59">E130*(1-E58)</f>
        <v>40.050418135858408</v>
      </c>
      <c r="F131" s="12">
        <f t="shared" ca="1" si="59"/>
        <v>60.816897405309113</v>
      </c>
      <c r="G131" s="12">
        <f t="shared" ca="1" si="59"/>
        <v>82.185241708853567</v>
      </c>
      <c r="H131" s="12">
        <f t="shared" ca="1" si="59"/>
        <v>104.22455539398709</v>
      </c>
      <c r="I131" s="12">
        <f t="shared" ca="1" si="59"/>
        <v>126.9998394355415</v>
      </c>
      <c r="J131" s="12">
        <f t="shared" ca="1" si="59"/>
        <v>150.57447866835136</v>
      </c>
      <c r="K131" s="12">
        <f t="shared" ca="1" si="59"/>
        <v>175.01195947826622</v>
      </c>
    </row>
    <row r="132" spans="1:11" x14ac:dyDescent="0.25">
      <c r="B132" t="s">
        <v>117</v>
      </c>
      <c r="C132" t="s">
        <v>30</v>
      </c>
      <c r="D132" s="32">
        <f ca="1">D133/D131</f>
        <v>2.0109242304092129E-2</v>
      </c>
      <c r="E132" s="32">
        <f t="shared" ref="E132:K132" ca="1" si="60">E133/E131</f>
        <v>2.0110409826256854E-2</v>
      </c>
      <c r="F132" s="32">
        <f t="shared" ca="1" si="60"/>
        <v>2.0111421132098621E-2</v>
      </c>
      <c r="G132" s="32">
        <f t="shared" ca="1" si="60"/>
        <v>2.0112313130193526E-2</v>
      </c>
      <c r="H132" s="32">
        <f t="shared" ca="1" si="60"/>
        <v>2.0113111020390855E-2</v>
      </c>
      <c r="I132" s="32">
        <f t="shared" ca="1" si="60"/>
        <v>2.0113832776045028E-2</v>
      </c>
      <c r="J132" s="32">
        <f t="shared" ca="1" si="60"/>
        <v>2.0114491667571392E-2</v>
      </c>
      <c r="K132" s="32">
        <f t="shared" ca="1" si="60"/>
        <v>2.0115097772363578E-2</v>
      </c>
    </row>
    <row r="133" spans="1:11" x14ac:dyDescent="0.25">
      <c r="B133" t="s">
        <v>118</v>
      </c>
      <c r="C133" t="s">
        <v>65</v>
      </c>
      <c r="D133" s="38">
        <f ca="1">((D131*(D14*D136-D12*D126))/((D46*D18*1000)-(D14*D136)))</f>
        <v>0.39833794675185807</v>
      </c>
      <c r="E133" s="38">
        <f t="shared" ref="E133:K133" ca="1" si="61">((E131*(E14*E136-E12*E126))/((E46*E18*1000)-(E14*E136)))</f>
        <v>0.80543032242506252</v>
      </c>
      <c r="F133" s="38">
        <f t="shared" ca="1" si="61"/>
        <v>1.2231142356658076</v>
      </c>
      <c r="G133" s="38">
        <f t="shared" ca="1" si="61"/>
        <v>1.6529353159291043</v>
      </c>
      <c r="H133" s="38">
        <f t="shared" ca="1" si="61"/>
        <v>2.0962800536901387</v>
      </c>
      <c r="I133" s="38">
        <f t="shared" ca="1" si="61"/>
        <v>2.55445353299105</v>
      </c>
      <c r="J133" s="38">
        <f t="shared" ca="1" si="61"/>
        <v>3.0287290965234597</v>
      </c>
      <c r="K133" s="38">
        <f t="shared" ca="1" si="61"/>
        <v>3.5203826762382575</v>
      </c>
    </row>
    <row r="134" spans="1:11" x14ac:dyDescent="0.25">
      <c r="B134" t="s">
        <v>119</v>
      </c>
      <c r="C134" t="s">
        <v>65</v>
      </c>
      <c r="D134" s="12">
        <f ca="1">D131+D133</f>
        <v>20.207037883238183</v>
      </c>
      <c r="E134" s="12">
        <f t="shared" ref="E134:K134" ca="1" si="62">E131+E133</f>
        <v>40.855848458283468</v>
      </c>
      <c r="F134" s="12">
        <f t="shared" ca="1" si="62"/>
        <v>62.040011640974924</v>
      </c>
      <c r="G134" s="12">
        <f t="shared" ca="1" si="62"/>
        <v>83.838177024782667</v>
      </c>
      <c r="H134" s="12">
        <f t="shared" ca="1" si="62"/>
        <v>106.32083544767723</v>
      </c>
      <c r="I134" s="12">
        <f t="shared" ca="1" si="62"/>
        <v>129.55429296853256</v>
      </c>
      <c r="J134" s="12">
        <f t="shared" ca="1" si="62"/>
        <v>153.60320776487481</v>
      </c>
      <c r="K134" s="12">
        <f t="shared" ca="1" si="62"/>
        <v>178.53234215450448</v>
      </c>
    </row>
    <row r="135" spans="1:11" x14ac:dyDescent="0.25">
      <c r="B135" t="s">
        <v>120</v>
      </c>
      <c r="C135" t="s">
        <v>10</v>
      </c>
      <c r="D135" s="12">
        <f>D124*D31</f>
        <v>1096.34239277195</v>
      </c>
      <c r="E135" s="12">
        <f t="shared" ref="E135:K135" si="63">E124*E31</f>
        <v>1096.34239277195</v>
      </c>
      <c r="F135" s="12">
        <f t="shared" si="63"/>
        <v>1096.3423927719498</v>
      </c>
      <c r="G135" s="12">
        <f t="shared" si="63"/>
        <v>1096.34239277195</v>
      </c>
      <c r="H135" s="12">
        <f t="shared" si="63"/>
        <v>1096.34239277195</v>
      </c>
      <c r="I135" s="12">
        <f t="shared" si="63"/>
        <v>1096.3423927719498</v>
      </c>
      <c r="J135" s="12">
        <f t="shared" si="63"/>
        <v>1096.34239277195</v>
      </c>
      <c r="K135" s="12">
        <f t="shared" si="63"/>
        <v>1096.34239277195</v>
      </c>
    </row>
    <row r="136" spans="1:11" x14ac:dyDescent="0.25">
      <c r="B136" t="s">
        <v>121</v>
      </c>
      <c r="D136" s="12">
        <f>D66</f>
        <v>1524.8555555555554</v>
      </c>
      <c r="E136" s="12">
        <f t="shared" ref="E136:K136" si="64">E66</f>
        <v>1524.8555555555554</v>
      </c>
      <c r="F136" s="12">
        <f t="shared" si="64"/>
        <v>1524.8555555555554</v>
      </c>
      <c r="G136" s="12">
        <f t="shared" si="64"/>
        <v>1524.8555555555554</v>
      </c>
      <c r="H136" s="12">
        <f t="shared" si="64"/>
        <v>1524.8555555555554</v>
      </c>
      <c r="I136" s="12">
        <f t="shared" si="64"/>
        <v>1524.8555555555554</v>
      </c>
      <c r="J136" s="12">
        <f t="shared" si="64"/>
        <v>1524.8555555555554</v>
      </c>
      <c r="K136" s="12">
        <f t="shared" si="64"/>
        <v>1524.8555555555554</v>
      </c>
    </row>
    <row r="137" spans="1:11" x14ac:dyDescent="0.25">
      <c r="B137" t="s">
        <v>122</v>
      </c>
      <c r="C137" t="s">
        <v>107</v>
      </c>
      <c r="D137" s="12">
        <f ca="1">(D134*D144*D14-D130*D126*D12)/1000000</f>
        <v>15.272975975232523</v>
      </c>
      <c r="E137" s="12">
        <f t="shared" ref="E137:K137" ca="1" si="65">(E134*E144*E14-E130*E126*E12)/1000000</f>
        <v>30.881879831459134</v>
      </c>
      <c r="F137" s="12">
        <f t="shared" ca="1" si="65"/>
        <v>46.897105054833474</v>
      </c>
      <c r="G137" s="12">
        <f t="shared" ca="1" si="65"/>
        <v>63.377885893007743</v>
      </c>
      <c r="H137" s="12">
        <f t="shared" ca="1" si="65"/>
        <v>80.377364814795484</v>
      </c>
      <c r="I137" s="12">
        <f t="shared" ca="1" si="65"/>
        <v>97.945569374427038</v>
      </c>
      <c r="J137" s="12">
        <f t="shared" ca="1" si="65"/>
        <v>116.13131444679662</v>
      </c>
      <c r="K137" s="12">
        <f t="shared" ca="1" si="65"/>
        <v>134.9835173160939</v>
      </c>
    </row>
    <row r="138" spans="1:11" s="42" customFormat="1" x14ac:dyDescent="0.25">
      <c r="B138" s="42" t="s">
        <v>123</v>
      </c>
      <c r="D138" s="48">
        <f ca="1">D134*(SQRT(D136)/D135)</f>
        <v>0.71973198188626497</v>
      </c>
      <c r="E138" s="48">
        <f t="shared" ref="E138:K138" ca="1" si="66">E134*(SQRT(E136)/E135)</f>
        <v>1.4551989733694242</v>
      </c>
      <c r="F138" s="48">
        <f t="shared" ca="1" si="66"/>
        <v>2.2097340932707907</v>
      </c>
      <c r="G138" s="48">
        <f t="shared" ca="1" si="66"/>
        <v>2.9861386738840863</v>
      </c>
      <c r="H138" s="48">
        <f t="shared" ca="1" si="66"/>
        <v>3.786923449875645</v>
      </c>
      <c r="I138" s="48">
        <f t="shared" ca="1" si="66"/>
        <v>4.6144501029248994</v>
      </c>
      <c r="J138" s="48">
        <f t="shared" ca="1" si="66"/>
        <v>5.4710216206604603</v>
      </c>
      <c r="K138" s="48">
        <f t="shared" ca="1" si="66"/>
        <v>6.3589446999674184</v>
      </c>
    </row>
    <row r="139" spans="1:11" x14ac:dyDescent="0.25">
      <c r="B139" s="4" t="s">
        <v>124</v>
      </c>
      <c r="C139" t="s">
        <v>54</v>
      </c>
      <c r="D139" s="12"/>
      <c r="E139" s="12"/>
      <c r="F139" s="12"/>
      <c r="G139" s="12"/>
      <c r="H139" s="12"/>
      <c r="I139" s="12"/>
      <c r="J139" s="12"/>
      <c r="K139" s="12"/>
    </row>
    <row r="140" spans="1:11" x14ac:dyDescent="0.25">
      <c r="B140" s="4"/>
      <c r="D140" s="12"/>
      <c r="E140" s="12"/>
      <c r="F140" s="12"/>
      <c r="G140" s="12"/>
      <c r="H140" s="12"/>
      <c r="I140" s="12"/>
      <c r="J140" s="12"/>
      <c r="K140" s="12"/>
    </row>
    <row r="141" spans="1:11" x14ac:dyDescent="0.25">
      <c r="A141" t="s">
        <v>125</v>
      </c>
      <c r="D141" s="12"/>
      <c r="E141" s="12"/>
      <c r="F141" s="12"/>
      <c r="G141" s="12"/>
      <c r="H141" s="12"/>
      <c r="I141" s="12"/>
      <c r="J141" s="12"/>
      <c r="K141" s="12"/>
    </row>
    <row r="142" spans="1:11" x14ac:dyDescent="0.25">
      <c r="B142" s="4" t="s">
        <v>126</v>
      </c>
      <c r="C142" t="s">
        <v>65</v>
      </c>
      <c r="D142" s="12">
        <f ca="1">D134*(1+D59)</f>
        <v>21.053246261278847</v>
      </c>
      <c r="E142" s="12">
        <f t="shared" ref="E142:K142" ca="1" si="67">E134*(1+E59)</f>
        <v>42.566765291177482</v>
      </c>
      <c r="F142" s="12">
        <f t="shared" ca="1" si="67"/>
        <v>64.638055843578272</v>
      </c>
      <c r="G142" s="12">
        <f t="shared" ca="1" si="67"/>
        <v>87.34906111417591</v>
      </c>
      <c r="H142" s="12">
        <f t="shared" ca="1" si="67"/>
        <v>110.77322387966692</v>
      </c>
      <c r="I142" s="12">
        <f t="shared" ca="1" si="67"/>
        <v>134.97962689201896</v>
      </c>
      <c r="J142" s="12">
        <f t="shared" ca="1" si="67"/>
        <v>160.03563601366713</v>
      </c>
      <c r="K142" s="12">
        <f t="shared" ca="1" si="67"/>
        <v>186.00872560839417</v>
      </c>
    </row>
    <row r="143" spans="1:11" x14ac:dyDescent="0.25">
      <c r="B143" s="4" t="s">
        <v>127</v>
      </c>
      <c r="C143" t="s">
        <v>65</v>
      </c>
      <c r="D143" s="12">
        <f ca="1">D142*(1+D60)</f>
        <v>21.313254640703978</v>
      </c>
      <c r="E143" s="12">
        <f t="shared" ref="E143:K143" ca="1" si="68">E142*(1+E60)</f>
        <v>43.092466435949859</v>
      </c>
      <c r="F143" s="12">
        <f t="shared" ca="1" si="68"/>
        <v>65.436338252880176</v>
      </c>
      <c r="G143" s="12">
        <f t="shared" ca="1" si="68"/>
        <v>88.427825288723881</v>
      </c>
      <c r="H143" s="12">
        <f t="shared" ca="1" si="68"/>
        <v>112.14127734121892</v>
      </c>
      <c r="I143" s="12">
        <f t="shared" ca="1" si="68"/>
        <v>136.64663033690579</v>
      </c>
      <c r="J143" s="12">
        <f t="shared" ca="1" si="68"/>
        <v>162.0120821091424</v>
      </c>
      <c r="K143" s="12">
        <f t="shared" ca="1" si="68"/>
        <v>188.30594033263</v>
      </c>
    </row>
    <row r="144" spans="1:11" x14ac:dyDescent="0.25">
      <c r="B144" t="s">
        <v>128</v>
      </c>
      <c r="C144" t="s">
        <v>8</v>
      </c>
      <c r="D144" s="12">
        <f ca="1">((D134*D14*D136)+((D69*D59)*D12*D126))/(D142*D14)</f>
        <v>1497.9920088640392</v>
      </c>
      <c r="E144" s="12">
        <f t="shared" ref="E144:K144" ca="1" si="69">((E134*E14*E136)+((E69*E59)*E12*E126))/(E142*E14)</f>
        <v>1497.9902235913009</v>
      </c>
      <c r="F144" s="12">
        <f t="shared" ca="1" si="69"/>
        <v>1497.9886771941974</v>
      </c>
      <c r="G144" s="12">
        <f t="shared" ca="1" si="69"/>
        <v>1497.9873132342159</v>
      </c>
      <c r="H144" s="12">
        <f t="shared" ca="1" si="69"/>
        <v>1497.9860931772434</v>
      </c>
      <c r="I144" s="12">
        <f t="shared" ca="1" si="69"/>
        <v>1497.9849895395378</v>
      </c>
      <c r="J144" s="12">
        <f t="shared" ca="1" si="69"/>
        <v>1497.9839820288321</v>
      </c>
      <c r="K144" s="12">
        <f t="shared" ca="1" si="69"/>
        <v>1497.9830552354449</v>
      </c>
    </row>
    <row r="145" spans="1:11" x14ac:dyDescent="0.25">
      <c r="B145" t="s">
        <v>129</v>
      </c>
      <c r="C145" t="s">
        <v>8</v>
      </c>
      <c r="D145" s="12">
        <f ca="1">D144-((D127*1000000)/(D50*D142*D14))</f>
        <v>1026.7745937469413</v>
      </c>
      <c r="E145" s="12">
        <f t="shared" ref="E145:K145" ca="1" si="70">E144-((E127*1000000)/(E50*E142*E14))</f>
        <v>1044.6070230366354</v>
      </c>
      <c r="F145" s="12">
        <f t="shared" ca="1" si="70"/>
        <v>1060.7649677388222</v>
      </c>
      <c r="G145" s="12">
        <f t="shared" ca="1" si="70"/>
        <v>1075.588682694962</v>
      </c>
      <c r="H145" s="12">
        <f t="shared" ca="1" si="70"/>
        <v>1089.3200147977668</v>
      </c>
      <c r="I145" s="12">
        <f t="shared" ca="1" si="70"/>
        <v>1102.1376972297669</v>
      </c>
      <c r="J145" s="12">
        <f t="shared" ca="1" si="70"/>
        <v>1114.17796634451</v>
      </c>
      <c r="K145" s="12">
        <f t="shared" ca="1" si="70"/>
        <v>1125.547308382701</v>
      </c>
    </row>
    <row r="146" spans="1:11" x14ac:dyDescent="0.25">
      <c r="B146" t="s">
        <v>130</v>
      </c>
      <c r="C146" t="s">
        <v>8</v>
      </c>
      <c r="D146" s="12">
        <f ca="1">((D142*D14*D145)+((D69*D60)*D12*D126))/(D143*D14)</f>
        <v>1024.2774197891054</v>
      </c>
      <c r="E146" s="12">
        <f t="shared" ref="E146:K146" ca="1" si="71">((E142*E14*E145)+((E69*E60)*E12*E126))/(E143*E14)</f>
        <v>1041.8917845152969</v>
      </c>
      <c r="F146" s="12">
        <f t="shared" ca="1" si="71"/>
        <v>1057.8521619069572</v>
      </c>
      <c r="G146" s="12">
        <f t="shared" ca="1" si="71"/>
        <v>1072.4946394678552</v>
      </c>
      <c r="H146" s="12">
        <f t="shared" ca="1" si="71"/>
        <v>1086.0581024842718</v>
      </c>
      <c r="I146" s="12">
        <f t="shared" ca="1" si="71"/>
        <v>1098.7190956992451</v>
      </c>
      <c r="J146" s="12">
        <f t="shared" ca="1" si="71"/>
        <v>1110.6121875565555</v>
      </c>
      <c r="K146" s="12">
        <f t="shared" ca="1" si="71"/>
        <v>1121.8425607422853</v>
      </c>
    </row>
    <row r="147" spans="1:11" x14ac:dyDescent="0.25">
      <c r="B147" t="s">
        <v>131</v>
      </c>
      <c r="C147" t="s">
        <v>10</v>
      </c>
      <c r="D147" s="12">
        <f>D135</f>
        <v>1096.34239277195</v>
      </c>
      <c r="E147" s="12">
        <f t="shared" ref="E147:K147" si="72">E135</f>
        <v>1096.34239277195</v>
      </c>
      <c r="F147" s="12">
        <f t="shared" si="72"/>
        <v>1096.3423927719498</v>
      </c>
      <c r="G147" s="12">
        <f t="shared" si="72"/>
        <v>1096.34239277195</v>
      </c>
      <c r="H147" s="12">
        <f t="shared" si="72"/>
        <v>1096.34239277195</v>
      </c>
      <c r="I147" s="12">
        <f t="shared" si="72"/>
        <v>1096.3423927719498</v>
      </c>
      <c r="J147" s="12">
        <f t="shared" si="72"/>
        <v>1096.34239277195</v>
      </c>
      <c r="K147" s="12">
        <f t="shared" si="72"/>
        <v>1096.34239277195</v>
      </c>
    </row>
    <row r="148" spans="1:11" x14ac:dyDescent="0.25">
      <c r="B148" t="s">
        <v>132</v>
      </c>
      <c r="C148" t="s">
        <v>10</v>
      </c>
      <c r="D148" s="12">
        <f ca="1">D147*((D145/D144)^(D15/((D15-1)*D48)))</f>
        <v>182.45841536320506</v>
      </c>
      <c r="E148" s="12">
        <f t="shared" ref="E148:K148" ca="1" si="73">E147*((E145/E144)^(E15/((E15-1)*E48)))</f>
        <v>198.00158490570155</v>
      </c>
      <c r="F148" s="12">
        <f t="shared" ca="1" si="73"/>
        <v>212.9707157009048</v>
      </c>
      <c r="G148" s="12">
        <f t="shared" ca="1" si="73"/>
        <v>227.47636607671856</v>
      </c>
      <c r="H148" s="12">
        <f t="shared" ca="1" si="73"/>
        <v>241.59845154015198</v>
      </c>
      <c r="I148" s="12">
        <f t="shared" ca="1" si="73"/>
        <v>255.3969114661146</v>
      </c>
      <c r="J148" s="12">
        <f t="shared" ca="1" si="73"/>
        <v>268.91803753722837</v>
      </c>
      <c r="K148" s="12">
        <f t="shared" ca="1" si="73"/>
        <v>282.19844131991732</v>
      </c>
    </row>
    <row r="149" spans="1:11" x14ac:dyDescent="0.25">
      <c r="B149" t="s">
        <v>133</v>
      </c>
      <c r="C149" t="s">
        <v>10</v>
      </c>
      <c r="D149" s="12">
        <f ca="1">D148</f>
        <v>182.45841536320506</v>
      </c>
      <c r="E149" s="12">
        <f t="shared" ref="E149:K149" ca="1" si="74">E148</f>
        <v>198.00158490570155</v>
      </c>
      <c r="F149" s="12">
        <f t="shared" ca="1" si="74"/>
        <v>212.9707157009048</v>
      </c>
      <c r="G149" s="12">
        <f t="shared" ca="1" si="74"/>
        <v>227.47636607671856</v>
      </c>
      <c r="H149" s="12">
        <f t="shared" ca="1" si="74"/>
        <v>241.59845154015198</v>
      </c>
      <c r="I149" s="12">
        <f t="shared" ca="1" si="74"/>
        <v>255.3969114661146</v>
      </c>
      <c r="J149" s="12">
        <f t="shared" ca="1" si="74"/>
        <v>268.91803753722837</v>
      </c>
      <c r="K149" s="12">
        <f t="shared" ca="1" si="74"/>
        <v>282.19844131991732</v>
      </c>
    </row>
    <row r="150" spans="1:11" x14ac:dyDescent="0.25">
      <c r="B150" t="s">
        <v>134</v>
      </c>
      <c r="C150" s="7" t="s">
        <v>107</v>
      </c>
      <c r="D150" s="12">
        <f ca="1">(D142*D14*(D144-D145))/1000000</f>
        <v>11.602608362214628</v>
      </c>
      <c r="E150" s="12">
        <f t="shared" ref="E150:K150" ca="1" si="75">(E142*E14*(E144-E145))/1000000</f>
        <v>22.571026094025211</v>
      </c>
      <c r="F150" s="12">
        <f t="shared" ca="1" si="75"/>
        <v>33.052721179141045</v>
      </c>
      <c r="G150" s="12">
        <f t="shared" ca="1" si="75"/>
        <v>43.151507546008489</v>
      </c>
      <c r="H150" s="12">
        <f t="shared" ca="1" si="75"/>
        <v>52.94422747340311</v>
      </c>
      <c r="I150" s="12">
        <f t="shared" ca="1" si="75"/>
        <v>62.490087397892644</v>
      </c>
      <c r="J150" s="12">
        <f t="shared" ca="1" si="75"/>
        <v>71.836259027548095</v>
      </c>
      <c r="K150" s="12">
        <f t="shared" ca="1" si="75"/>
        <v>81.02143033740667</v>
      </c>
    </row>
    <row r="151" spans="1:11" s="42" customFormat="1" x14ac:dyDescent="0.25">
      <c r="B151" s="42" t="s">
        <v>135</v>
      </c>
      <c r="D151" s="43">
        <f ca="1">D143*(SQRT(D145)/D149)</f>
        <v>3.7430310692682154</v>
      </c>
      <c r="E151" s="43">
        <f t="shared" ref="E151:K151" ca="1" si="76">E143*(SQRT(E145)/E149)</f>
        <v>7.0341100087860671</v>
      </c>
      <c r="F151" s="43">
        <f t="shared" ca="1" si="76"/>
        <v>10.007110205652825</v>
      </c>
      <c r="G151" s="43">
        <f t="shared" ca="1" si="76"/>
        <v>12.748989830057164</v>
      </c>
      <c r="H151" s="43">
        <f t="shared" ca="1" si="76"/>
        <v>15.319658835363215</v>
      </c>
      <c r="I151" s="43">
        <f t="shared" ca="1" si="76"/>
        <v>17.762382341265063</v>
      </c>
      <c r="J151" s="43">
        <f t="shared" ca="1" si="76"/>
        <v>20.109661161872182</v>
      </c>
      <c r="K151" s="43">
        <f t="shared" ca="1" si="76"/>
        <v>22.38676223665928</v>
      </c>
    </row>
    <row r="152" spans="1:11" x14ac:dyDescent="0.25">
      <c r="B152" s="4" t="s">
        <v>124</v>
      </c>
      <c r="C152" t="s">
        <v>54</v>
      </c>
      <c r="D152" s="12"/>
      <c r="E152" s="12"/>
      <c r="F152" s="12"/>
      <c r="G152" s="12"/>
      <c r="H152" s="12"/>
      <c r="I152" s="12"/>
      <c r="J152" s="12"/>
      <c r="K152" s="12"/>
    </row>
    <row r="153" spans="1:11" x14ac:dyDescent="0.25">
      <c r="B153" s="4"/>
      <c r="D153" s="12"/>
      <c r="E153" s="12"/>
      <c r="F153" s="12"/>
      <c r="G153" s="12"/>
      <c r="H153" s="12"/>
      <c r="I153" s="12"/>
      <c r="J153" s="12"/>
      <c r="K153" s="12"/>
    </row>
    <row r="154" spans="1:11" x14ac:dyDescent="0.25">
      <c r="A154" t="s">
        <v>58</v>
      </c>
      <c r="B154" s="4"/>
      <c r="D154" s="12"/>
      <c r="E154" s="12"/>
      <c r="F154" s="12"/>
      <c r="G154" s="12"/>
      <c r="H154" s="12"/>
      <c r="I154" s="12"/>
      <c r="J154" s="12"/>
      <c r="K154" s="12"/>
    </row>
    <row r="155" spans="1:11" x14ac:dyDescent="0.25">
      <c r="B155" s="4" t="s">
        <v>136</v>
      </c>
      <c r="C155" t="s">
        <v>65</v>
      </c>
      <c r="D155" s="12">
        <f ca="1">D143*(1+D61)</f>
        <v>21.505391020737434</v>
      </c>
      <c r="E155" s="12">
        <f t="shared" ref="E155:K155" ca="1" si="77">E143*(1+E61)</f>
        <v>43.480939742692243</v>
      </c>
      <c r="F155" s="12">
        <f t="shared" ca="1" si="77"/>
        <v>66.026238827264621</v>
      </c>
      <c r="G155" s="12">
        <f t="shared" ca="1" si="77"/>
        <v>89.224991302625796</v>
      </c>
      <c r="H155" s="12">
        <f t="shared" ca="1" si="77"/>
        <v>113.15221722083358</v>
      </c>
      <c r="I155" s="12">
        <f t="shared" ca="1" si="77"/>
        <v>137.87848297224014</v>
      </c>
      <c r="J155" s="12">
        <f t="shared" ca="1" si="77"/>
        <v>163.4726011853179</v>
      </c>
      <c r="K155" s="12">
        <f t="shared" ca="1" si="77"/>
        <v>190.00349532008886</v>
      </c>
    </row>
    <row r="156" spans="1:11" x14ac:dyDescent="0.25">
      <c r="B156" s="4" t="s">
        <v>137</v>
      </c>
      <c r="C156" t="s">
        <v>65</v>
      </c>
      <c r="D156" s="12">
        <f ca="1">D155*(1+D57)</f>
        <v>21.625146725497281</v>
      </c>
      <c r="E156" s="12">
        <f t="shared" ref="E156:K156" ca="1" si="78">E155*(1+E57)</f>
        <v>43.723069289534024</v>
      </c>
      <c r="F156" s="12">
        <f t="shared" ca="1" si="78"/>
        <v>66.393914948836937</v>
      </c>
      <c r="G156" s="12">
        <f t="shared" ca="1" si="78"/>
        <v>89.721852843312661</v>
      </c>
      <c r="H156" s="12">
        <f t="shared" ca="1" si="78"/>
        <v>113.78232078441692</v>
      </c>
      <c r="I156" s="12">
        <f t="shared" ca="1" si="78"/>
        <v>138.64627812107685</v>
      </c>
      <c r="J156" s="12">
        <f t="shared" ca="1" si="78"/>
        <v>164.38292067427744</v>
      </c>
      <c r="K156" s="12">
        <f t="shared" ca="1" si="78"/>
        <v>191.06155571373387</v>
      </c>
    </row>
    <row r="157" spans="1:11" x14ac:dyDescent="0.25">
      <c r="B157" t="s">
        <v>138</v>
      </c>
      <c r="C157" t="s">
        <v>8</v>
      </c>
      <c r="D157" s="12">
        <f ca="1">((D143*D14*D146)+((D69*D61)*D12*D126))/(D155*D14)</f>
        <v>1022.3812987797047</v>
      </c>
      <c r="E157" s="12">
        <f t="shared" ref="E157:K157" ca="1" si="79">((E143*E14*E146)+((E69*E61)*E12*E126))/(E155*E14)</f>
        <v>1039.8379146235386</v>
      </c>
      <c r="F157" s="12">
        <f t="shared" ca="1" si="79"/>
        <v>1055.6553707525245</v>
      </c>
      <c r="G157" s="12">
        <f t="shared" ca="1" si="79"/>
        <v>1070.1667400577658</v>
      </c>
      <c r="H157" s="12">
        <f t="shared" ca="1" si="79"/>
        <v>1083.6087654233686</v>
      </c>
      <c r="I157" s="12">
        <f t="shared" ca="1" si="79"/>
        <v>1096.1564084903359</v>
      </c>
      <c r="J157" s="12">
        <f t="shared" ca="1" si="79"/>
        <v>1107.9430311463241</v>
      </c>
      <c r="K157" s="12">
        <f t="shared" ca="1" si="79"/>
        <v>1119.0728730924911</v>
      </c>
    </row>
    <row r="158" spans="1:11" x14ac:dyDescent="0.25">
      <c r="B158" t="s">
        <v>139</v>
      </c>
      <c r="C158" t="s">
        <v>8</v>
      </c>
      <c r="D158" s="12">
        <f ca="1">((D160/D159)^(((D15-1)*D49)/D15)*D157)</f>
        <v>853.61684885092984</v>
      </c>
      <c r="E158" s="12">
        <f t="shared" ref="E158:K158" ca="1" si="80">((E160/E159)^(((E15-1)*E49)/E15)*E157)</f>
        <v>883.10298368369706</v>
      </c>
      <c r="F158" s="12">
        <f t="shared" ca="1" si="80"/>
        <v>909.41808576848382</v>
      </c>
      <c r="G158" s="12">
        <f t="shared" ca="1" si="80"/>
        <v>933.24076487907837</v>
      </c>
      <c r="H158" s="12">
        <f t="shared" ca="1" si="80"/>
        <v>955.04729446643591</v>
      </c>
      <c r="I158" s="12">
        <f t="shared" ca="1" si="80"/>
        <v>975.18571764620958</v>
      </c>
      <c r="J158" s="12">
        <f t="shared" ca="1" si="80"/>
        <v>993.91864837842706</v>
      </c>
      <c r="K158" s="12">
        <f t="shared" ca="1" si="80"/>
        <v>1011.4494673454599</v>
      </c>
    </row>
    <row r="159" spans="1:11" x14ac:dyDescent="0.25">
      <c r="B159" t="s">
        <v>140</v>
      </c>
      <c r="C159" t="s">
        <v>10</v>
      </c>
      <c r="D159" s="12">
        <f ca="1">D149*D37</f>
        <v>180.63147690743929</v>
      </c>
      <c r="E159" s="12">
        <f t="shared" ref="E159:K159" ca="1" si="81">E149*E37</f>
        <v>196.01901419748447</v>
      </c>
      <c r="F159" s="12">
        <f t="shared" ca="1" si="81"/>
        <v>210.83826053466092</v>
      </c>
      <c r="G159" s="12">
        <f t="shared" ca="1" si="81"/>
        <v>225.19866723703427</v>
      </c>
      <c r="H159" s="12">
        <f t="shared" ca="1" si="81"/>
        <v>239.17934962537578</v>
      </c>
      <c r="I159" s="12">
        <f t="shared" ca="1" si="81"/>
        <v>252.83964690743454</v>
      </c>
      <c r="J159" s="12">
        <f t="shared" ca="1" si="81"/>
        <v>266.22538725169431</v>
      </c>
      <c r="K159" s="12">
        <f t="shared" ca="1" si="81"/>
        <v>279.3728156365076</v>
      </c>
    </row>
    <row r="160" spans="1:11" s="52" customFormat="1" x14ac:dyDescent="0.25">
      <c r="B160" s="52" t="s">
        <v>141</v>
      </c>
      <c r="C160" s="52" t="s">
        <v>10</v>
      </c>
      <c r="D160" s="18">
        <f ca="1">((D36*D37*D33*D28)/(D31*D29*D30*(D149/D147)))*D159</f>
        <v>83.886807308389706</v>
      </c>
      <c r="E160" s="18">
        <f t="shared" ref="E160:K160" ca="1" si="82">((E36*E37*E33*E28)/(E31*E29*E30*(E149/E147)))*E159</f>
        <v>97.86794185978799</v>
      </c>
      <c r="F160" s="18">
        <f t="shared" ca="1" si="82"/>
        <v>111.84907641118625</v>
      </c>
      <c r="G160" s="18">
        <f t="shared" ca="1" si="82"/>
        <v>125.83021096258456</v>
      </c>
      <c r="H160" s="18">
        <f t="shared" ca="1" si="82"/>
        <v>139.81134551398287</v>
      </c>
      <c r="I160" s="18">
        <f t="shared" ca="1" si="82"/>
        <v>153.79248006538114</v>
      </c>
      <c r="J160" s="18">
        <f t="shared" ca="1" si="82"/>
        <v>167.77361461677941</v>
      </c>
      <c r="K160" s="18">
        <f t="shared" ca="1" si="82"/>
        <v>181.75474916817774</v>
      </c>
    </row>
    <row r="161" spans="1:11" x14ac:dyDescent="0.25">
      <c r="D161" s="12"/>
      <c r="E161" s="12"/>
      <c r="F161" s="12"/>
      <c r="G161" s="12"/>
      <c r="H161" s="12"/>
      <c r="I161" s="12"/>
      <c r="J161" s="12"/>
      <c r="K161" s="12"/>
    </row>
    <row r="162" spans="1:11" x14ac:dyDescent="0.25">
      <c r="B162" t="s">
        <v>134</v>
      </c>
      <c r="C162" s="7" t="s">
        <v>107</v>
      </c>
      <c r="D162" s="12">
        <f ca="1">(D155*D14*(D157-D158))/1000000</f>
        <v>4.2446661879101617</v>
      </c>
      <c r="E162" s="12">
        <f t="shared" ref="E162:K162" ca="1" si="83">(E155*E14*(E157-E158))/1000000</f>
        <v>7.9703969076014456</v>
      </c>
      <c r="F162" s="12">
        <f t="shared" ca="1" si="83"/>
        <v>11.292494924082021</v>
      </c>
      <c r="G162" s="12">
        <f t="shared" ca="1" si="83"/>
        <v>14.288531186142828</v>
      </c>
      <c r="H162" s="12">
        <f t="shared" ca="1" si="83"/>
        <v>17.013322378065393</v>
      </c>
      <c r="I162" s="12">
        <f t="shared" ca="1" si="83"/>
        <v>19.507063034428384</v>
      </c>
      <c r="J162" s="12">
        <f t="shared" ca="1" si="83"/>
        <v>21.80007226917941</v>
      </c>
      <c r="K162" s="12">
        <f t="shared" ca="1" si="83"/>
        <v>23.915725038995795</v>
      </c>
    </row>
    <row r="163" spans="1:11" s="42" customFormat="1" x14ac:dyDescent="0.25">
      <c r="B163" s="42" t="s">
        <v>142</v>
      </c>
      <c r="D163" s="43">
        <f ca="1">D156*SQRT(D158)/D160</f>
        <v>7.5317671752984383</v>
      </c>
      <c r="E163" s="43">
        <f t="shared" ref="E163:K163" ca="1" si="84">E156*SQRT(E158)/E160</f>
        <v>13.276263451342125</v>
      </c>
      <c r="F163" s="43">
        <f t="shared" ca="1" si="84"/>
        <v>17.901015513230437</v>
      </c>
      <c r="G163" s="43">
        <f t="shared" ca="1" si="84"/>
        <v>21.782622212939501</v>
      </c>
      <c r="H163" s="43">
        <f t="shared" ca="1" si="84"/>
        <v>25.150395084178722</v>
      </c>
      <c r="I163" s="43">
        <f t="shared" ca="1" si="84"/>
        <v>28.152487951525661</v>
      </c>
      <c r="J163" s="43">
        <f t="shared" ca="1" si="84"/>
        <v>30.88932732025744</v>
      </c>
      <c r="K163" s="43">
        <f t="shared" ca="1" si="84"/>
        <v>33.431790533102102</v>
      </c>
    </row>
    <row r="164" spans="1:11" x14ac:dyDescent="0.25">
      <c r="B164" s="4" t="s">
        <v>124</v>
      </c>
      <c r="D164" s="12"/>
      <c r="E164" s="12"/>
      <c r="F164" s="12"/>
      <c r="G164" s="12"/>
      <c r="H164" s="12"/>
      <c r="I164" s="12"/>
      <c r="J164" s="12"/>
      <c r="K164" s="12"/>
    </row>
    <row r="165" spans="1:11" x14ac:dyDescent="0.25">
      <c r="B165" s="4"/>
      <c r="D165" s="12"/>
      <c r="E165" s="12"/>
      <c r="F165" s="12"/>
      <c r="G165" s="12"/>
      <c r="H165" s="12"/>
      <c r="I165" s="12"/>
      <c r="J165" s="12"/>
      <c r="K165" s="12"/>
    </row>
    <row r="166" spans="1:11" x14ac:dyDescent="0.25">
      <c r="A166" t="s">
        <v>38</v>
      </c>
      <c r="B166" s="4"/>
      <c r="D166" s="12"/>
      <c r="E166" s="12"/>
      <c r="F166" s="12"/>
      <c r="G166" s="12"/>
      <c r="H166" s="12"/>
      <c r="I166" s="12"/>
      <c r="J166" s="12"/>
      <c r="K166" s="12"/>
    </row>
    <row r="167" spans="1:11" x14ac:dyDescent="0.25">
      <c r="B167" t="s">
        <v>143</v>
      </c>
      <c r="D167" s="12">
        <f ca="1">((D156*D51*D14*(D157-D158))-(D114*D12*(D118-D117)))/(D114*D12*(D107-D106))</f>
        <v>8.0291643615444457</v>
      </c>
      <c r="E167" s="12">
        <f t="shared" ref="E167:K167" ca="1" si="85">((E156*E51*E14*(E157-E158))-(E114*E12*(E118-E117)))/(E114*E12*(E107-E106))</f>
        <v>3.4657712912843364</v>
      </c>
      <c r="F167" s="12">
        <f t="shared" ca="1" si="85"/>
        <v>1.9408933231677237</v>
      </c>
      <c r="G167" s="12">
        <f t="shared" ca="1" si="85"/>
        <v>1.1762545658581702</v>
      </c>
      <c r="H167" s="12">
        <f t="shared" ca="1" si="85"/>
        <v>0.71606400083879462</v>
      </c>
      <c r="I167" s="12">
        <f t="shared" ca="1" si="85"/>
        <v>0.40831680032027134</v>
      </c>
      <c r="J167" s="12">
        <f t="shared" ca="1" si="85"/>
        <v>0.18782418572399834</v>
      </c>
      <c r="K167" s="12">
        <f t="shared" ca="1" si="85"/>
        <v>2.1964487731258222E-2</v>
      </c>
    </row>
    <row r="168" spans="1:11" x14ac:dyDescent="0.25">
      <c r="B168" t="s">
        <v>137</v>
      </c>
      <c r="C168" t="s">
        <v>65</v>
      </c>
      <c r="D168" s="12">
        <f ca="1">D156</f>
        <v>21.625146725497281</v>
      </c>
      <c r="E168" s="12">
        <f t="shared" ref="E168:K168" ca="1" si="86">E156</f>
        <v>43.723069289534024</v>
      </c>
      <c r="F168" s="12">
        <f t="shared" ca="1" si="86"/>
        <v>66.393914948836937</v>
      </c>
      <c r="G168" s="12">
        <f t="shared" ca="1" si="86"/>
        <v>89.721852843312661</v>
      </c>
      <c r="H168" s="12">
        <f t="shared" ca="1" si="86"/>
        <v>113.78232078441692</v>
      </c>
      <c r="I168" s="12">
        <f t="shared" ca="1" si="86"/>
        <v>138.64627812107685</v>
      </c>
      <c r="J168" s="12">
        <f t="shared" ca="1" si="86"/>
        <v>164.38292067427744</v>
      </c>
      <c r="K168" s="12">
        <f t="shared" ca="1" si="86"/>
        <v>191.06155571373387</v>
      </c>
    </row>
    <row r="169" spans="1:11" x14ac:dyDescent="0.25">
      <c r="B169" t="s">
        <v>144</v>
      </c>
      <c r="C169" t="s">
        <v>65</v>
      </c>
      <c r="D169" s="12">
        <f ca="1">D102</f>
        <v>170.73557371291906</v>
      </c>
      <c r="E169" s="12">
        <f t="shared" ref="E169:K169" ca="1" si="87">E102</f>
        <v>149.00630697888212</v>
      </c>
      <c r="F169" s="12">
        <f t="shared" ca="1" si="87"/>
        <v>126.7137148813031</v>
      </c>
      <c r="G169" s="12">
        <f t="shared" ca="1" si="87"/>
        <v>103.77502714426802</v>
      </c>
      <c r="H169" s="12">
        <f t="shared" ca="1" si="87"/>
        <v>80.116060994139872</v>
      </c>
      <c r="I169" s="12">
        <f t="shared" ca="1" si="87"/>
        <v>55.667038583693369</v>
      </c>
      <c r="J169" s="12">
        <f t="shared" ca="1" si="87"/>
        <v>30.359916974604431</v>
      </c>
      <c r="K169" s="12">
        <f t="shared" ca="1" si="87"/>
        <v>4.1265442146269038</v>
      </c>
    </row>
    <row r="170" spans="1:11" x14ac:dyDescent="0.25">
      <c r="B170" t="s">
        <v>145</v>
      </c>
      <c r="C170" t="s">
        <v>65</v>
      </c>
      <c r="D170" s="12">
        <f ca="1">D169+D168</f>
        <v>192.36072043841634</v>
      </c>
      <c r="E170" s="12">
        <f t="shared" ref="E170:K170" ca="1" si="88">E169+E168</f>
        <v>192.72937626841616</v>
      </c>
      <c r="F170" s="12">
        <f t="shared" ca="1" si="88"/>
        <v>193.10762983014004</v>
      </c>
      <c r="G170" s="12">
        <f t="shared" ca="1" si="88"/>
        <v>193.49687998758068</v>
      </c>
      <c r="H170" s="12">
        <f t="shared" ca="1" si="88"/>
        <v>193.8983817785568</v>
      </c>
      <c r="I170" s="12">
        <f t="shared" ca="1" si="88"/>
        <v>194.31331670477022</v>
      </c>
      <c r="J170" s="12">
        <f t="shared" ca="1" si="88"/>
        <v>194.74283764888187</v>
      </c>
      <c r="K170" s="12">
        <f t="shared" ca="1" si="88"/>
        <v>195.18809992836077</v>
      </c>
    </row>
    <row r="171" spans="1:11" x14ac:dyDescent="0.25">
      <c r="B171" t="s">
        <v>146</v>
      </c>
      <c r="C171" t="s">
        <v>8</v>
      </c>
      <c r="D171" s="12">
        <f ca="1">D172/(1+(D15-1)/2*(D182^2))</f>
        <v>827.30927031985357</v>
      </c>
      <c r="E171" s="12">
        <f t="shared" ref="E171:K171" ca="1" si="89">E172/(1+(E15-1)/2*(E182^2))</f>
        <v>855.88667331498743</v>
      </c>
      <c r="F171" s="12">
        <f t="shared" ca="1" si="89"/>
        <v>881.39077147502655</v>
      </c>
      <c r="G171" s="12">
        <f t="shared" ca="1" si="89"/>
        <v>904.47926053025162</v>
      </c>
      <c r="H171" s="12">
        <f t="shared" ca="1" si="89"/>
        <v>925.61373568196598</v>
      </c>
      <c r="I171" s="12">
        <f t="shared" ca="1" si="89"/>
        <v>945.13151372099844</v>
      </c>
      <c r="J171" s="12">
        <f t="shared" ca="1" si="89"/>
        <v>963.28711511978224</v>
      </c>
      <c r="K171" s="12">
        <f t="shared" ca="1" si="89"/>
        <v>980.27765258076215</v>
      </c>
    </row>
    <row r="172" spans="1:11" x14ac:dyDescent="0.25">
      <c r="B172" t="s">
        <v>139</v>
      </c>
      <c r="C172" t="s">
        <v>8</v>
      </c>
      <c r="D172" s="12">
        <f ca="1">D158</f>
        <v>853.61684885092984</v>
      </c>
      <c r="E172" s="12">
        <f t="shared" ref="E172:K172" ca="1" si="90">E158</f>
        <v>883.10298368369706</v>
      </c>
      <c r="F172" s="12">
        <f t="shared" ca="1" si="90"/>
        <v>909.41808576848382</v>
      </c>
      <c r="G172" s="12">
        <f t="shared" ca="1" si="90"/>
        <v>933.24076487907837</v>
      </c>
      <c r="H172" s="12">
        <f t="shared" ca="1" si="90"/>
        <v>955.04729446643591</v>
      </c>
      <c r="I172" s="12">
        <f t="shared" ca="1" si="90"/>
        <v>975.18571764620958</v>
      </c>
      <c r="J172" s="12">
        <f t="shared" ca="1" si="90"/>
        <v>993.91864837842706</v>
      </c>
      <c r="K172" s="12">
        <f t="shared" ca="1" si="90"/>
        <v>1011.4494673454599</v>
      </c>
    </row>
    <row r="173" spans="1:11" x14ac:dyDescent="0.25">
      <c r="B173" t="s">
        <v>147</v>
      </c>
      <c r="C173" t="s">
        <v>8</v>
      </c>
      <c r="D173" s="12">
        <f ca="1">D172</f>
        <v>853.61684885092984</v>
      </c>
      <c r="E173" s="12">
        <f t="shared" ref="E173:K173" ca="1" si="91">E172</f>
        <v>883.10298368369706</v>
      </c>
      <c r="F173" s="12">
        <f t="shared" ca="1" si="91"/>
        <v>909.41808576848382</v>
      </c>
      <c r="G173" s="12">
        <f t="shared" ca="1" si="91"/>
        <v>933.24076487907837</v>
      </c>
      <c r="H173" s="12">
        <f t="shared" ca="1" si="91"/>
        <v>955.04729446643591</v>
      </c>
      <c r="I173" s="12">
        <f t="shared" ca="1" si="91"/>
        <v>975.18571764620958</v>
      </c>
      <c r="J173" s="12">
        <f t="shared" ca="1" si="91"/>
        <v>993.91864837842706</v>
      </c>
      <c r="K173" s="12">
        <f t="shared" ca="1" si="91"/>
        <v>1011.4494673454599</v>
      </c>
    </row>
    <row r="174" spans="1:11" x14ac:dyDescent="0.25">
      <c r="B174" t="s">
        <v>148</v>
      </c>
      <c r="C174" t="s">
        <v>8</v>
      </c>
      <c r="D174" s="12">
        <f>D175/(1+(D13-1)/2*(D183^2))</f>
        <v>407.17815038855775</v>
      </c>
      <c r="E174" s="12">
        <f t="shared" ref="E174:K174" si="92">E175/(1+(E13-1)/2*(E183^2))</f>
        <v>427.19289351020575</v>
      </c>
      <c r="F174" s="12">
        <f t="shared" si="92"/>
        <v>445.32396007886416</v>
      </c>
      <c r="G174" s="12">
        <f t="shared" si="92"/>
        <v>461.95438379541486</v>
      </c>
      <c r="H174" s="12">
        <f t="shared" si="92"/>
        <v>477.35637714069617</v>
      </c>
      <c r="I174" s="12">
        <f t="shared" si="92"/>
        <v>491.73108683235927</v>
      </c>
      <c r="J174" s="12">
        <f t="shared" si="92"/>
        <v>505.23181406284658</v>
      </c>
      <c r="K174" s="12">
        <f t="shared" si="92"/>
        <v>517.97836926229195</v>
      </c>
    </row>
    <row r="175" spans="1:11" x14ac:dyDescent="0.25">
      <c r="B175" t="s">
        <v>101</v>
      </c>
      <c r="C175" t="s">
        <v>8</v>
      </c>
      <c r="D175" s="12">
        <f>D108</f>
        <v>422.12338778777752</v>
      </c>
      <c r="E175" s="12">
        <f t="shared" ref="E175:K175" si="93">E108</f>
        <v>442.87276042515953</v>
      </c>
      <c r="F175" s="12">
        <f t="shared" si="93"/>
        <v>461.669317256277</v>
      </c>
      <c r="G175" s="12">
        <f t="shared" si="93"/>
        <v>478.91015101142204</v>
      </c>
      <c r="H175" s="12">
        <f t="shared" si="93"/>
        <v>494.87746557235988</v>
      </c>
      <c r="I175" s="12">
        <f t="shared" si="93"/>
        <v>509.77979063012685</v>
      </c>
      <c r="J175" s="12">
        <f t="shared" si="93"/>
        <v>523.77605420835096</v>
      </c>
      <c r="K175" s="12">
        <f t="shared" si="93"/>
        <v>536.99046430938222</v>
      </c>
    </row>
    <row r="176" spans="1:11" x14ac:dyDescent="0.25">
      <c r="B176" t="s">
        <v>149</v>
      </c>
      <c r="C176" t="s">
        <v>8</v>
      </c>
      <c r="D176" s="12">
        <f ca="1">((D168*D14*D173)+(D169*D12*D175))/(D170*D185)</f>
        <v>477.52718392990602</v>
      </c>
      <c r="E176" s="12">
        <f t="shared" ref="E176:K176" ca="1" si="94">((E168*E14*E173)+(E169*E12*E175))/(E170*E185)</f>
        <v>554.88806932654518</v>
      </c>
      <c r="F176" s="12">
        <f t="shared" ca="1" si="94"/>
        <v>631.2132876560496</v>
      </c>
      <c r="G176" s="12">
        <f t="shared" ca="1" si="94"/>
        <v>706.70796437159447</v>
      </c>
      <c r="H176" s="12">
        <f t="shared" ca="1" si="94"/>
        <v>781.51886473222226</v>
      </c>
      <c r="I176" s="12">
        <f t="shared" ca="1" si="94"/>
        <v>855.75382203439347</v>
      </c>
      <c r="J176" s="12">
        <f t="shared" ca="1" si="94"/>
        <v>929.49361991489775</v>
      </c>
      <c r="K176" s="12">
        <f t="shared" ca="1" si="94"/>
        <v>1002.7996260292007</v>
      </c>
    </row>
    <row r="177" spans="1:11" x14ac:dyDescent="0.25">
      <c r="B177" t="s">
        <v>141</v>
      </c>
      <c r="C177" t="s">
        <v>10</v>
      </c>
      <c r="D177" s="12">
        <f ca="1">D160</f>
        <v>83.886807308389706</v>
      </c>
      <c r="E177" s="12">
        <f t="shared" ref="E177:K177" ca="1" si="95">E160</f>
        <v>97.86794185978799</v>
      </c>
      <c r="F177" s="12">
        <f t="shared" ca="1" si="95"/>
        <v>111.84907641118625</v>
      </c>
      <c r="G177" s="12">
        <f t="shared" ca="1" si="95"/>
        <v>125.83021096258456</v>
      </c>
      <c r="H177" s="12">
        <f t="shared" ca="1" si="95"/>
        <v>139.81134551398287</v>
      </c>
      <c r="I177" s="12">
        <f t="shared" ca="1" si="95"/>
        <v>153.79248006538114</v>
      </c>
      <c r="J177" s="12">
        <f t="shared" ca="1" si="95"/>
        <v>167.77361461677941</v>
      </c>
      <c r="K177" s="12">
        <f t="shared" ca="1" si="95"/>
        <v>181.75474916817774</v>
      </c>
    </row>
    <row r="178" spans="1:11" x14ac:dyDescent="0.25">
      <c r="B178" t="s">
        <v>150</v>
      </c>
      <c r="C178" t="s">
        <v>10</v>
      </c>
      <c r="D178" s="12">
        <f ca="1">D179/(1+(D15-1)/2*(D182^2))^(D15/(D15-1))</f>
        <v>73.204029521458537</v>
      </c>
      <c r="E178" s="12">
        <f t="shared" ref="E178:K178" ca="1" si="96">E179/(1+(E15-1)/2*(E182^2))^(E15/(E15-1))</f>
        <v>85.404701108368286</v>
      </c>
      <c r="F178" s="12">
        <f t="shared" ca="1" si="96"/>
        <v>97.605372695278021</v>
      </c>
      <c r="G178" s="12">
        <f t="shared" ca="1" si="96"/>
        <v>109.80604428218781</v>
      </c>
      <c r="H178" s="12">
        <f t="shared" ca="1" si="96"/>
        <v>122.00671586909756</v>
      </c>
      <c r="I178" s="12">
        <f t="shared" ca="1" si="96"/>
        <v>134.20738745600732</v>
      </c>
      <c r="J178" s="12">
        <f t="shared" ca="1" si="96"/>
        <v>146.40805904291707</v>
      </c>
      <c r="K178" s="12">
        <f t="shared" ca="1" si="96"/>
        <v>158.60873062982685</v>
      </c>
    </row>
    <row r="179" spans="1:11" x14ac:dyDescent="0.25">
      <c r="B179" t="s">
        <v>151</v>
      </c>
      <c r="C179" t="s">
        <v>10</v>
      </c>
      <c r="D179" s="12">
        <f ca="1">D34*D177</f>
        <v>83.047643059688625</v>
      </c>
      <c r="E179" s="12">
        <f t="shared" ref="E179:K179" ca="1" si="97">E34*E177</f>
        <v>96.888916902970067</v>
      </c>
      <c r="F179" s="12">
        <f t="shared" ca="1" si="97"/>
        <v>110.73019074625148</v>
      </c>
      <c r="G179" s="12">
        <f t="shared" ca="1" si="97"/>
        <v>124.57146458953294</v>
      </c>
      <c r="H179" s="12">
        <f t="shared" ca="1" si="97"/>
        <v>138.41273843281439</v>
      </c>
      <c r="I179" s="12">
        <f t="shared" ca="1" si="97"/>
        <v>152.25401227609584</v>
      </c>
      <c r="J179" s="12">
        <f t="shared" ca="1" si="97"/>
        <v>166.09528611937725</v>
      </c>
      <c r="K179" s="12">
        <f t="shared" ca="1" si="97"/>
        <v>179.93655996265872</v>
      </c>
    </row>
    <row r="180" spans="1:11" x14ac:dyDescent="0.25">
      <c r="B180" t="s">
        <v>98</v>
      </c>
      <c r="C180" t="s">
        <v>10</v>
      </c>
      <c r="D180" s="12">
        <f>D105</f>
        <v>87.330150412400528</v>
      </c>
      <c r="E180" s="12">
        <f t="shared" ref="E180:K180" si="98">E105</f>
        <v>101.88517548113396</v>
      </c>
      <c r="F180" s="12">
        <f t="shared" si="98"/>
        <v>116.44020054986738</v>
      </c>
      <c r="G180" s="12">
        <f t="shared" si="98"/>
        <v>130.99522561860081</v>
      </c>
      <c r="H180" s="12">
        <f t="shared" si="98"/>
        <v>145.55025068733423</v>
      </c>
      <c r="I180" s="12">
        <f t="shared" si="98"/>
        <v>160.10527575606767</v>
      </c>
      <c r="J180" s="12">
        <f t="shared" si="98"/>
        <v>174.66030082480106</v>
      </c>
      <c r="K180" s="12">
        <f t="shared" si="98"/>
        <v>189.2153258935345</v>
      </c>
    </row>
    <row r="181" spans="1:11" x14ac:dyDescent="0.25">
      <c r="B181" t="s">
        <v>152</v>
      </c>
      <c r="C181" t="s">
        <v>10</v>
      </c>
      <c r="D181" s="12">
        <f ca="1">(D188/(1+D186*D184^2))*D179</f>
        <v>82.217811299674452</v>
      </c>
      <c r="E181" s="12">
        <f t="shared" ref="E181:K181" ca="1" si="99">(E188/(1+E186*E184^2))*E179</f>
        <v>95.392573099737547</v>
      </c>
      <c r="F181" s="12">
        <f t="shared" ca="1" si="99"/>
        <v>108.78418385912438</v>
      </c>
      <c r="G181" s="12">
        <f t="shared" ca="1" si="99"/>
        <v>122.42642645117353</v>
      </c>
      <c r="H181" s="12">
        <f t="shared" ca="1" si="99"/>
        <v>136.33926477223568</v>
      </c>
      <c r="I181" s="12">
        <f t="shared" ca="1" si="99"/>
        <v>150.53286803946051</v>
      </c>
      <c r="J181" s="12">
        <f t="shared" ca="1" si="99"/>
        <v>165.0104501054181</v>
      </c>
      <c r="K181" s="12">
        <f t="shared" ca="1" si="99"/>
        <v>179.77031077963855</v>
      </c>
    </row>
    <row r="182" spans="1:11" x14ac:dyDescent="0.25">
      <c r="B182" t="s">
        <v>153</v>
      </c>
      <c r="D182" s="12">
        <f>D70</f>
        <v>0.439</v>
      </c>
      <c r="E182" s="12">
        <f t="shared" ref="E182:K182" si="100">E70</f>
        <v>0.439</v>
      </c>
      <c r="F182" s="12">
        <f t="shared" si="100"/>
        <v>0.439</v>
      </c>
      <c r="G182" s="12">
        <f t="shared" si="100"/>
        <v>0.439</v>
      </c>
      <c r="H182" s="12">
        <f t="shared" si="100"/>
        <v>0.439</v>
      </c>
      <c r="I182" s="12">
        <f t="shared" si="100"/>
        <v>0.439</v>
      </c>
      <c r="J182" s="12">
        <f t="shared" si="100"/>
        <v>0.439</v>
      </c>
      <c r="K182" s="12">
        <f t="shared" si="100"/>
        <v>0.439</v>
      </c>
    </row>
    <row r="183" spans="1:11" x14ac:dyDescent="0.25">
      <c r="B183" t="s">
        <v>102</v>
      </c>
      <c r="D183" s="12">
        <f>D109</f>
        <v>0.42839478813973891</v>
      </c>
      <c r="E183" s="12">
        <f t="shared" ref="E183:K183" si="101">E109</f>
        <v>0.42839478813973891</v>
      </c>
      <c r="F183" s="12">
        <f t="shared" si="101"/>
        <v>0.42839478813973891</v>
      </c>
      <c r="G183" s="12">
        <f t="shared" si="101"/>
        <v>0.42839478813973891</v>
      </c>
      <c r="H183" s="12">
        <f t="shared" si="101"/>
        <v>0.42839478813973891</v>
      </c>
      <c r="I183" s="12">
        <f t="shared" si="101"/>
        <v>0.42839478813973891</v>
      </c>
      <c r="J183" s="12">
        <f t="shared" si="101"/>
        <v>0.42839478813973891</v>
      </c>
      <c r="K183" s="12">
        <f t="shared" si="101"/>
        <v>0.42839478813973891</v>
      </c>
    </row>
    <row r="184" spans="1:11" x14ac:dyDescent="0.25">
      <c r="B184" t="s">
        <v>154</v>
      </c>
      <c r="D184" s="12">
        <f ca="1">SQRT((D190-2*D186-SQRT(((D190-2*D186)^2)-4*((D186^2)-D190*(D186-1)/2)))/(2*D186^2-D190*(D186-1)))</f>
        <v>0.44024617058002846</v>
      </c>
      <c r="E184" s="12">
        <f t="shared" ref="E184:K184" ca="1" si="102">SQRT((E190-2*E186-SQRT(((E190-2*E186)^2)-4*((E186^2)-E190*(E186-1)/2)))/(2*E186^2-E190*(E186-1)))</f>
        <v>0.44734625381892829</v>
      </c>
      <c r="F184" s="12">
        <f t="shared" ca="1" si="102"/>
        <v>0.45096192518629064</v>
      </c>
      <c r="G184" s="12">
        <f t="shared" ca="1" si="102"/>
        <v>0.45195101422085898</v>
      </c>
      <c r="H184" s="12">
        <f t="shared" ca="1" si="102"/>
        <v>0.45092689629095023</v>
      </c>
      <c r="I184" s="12">
        <f t="shared" ca="1" si="102"/>
        <v>0.44834398255195579</v>
      </c>
      <c r="J184" s="12">
        <f t="shared" ca="1" si="102"/>
        <v>0.44454690815978204</v>
      </c>
      <c r="K184" s="12">
        <f t="shared" ca="1" si="102"/>
        <v>0.43980124083554017</v>
      </c>
    </row>
    <row r="185" spans="1:11" x14ac:dyDescent="0.25">
      <c r="B185" t="s">
        <v>155</v>
      </c>
      <c r="C185" t="s">
        <v>14</v>
      </c>
      <c r="D185" s="46">
        <f ca="1">(D168*D14+D12*D169)/D170</f>
        <v>1023.9826403719163</v>
      </c>
      <c r="E185" s="46">
        <f t="shared" ref="E185:K185" ca="1" si="103">(E168*E14+E12*E169)/E170</f>
        <v>1042.7505545540967</v>
      </c>
      <c r="F185" s="46">
        <f t="shared" ca="1" si="103"/>
        <v>1061.9305751841118</v>
      </c>
      <c r="G185" s="46">
        <f t="shared" ca="1" si="103"/>
        <v>1081.5882177922501</v>
      </c>
      <c r="H185" s="46">
        <f t="shared" ca="1" si="103"/>
        <v>1101.7804420703085</v>
      </c>
      <c r="I185" s="46">
        <f t="shared" ca="1" si="103"/>
        <v>1122.5592909923735</v>
      </c>
      <c r="J185" s="46">
        <f t="shared" ca="1" si="103"/>
        <v>1143.9741658706903</v>
      </c>
      <c r="K185" s="46">
        <f t="shared" ca="1" si="103"/>
        <v>1166.0733480022702</v>
      </c>
    </row>
    <row r="186" spans="1:11" x14ac:dyDescent="0.25">
      <c r="B186" t="s">
        <v>156</v>
      </c>
      <c r="D186" s="13">
        <f ca="1">(D168*D14+D12*D169)/((D168*(D14/D15))+(D169*(D12/D13)))</f>
        <v>1.3906024489666216</v>
      </c>
      <c r="E186" s="13">
        <f t="shared" ref="E186:K186" ca="1" si="104">(E168*E14+E12*E169)/((E168*(E14/E15))+(E169*(E12/E13)))</f>
        <v>1.3814990295665577</v>
      </c>
      <c r="F186" s="13">
        <f t="shared" ca="1" si="104"/>
        <v>1.3726440204236758</v>
      </c>
      <c r="G186" s="13">
        <f t="shared" ca="1" si="104"/>
        <v>1.364005183075651</v>
      </c>
      <c r="H186" s="13">
        <f t="shared" ca="1" si="104"/>
        <v>1.3555588240891263</v>
      </c>
      <c r="I186" s="13">
        <f t="shared" ca="1" si="104"/>
        <v>1.3472869559389282</v>
      </c>
      <c r="J186" s="13">
        <f t="shared" ca="1" si="104"/>
        <v>1.3391755591372636</v>
      </c>
      <c r="K186" s="13">
        <f t="shared" ca="1" si="104"/>
        <v>1.3312134647202618</v>
      </c>
    </row>
    <row r="187" spans="1:11" x14ac:dyDescent="0.25">
      <c r="B187" t="s">
        <v>157</v>
      </c>
      <c r="D187" s="12">
        <f ca="1">(D167/(1+D132))*(D15/D13)*(SQRT((D13-1)*D12*D174)/SQRT((D15-1)*D14*D171))*(D182/D183)</f>
        <v>5.487725586226138</v>
      </c>
      <c r="E187" s="12">
        <f t="shared" ref="E187:K187" ca="1" si="105">(E167/(1+E132))*(E15/E13)*(SQRT((E13-1)*E12*E174)/SQRT((E15-1)*E14*E171))*(E182/E183)</f>
        <v>2.3854319474645092</v>
      </c>
      <c r="F187" s="12">
        <f t="shared" ca="1" si="105"/>
        <v>1.344058807182902</v>
      </c>
      <c r="G187" s="12">
        <f t="shared" ca="1" si="105"/>
        <v>0.81896248033527952</v>
      </c>
      <c r="H187" s="12">
        <f t="shared" ca="1" si="105"/>
        <v>0.50098002899829241</v>
      </c>
      <c r="I187" s="12">
        <f t="shared" ca="1" si="105"/>
        <v>0.28693052724772766</v>
      </c>
      <c r="J187" s="12">
        <f t="shared" ca="1" si="105"/>
        <v>0.13251971710323759</v>
      </c>
      <c r="K187" s="12">
        <f t="shared" ca="1" si="105"/>
        <v>1.5554770142205892E-2</v>
      </c>
    </row>
    <row r="188" spans="1:11" x14ac:dyDescent="0.25">
      <c r="B188" t="s">
        <v>158</v>
      </c>
      <c r="D188" s="27">
        <f ca="1">((1+D15*D182^2)+(D187*(1+D13*D183^2)))/(1+D187)</f>
        <v>1.256836599971789</v>
      </c>
      <c r="E188" s="27">
        <f t="shared" ref="E188:K188" ca="1" si="106">((1+E15*E182^2)+(E187*(1+E13*E183^2)))/(1+E187)</f>
        <v>1.2567501570571875</v>
      </c>
      <c r="F188" s="27">
        <f t="shared" ca="1" si="106"/>
        <v>1.25666984572309</v>
      </c>
      <c r="G188" s="27">
        <f t="shared" ca="1" si="106"/>
        <v>1.256594475500836</v>
      </c>
      <c r="H188" s="27">
        <f t="shared" ca="1" si="106"/>
        <v>1.2565231971639788</v>
      </c>
      <c r="I188" s="27">
        <f t="shared" ca="1" si="106"/>
        <v>1.2564553803685503</v>
      </c>
      <c r="J188" s="27">
        <f t="shared" ca="1" si="106"/>
        <v>1.2563905423272905</v>
      </c>
      <c r="K188" s="27">
        <f t="shared" ca="1" si="106"/>
        <v>1.2563283037487116</v>
      </c>
    </row>
    <row r="189" spans="1:11" x14ac:dyDescent="0.25">
      <c r="B189" t="s">
        <v>159</v>
      </c>
      <c r="D189" s="27">
        <f ca="1">(((D15/D186)*(D182/SQRT((D15-1)*D14*D171)))+((D13/D186)*((D183*D187)/SQRT((D13-1)*D12*D174))))*(SQRT((D186-1)*D185*D176)/(1+D187))</f>
        <v>0.44401948982818756</v>
      </c>
      <c r="E189" s="27">
        <f t="shared" ref="E189:K189" ca="1" si="107">(((E15/E186)*(E182/SQRT((E15-1)*E14*E171)))+((E13/E186)*((E183*E187)/SQRT((E13-1)*E12*E174))))*(SQRT((E186-1)*E185*E176)/(1+E187))</f>
        <v>0.44876505963402952</v>
      </c>
      <c r="F189" s="27">
        <f t="shared" ca="1" si="107"/>
        <v>0.45135223971613442</v>
      </c>
      <c r="G189" s="27">
        <f t="shared" ca="1" si="107"/>
        <v>0.45234954193783738</v>
      </c>
      <c r="H189" s="27">
        <f t="shared" ca="1" si="107"/>
        <v>0.45212871337948202</v>
      </c>
      <c r="I189" s="27">
        <f t="shared" ca="1" si="107"/>
        <v>0.45094551155014134</v>
      </c>
      <c r="J189" s="27">
        <f t="shared" ca="1" si="107"/>
        <v>0.4489830793773103</v>
      </c>
      <c r="K189" s="27">
        <f t="shared" ca="1" si="107"/>
        <v>0.44637688174274165</v>
      </c>
    </row>
    <row r="190" spans="1:11" x14ac:dyDescent="0.25">
      <c r="B190" t="s">
        <v>160</v>
      </c>
      <c r="D190" s="27">
        <f ca="1">(D188/D189)^2</f>
        <v>8.012233019485322</v>
      </c>
      <c r="E190" s="27">
        <f t="shared" ref="E190:K190" ca="1" si="108">(E188/E189)^2</f>
        <v>7.8425956585328098</v>
      </c>
      <c r="F190" s="27">
        <f t="shared" ca="1" si="108"/>
        <v>7.7519539569404818</v>
      </c>
      <c r="G190" s="27">
        <f t="shared" ca="1" si="108"/>
        <v>7.7168841840026756</v>
      </c>
      <c r="H190" s="27">
        <f t="shared" ca="1" si="108"/>
        <v>7.7235478943259377</v>
      </c>
      <c r="I190" s="27">
        <f t="shared" ca="1" si="108"/>
        <v>7.7632934679365464</v>
      </c>
      <c r="J190" s="27">
        <f t="shared" ca="1" si="108"/>
        <v>7.8304977397021407</v>
      </c>
      <c r="K190" s="27">
        <f t="shared" ca="1" si="108"/>
        <v>7.9214174389974019</v>
      </c>
    </row>
    <row r="191" spans="1:11" x14ac:dyDescent="0.25">
      <c r="D191" s="27"/>
      <c r="E191" s="27"/>
      <c r="F191" s="27"/>
      <c r="G191" s="27"/>
      <c r="H191" s="27"/>
      <c r="I191" s="27"/>
      <c r="J191" s="27"/>
      <c r="K191" s="27"/>
    </row>
    <row r="192" spans="1:11" x14ac:dyDescent="0.25">
      <c r="A192" t="s">
        <v>39</v>
      </c>
      <c r="D192" s="12"/>
      <c r="E192" s="12"/>
      <c r="F192" s="12"/>
      <c r="G192" s="12"/>
      <c r="H192" s="12"/>
      <c r="I192" s="12"/>
      <c r="J192" s="12"/>
      <c r="K192" s="12"/>
    </row>
    <row r="193" spans="2:11" x14ac:dyDescent="0.25">
      <c r="B193" t="s">
        <v>161</v>
      </c>
      <c r="D193" s="30"/>
      <c r="E193" s="30"/>
      <c r="F193" s="30"/>
      <c r="G193" s="30"/>
      <c r="H193" s="30"/>
      <c r="I193" s="30"/>
      <c r="J193" s="30"/>
      <c r="K193" s="30"/>
    </row>
    <row r="194" spans="2:11" x14ac:dyDescent="0.25">
      <c r="B194" t="s">
        <v>162</v>
      </c>
      <c r="C194" t="s">
        <v>65</v>
      </c>
      <c r="D194" s="30">
        <f ca="1">D170</f>
        <v>192.36072043841634</v>
      </c>
      <c r="E194" s="30">
        <f t="shared" ref="E194:K194" ca="1" si="109">E170</f>
        <v>192.72937626841616</v>
      </c>
      <c r="F194" s="30">
        <f t="shared" ca="1" si="109"/>
        <v>193.10762983014004</v>
      </c>
      <c r="G194" s="30">
        <f t="shared" ca="1" si="109"/>
        <v>193.49687998758068</v>
      </c>
      <c r="H194" s="30">
        <f t="shared" ca="1" si="109"/>
        <v>193.8983817785568</v>
      </c>
      <c r="I194" s="30">
        <f t="shared" ca="1" si="109"/>
        <v>194.31331670477022</v>
      </c>
      <c r="J194" s="30">
        <f t="shared" ca="1" si="109"/>
        <v>194.74283764888187</v>
      </c>
      <c r="K194" s="30">
        <f t="shared" ca="1" si="109"/>
        <v>195.18809992836077</v>
      </c>
    </row>
    <row r="195" spans="2:11" x14ac:dyDescent="0.25">
      <c r="B195" t="s">
        <v>163</v>
      </c>
      <c r="C195" t="s">
        <v>65</v>
      </c>
      <c r="D195" s="30">
        <f ca="1">D194</f>
        <v>192.36072043841634</v>
      </c>
      <c r="E195" s="30">
        <f t="shared" ref="E195:K195" ca="1" si="110">E194</f>
        <v>192.72937626841616</v>
      </c>
      <c r="F195" s="30">
        <f t="shared" ca="1" si="110"/>
        <v>193.10762983014004</v>
      </c>
      <c r="G195" s="30">
        <f t="shared" ca="1" si="110"/>
        <v>193.49687998758068</v>
      </c>
      <c r="H195" s="30">
        <f t="shared" ca="1" si="110"/>
        <v>193.8983817785568</v>
      </c>
      <c r="I195" s="30">
        <f t="shared" ca="1" si="110"/>
        <v>194.31331670477022</v>
      </c>
      <c r="J195" s="30">
        <f t="shared" ca="1" si="110"/>
        <v>194.74283764888187</v>
      </c>
      <c r="K195" s="30">
        <f t="shared" ca="1" si="110"/>
        <v>195.18809992836077</v>
      </c>
    </row>
    <row r="196" spans="2:11" x14ac:dyDescent="0.25">
      <c r="B196" t="s">
        <v>164</v>
      </c>
      <c r="C196" t="s">
        <v>10</v>
      </c>
      <c r="D196" s="12">
        <f ca="1">D181</f>
        <v>82.217811299674452</v>
      </c>
      <c r="E196" s="12">
        <f t="shared" ref="E196:K196" ca="1" si="111">E181</f>
        <v>95.392573099737547</v>
      </c>
      <c r="F196" s="12">
        <f t="shared" ca="1" si="111"/>
        <v>108.78418385912438</v>
      </c>
      <c r="G196" s="12">
        <f t="shared" ca="1" si="111"/>
        <v>122.42642645117353</v>
      </c>
      <c r="H196" s="12">
        <f t="shared" ca="1" si="111"/>
        <v>136.33926477223568</v>
      </c>
      <c r="I196" s="12">
        <f t="shared" ca="1" si="111"/>
        <v>150.53286803946051</v>
      </c>
      <c r="J196" s="12">
        <f t="shared" ca="1" si="111"/>
        <v>165.0104501054181</v>
      </c>
      <c r="K196" s="12">
        <f t="shared" ca="1" si="111"/>
        <v>179.77031077963855</v>
      </c>
    </row>
    <row r="197" spans="2:11" x14ac:dyDescent="0.25">
      <c r="B197" t="s">
        <v>165</v>
      </c>
      <c r="C197" t="s">
        <v>10</v>
      </c>
      <c r="D197" s="12">
        <f ca="1">D196*D35</f>
        <v>81.395633186677713</v>
      </c>
      <c r="E197" s="12">
        <f t="shared" ref="E197:K197" ca="1" si="112">E196*E35</f>
        <v>94.438647368740178</v>
      </c>
      <c r="F197" s="12">
        <f t="shared" ca="1" si="112"/>
        <v>107.69634202053314</v>
      </c>
      <c r="G197" s="12">
        <f t="shared" ca="1" si="112"/>
        <v>121.20216218666179</v>
      </c>
      <c r="H197" s="12">
        <f t="shared" ca="1" si="112"/>
        <v>134.97587212451333</v>
      </c>
      <c r="I197" s="12">
        <f t="shared" ca="1" si="112"/>
        <v>149.02753935906591</v>
      </c>
      <c r="J197" s="12">
        <f t="shared" ca="1" si="112"/>
        <v>163.36034560436391</v>
      </c>
      <c r="K197" s="12">
        <f t="shared" ca="1" si="112"/>
        <v>177.97260767184216</v>
      </c>
    </row>
    <row r="198" spans="2:11" x14ac:dyDescent="0.25">
      <c r="B198" t="s">
        <v>166</v>
      </c>
      <c r="C198" t="s">
        <v>8</v>
      </c>
      <c r="D198" s="12">
        <f ca="1">D176</f>
        <v>477.52718392990602</v>
      </c>
      <c r="E198" s="12">
        <f t="shared" ref="E198:K198" ca="1" si="113">E176</f>
        <v>554.88806932654518</v>
      </c>
      <c r="F198" s="12">
        <f t="shared" ca="1" si="113"/>
        <v>631.2132876560496</v>
      </c>
      <c r="G198" s="12">
        <f t="shared" ca="1" si="113"/>
        <v>706.70796437159447</v>
      </c>
      <c r="H198" s="12">
        <f t="shared" ca="1" si="113"/>
        <v>781.51886473222226</v>
      </c>
      <c r="I198" s="12">
        <f t="shared" ca="1" si="113"/>
        <v>855.75382203439347</v>
      </c>
      <c r="J198" s="12">
        <f t="shared" ca="1" si="113"/>
        <v>929.49361991489775</v>
      </c>
      <c r="K198" s="12">
        <f t="shared" ca="1" si="113"/>
        <v>1002.7996260292007</v>
      </c>
    </row>
    <row r="199" spans="2:11" x14ac:dyDescent="0.25">
      <c r="B199" t="s">
        <v>167</v>
      </c>
      <c r="C199" t="s">
        <v>8</v>
      </c>
      <c r="D199" s="12">
        <f ca="1">D198</f>
        <v>477.52718392990602</v>
      </c>
      <c r="E199" s="12">
        <f t="shared" ref="E199:K199" ca="1" si="114">E198</f>
        <v>554.88806932654518</v>
      </c>
      <c r="F199" s="12">
        <f t="shared" ca="1" si="114"/>
        <v>631.2132876560496</v>
      </c>
      <c r="G199" s="12">
        <f t="shared" ca="1" si="114"/>
        <v>706.70796437159447</v>
      </c>
      <c r="H199" s="12">
        <f t="shared" ca="1" si="114"/>
        <v>781.51886473222226</v>
      </c>
      <c r="I199" s="12">
        <f t="shared" ca="1" si="114"/>
        <v>855.75382203439347</v>
      </c>
      <c r="J199" s="12">
        <f t="shared" ca="1" si="114"/>
        <v>929.49361991489775</v>
      </c>
      <c r="K199" s="12">
        <f t="shared" ca="1" si="114"/>
        <v>1002.7996260292007</v>
      </c>
    </row>
    <row r="200" spans="2:11" x14ac:dyDescent="0.25">
      <c r="B200" t="s">
        <v>168</v>
      </c>
      <c r="C200" t="s">
        <v>10</v>
      </c>
      <c r="D200" s="12">
        <f ca="1">D197/(1+(D15-1)/2)^((D15/(D15-1)))</f>
        <v>43.983271366775185</v>
      </c>
      <c r="E200" s="12">
        <f t="shared" ref="E200:K200" ca="1" si="115">E197/(1+(E15-1)/2)^((E15/(E15-1)))</f>
        <v>51.031246912277126</v>
      </c>
      <c r="F200" s="12">
        <f t="shared" ca="1" si="115"/>
        <v>58.195228058910608</v>
      </c>
      <c r="G200" s="12">
        <f t="shared" ca="1" si="115"/>
        <v>65.493287305348517</v>
      </c>
      <c r="H200" s="12">
        <f t="shared" ca="1" si="115"/>
        <v>72.93610454511817</v>
      </c>
      <c r="I200" s="12">
        <f t="shared" ca="1" si="115"/>
        <v>80.529119906464445</v>
      </c>
      <c r="J200" s="12">
        <f t="shared" ca="1" si="115"/>
        <v>88.274052673171298</v>
      </c>
      <c r="K200" s="12">
        <f t="shared" ca="1" si="115"/>
        <v>96.169993310703219</v>
      </c>
    </row>
    <row r="201" spans="2:11" x14ac:dyDescent="0.25">
      <c r="B201" t="s">
        <v>168</v>
      </c>
      <c r="C201" t="s">
        <v>10</v>
      </c>
      <c r="D201" s="12">
        <f>D8</f>
        <v>10.038766618853135</v>
      </c>
      <c r="E201" s="12">
        <f t="shared" ref="E201:K201" si="116">E8</f>
        <v>10.038766618853135</v>
      </c>
      <c r="F201" s="12">
        <f t="shared" si="116"/>
        <v>10.038766618853135</v>
      </c>
      <c r="G201" s="12">
        <f t="shared" si="116"/>
        <v>10.038766618853135</v>
      </c>
      <c r="H201" s="12">
        <f t="shared" si="116"/>
        <v>10.038766618853135</v>
      </c>
      <c r="I201" s="12">
        <f t="shared" si="116"/>
        <v>10.038766618853135</v>
      </c>
      <c r="J201" s="12">
        <f t="shared" si="116"/>
        <v>10.038766618853135</v>
      </c>
      <c r="K201" s="12">
        <f t="shared" si="116"/>
        <v>10.038766618853135</v>
      </c>
    </row>
    <row r="202" spans="2:11" x14ac:dyDescent="0.25">
      <c r="B202" t="s">
        <v>169</v>
      </c>
      <c r="D202" s="12">
        <f ca="1">IF(D200&lt;D8,SQRT(((((D197/D201)^((D17-1)/D17))-1)*2)/(D17-1)),1)</f>
        <v>1</v>
      </c>
      <c r="E202" s="12">
        <f t="shared" ref="E202:K202" ca="1" si="117">IF(E200&lt;E8,SQRT(((((E197/E201)^((E17-1)/E17))-1)*2)/(E17-1)),1)</f>
        <v>1</v>
      </c>
      <c r="F202" s="12">
        <f t="shared" ca="1" si="117"/>
        <v>1</v>
      </c>
      <c r="G202" s="12">
        <f t="shared" ca="1" si="117"/>
        <v>1</v>
      </c>
      <c r="H202" s="12">
        <f t="shared" ca="1" si="117"/>
        <v>1</v>
      </c>
      <c r="I202" s="12">
        <f t="shared" ca="1" si="117"/>
        <v>1</v>
      </c>
      <c r="J202" s="12">
        <f t="shared" ca="1" si="117"/>
        <v>1</v>
      </c>
      <c r="K202" s="12">
        <f t="shared" ca="1" si="117"/>
        <v>1</v>
      </c>
    </row>
    <row r="203" spans="2:11" x14ac:dyDescent="0.25">
      <c r="B203" t="s">
        <v>170</v>
      </c>
      <c r="D203" s="35">
        <v>1.65</v>
      </c>
      <c r="E203" s="35">
        <v>1.65</v>
      </c>
      <c r="F203" s="35">
        <v>1.65</v>
      </c>
      <c r="G203" s="35">
        <v>1.65</v>
      </c>
      <c r="H203" s="35">
        <v>1.65</v>
      </c>
      <c r="I203" s="35">
        <v>1.65</v>
      </c>
      <c r="J203" s="35">
        <v>1.65</v>
      </c>
      <c r="K203" s="35">
        <v>1.65</v>
      </c>
    </row>
    <row r="204" spans="2:11" x14ac:dyDescent="0.25">
      <c r="B204" t="s">
        <v>67</v>
      </c>
      <c r="D204" s="12">
        <f>(((1+((D15-1)/2)*(D203^2))/((D15+1)/2))^((D15+1)/(2*(D15-1))))/D203</f>
        <v>1.3098165699006912</v>
      </c>
      <c r="E204" s="12">
        <f t="shared" ref="E204:K204" si="118">(((1+((E15-1)/2)*(E203^2))/((E15+1)/2))^((E15+1)/(2*(E15-1))))/E203</f>
        <v>1.3098165699006912</v>
      </c>
      <c r="F204" s="12">
        <f t="shared" si="118"/>
        <v>1.3098165699006912</v>
      </c>
      <c r="G204" s="12">
        <f t="shared" si="118"/>
        <v>1.3098165699006912</v>
      </c>
      <c r="H204" s="12">
        <f t="shared" si="118"/>
        <v>1.3098165699006912</v>
      </c>
      <c r="I204" s="12">
        <f t="shared" si="118"/>
        <v>1.3098165699006912</v>
      </c>
      <c r="J204" s="12">
        <f t="shared" si="118"/>
        <v>1.3098165699006912</v>
      </c>
      <c r="K204" s="12">
        <f t="shared" si="118"/>
        <v>1.3098165699006912</v>
      </c>
    </row>
    <row r="205" spans="2:11" x14ac:dyDescent="0.25">
      <c r="B205" t="s">
        <v>171</v>
      </c>
      <c r="D205" s="12">
        <f ca="1">D204/D213</f>
        <v>0.76457853605427228</v>
      </c>
      <c r="E205" s="12">
        <f t="shared" ref="E205:K205" ca="1" si="119">E204/E213</f>
        <v>0.82136385875580842</v>
      </c>
      <c r="F205" s="12">
        <f t="shared" ca="1" si="119"/>
        <v>0.87649590898581831</v>
      </c>
      <c r="G205" s="12">
        <f t="shared" ca="1" si="119"/>
        <v>0.93036389589931512</v>
      </c>
      <c r="H205" s="12">
        <f t="shared" ca="1" si="119"/>
        <v>0.98321538472890269</v>
      </c>
      <c r="I205" s="12">
        <f t="shared" ca="1" si="119"/>
        <v>1.0352040989015796</v>
      </c>
      <c r="J205" s="12">
        <f t="shared" ca="1" si="119"/>
        <v>1.0864215803688129</v>
      </c>
      <c r="K205" s="12">
        <f t="shared" ca="1" si="119"/>
        <v>1.1369181151739964</v>
      </c>
    </row>
    <row r="206" spans="2:11" x14ac:dyDescent="0.25">
      <c r="B206" t="s">
        <v>172</v>
      </c>
      <c r="D206" s="12">
        <f ca="1">D197/D201</f>
        <v>8.1081308368912595</v>
      </c>
      <c r="E206" s="12">
        <f t="shared" ref="E206:K206" ca="1" si="120">E197/E201</f>
        <v>9.4073954455103355</v>
      </c>
      <c r="F206" s="12">
        <f t="shared" ca="1" si="120"/>
        <v>10.728045198129804</v>
      </c>
      <c r="G206" s="12">
        <f t="shared" ca="1" si="120"/>
        <v>12.073411683766025</v>
      </c>
      <c r="H206" s="12">
        <f t="shared" ca="1" si="120"/>
        <v>13.445463695811414</v>
      </c>
      <c r="I206" s="12">
        <f t="shared" ca="1" si="120"/>
        <v>14.845204098996312</v>
      </c>
      <c r="J206" s="12">
        <f t="shared" ca="1" si="120"/>
        <v>16.272949836045377</v>
      </c>
      <c r="K206" s="12">
        <f t="shared" ca="1" si="120"/>
        <v>17.728533238097569</v>
      </c>
    </row>
    <row r="207" spans="2:11" x14ac:dyDescent="0.25">
      <c r="B207" t="s">
        <v>173</v>
      </c>
      <c r="D207" s="12">
        <f ca="1">D197/((1+((D15-1)*0.5*(D203^2)))^(D15/(D15-1)))</f>
        <v>18.246939436487128</v>
      </c>
      <c r="E207" s="12">
        <f t="shared" ref="E207:K207" ca="1" si="121">E197/((1+((E15-1)*0.5*(E203^2)))^(E15/(E15-1)))</f>
        <v>21.170868897217581</v>
      </c>
      <c r="F207" s="12">
        <f t="shared" ca="1" si="121"/>
        <v>24.142924545754511</v>
      </c>
      <c r="G207" s="12">
        <f t="shared" ca="1" si="121"/>
        <v>27.170603955118352</v>
      </c>
      <c r="H207" s="12">
        <f t="shared" ca="1" si="121"/>
        <v>30.258337795523605</v>
      </c>
      <c r="I207" s="12">
        <f t="shared" ca="1" si="121"/>
        <v>33.408382963456738</v>
      </c>
      <c r="J207" s="12">
        <f t="shared" ca="1" si="121"/>
        <v>36.621452722531508</v>
      </c>
      <c r="K207" s="12">
        <f t="shared" ca="1" si="121"/>
        <v>39.897169742434166</v>
      </c>
    </row>
    <row r="208" spans="2:11" x14ac:dyDescent="0.25">
      <c r="B208" t="s">
        <v>174</v>
      </c>
      <c r="C208" t="s">
        <v>8</v>
      </c>
      <c r="D208" s="12">
        <f ca="1">D199/(1+((D15-1)*0.5*(D203^2)))</f>
        <v>329.50804932327452</v>
      </c>
      <c r="E208" s="12">
        <f t="shared" ref="E208:K208" ca="1" si="122">E199/(1+((E15-1)*0.5*(E203^2)))</f>
        <v>382.88937566198553</v>
      </c>
      <c r="F208" s="12">
        <f t="shared" ca="1" si="122"/>
        <v>435.55606072680825</v>
      </c>
      <c r="G208" s="12">
        <f t="shared" ca="1" si="122"/>
        <v>487.64964721984836</v>
      </c>
      <c r="H208" s="12">
        <f t="shared" ca="1" si="122"/>
        <v>539.27140756253641</v>
      </c>
      <c r="I208" s="12">
        <f t="shared" ca="1" si="122"/>
        <v>590.4957499568859</v>
      </c>
      <c r="J208" s="12">
        <f t="shared" ca="1" si="122"/>
        <v>641.37841753013981</v>
      </c>
      <c r="K208" s="12">
        <f t="shared" ca="1" si="122"/>
        <v>691.96175580130637</v>
      </c>
    </row>
    <row r="209" spans="1:11" x14ac:dyDescent="0.25">
      <c r="B209" t="s">
        <v>175</v>
      </c>
      <c r="C209" t="s">
        <v>84</v>
      </c>
      <c r="D209" s="12">
        <f ca="1">SQRT((D15-1)*D14*D208)</f>
        <v>356.61335155371842</v>
      </c>
      <c r="E209" s="12">
        <f t="shared" ref="E209:K209" ca="1" si="123">SQRT((E15-1)*E14*E208)</f>
        <v>384.41581190950916</v>
      </c>
      <c r="F209" s="12">
        <f t="shared" ca="1" si="123"/>
        <v>410.00260459785028</v>
      </c>
      <c r="G209" s="12">
        <f t="shared" ca="1" si="123"/>
        <v>433.82896246019902</v>
      </c>
      <c r="H209" s="12">
        <f t="shared" ca="1" si="123"/>
        <v>456.2136572321582</v>
      </c>
      <c r="I209" s="12">
        <f t="shared" ca="1" si="123"/>
        <v>477.38962140596544</v>
      </c>
      <c r="J209" s="12">
        <f t="shared" ca="1" si="123"/>
        <v>497.53284452317826</v>
      </c>
      <c r="K209" s="12">
        <f t="shared" ca="1" si="123"/>
        <v>516.77992074694157</v>
      </c>
    </row>
    <row r="210" spans="1:11" x14ac:dyDescent="0.25">
      <c r="B210" t="s">
        <v>176</v>
      </c>
      <c r="C210" t="s">
        <v>84</v>
      </c>
      <c r="D210" s="12">
        <f ca="1">D209*D203</f>
        <v>588.41203006363537</v>
      </c>
      <c r="E210" s="12">
        <f t="shared" ref="E210:K210" ca="1" si="124">E209*E203</f>
        <v>634.28608965069009</v>
      </c>
      <c r="F210" s="12">
        <f t="shared" ca="1" si="124"/>
        <v>676.50429758645294</v>
      </c>
      <c r="G210" s="12">
        <f t="shared" ca="1" si="124"/>
        <v>715.81778805932834</v>
      </c>
      <c r="H210" s="12">
        <f t="shared" ca="1" si="124"/>
        <v>752.75253443306099</v>
      </c>
      <c r="I210" s="12">
        <f t="shared" ca="1" si="124"/>
        <v>787.69287531984298</v>
      </c>
      <c r="J210" s="12">
        <f t="shared" ca="1" si="124"/>
        <v>820.92919346324413</v>
      </c>
      <c r="K210" s="12">
        <f t="shared" ca="1" si="124"/>
        <v>852.68686923245355</v>
      </c>
    </row>
    <row r="211" spans="1:11" x14ac:dyDescent="0.25">
      <c r="B211" t="s">
        <v>177</v>
      </c>
      <c r="C211" t="s">
        <v>87</v>
      </c>
      <c r="D211" s="30">
        <f>((D15-1)/D15)*D14/1000</f>
        <v>0.29018671690639142</v>
      </c>
      <c r="E211" s="30">
        <f t="shared" ref="E211:K211" si="125">((E15-1)/E15)*E14/1000</f>
        <v>0.29018671690639142</v>
      </c>
      <c r="F211" s="30">
        <f t="shared" si="125"/>
        <v>0.29018671690639142</v>
      </c>
      <c r="G211" s="30">
        <f t="shared" si="125"/>
        <v>0.29018671690639142</v>
      </c>
      <c r="H211" s="30">
        <f t="shared" si="125"/>
        <v>0.29018671690639142</v>
      </c>
      <c r="I211" s="30">
        <f t="shared" si="125"/>
        <v>0.29018671690639142</v>
      </c>
      <c r="J211" s="30">
        <f t="shared" si="125"/>
        <v>0.29018671690639142</v>
      </c>
      <c r="K211" s="30">
        <f t="shared" si="125"/>
        <v>0.29018671690639142</v>
      </c>
    </row>
    <row r="212" spans="1:11" x14ac:dyDescent="0.25">
      <c r="B212" t="s">
        <v>178</v>
      </c>
      <c r="C212" t="s">
        <v>179</v>
      </c>
      <c r="D212" s="12">
        <f ca="1">D207/(D211*D208)</f>
        <v>0.19082992227786225</v>
      </c>
      <c r="E212" s="12">
        <f t="shared" ref="E212:K212" ca="1" si="126">E207/(E211*E208)</f>
        <v>0.1905407357759403</v>
      </c>
      <c r="F212" s="12">
        <f t="shared" ca="1" si="126"/>
        <v>0.19101535799905534</v>
      </c>
      <c r="G212" s="12">
        <f t="shared" ca="1" si="126"/>
        <v>0.19200557934949494</v>
      </c>
      <c r="H212" s="12">
        <f t="shared" ca="1" si="126"/>
        <v>0.19335710875204465</v>
      </c>
      <c r="I212" s="12">
        <f t="shared" ca="1" si="126"/>
        <v>0.19496701841753805</v>
      </c>
      <c r="J212" s="12">
        <f t="shared" ca="1" si="126"/>
        <v>0.19676311863175061</v>
      </c>
      <c r="K212" s="12">
        <f t="shared" ca="1" si="126"/>
        <v>0.19869295440313409</v>
      </c>
    </row>
    <row r="213" spans="1:11" x14ac:dyDescent="0.25">
      <c r="B213" t="s">
        <v>180</v>
      </c>
      <c r="C213" t="s">
        <v>95</v>
      </c>
      <c r="D213" s="17">
        <f ca="1">D195/(D212*D210)</f>
        <v>1.7131223388250016</v>
      </c>
      <c r="E213" s="17">
        <f t="shared" ref="E213:K213" ca="1" si="127">E195/(E212*E210)</f>
        <v>1.594684932795539</v>
      </c>
      <c r="F213" s="17">
        <f t="shared" ca="1" si="127"/>
        <v>1.4943784180536135</v>
      </c>
      <c r="G213" s="17">
        <f t="shared" ca="1" si="127"/>
        <v>1.407854040417795</v>
      </c>
      <c r="H213" s="17">
        <f t="shared" ca="1" si="127"/>
        <v>1.3321766423150923</v>
      </c>
      <c r="I213" s="17">
        <f t="shared" ca="1" si="127"/>
        <v>1.265273747747419</v>
      </c>
      <c r="J213" s="17">
        <f t="shared" ca="1" si="127"/>
        <v>1.2056245877001461</v>
      </c>
      <c r="K213" s="17">
        <f t="shared" ca="1" si="127"/>
        <v>1.1520764357776407</v>
      </c>
    </row>
    <row r="214" spans="1:11" s="49" customFormat="1" x14ac:dyDescent="0.25">
      <c r="B214" s="49" t="s">
        <v>181</v>
      </c>
    </row>
    <row r="216" spans="1:11" x14ac:dyDescent="0.25">
      <c r="A216" t="s">
        <v>182</v>
      </c>
      <c r="D216" s="12"/>
      <c r="E216" s="12"/>
      <c r="F216" s="12"/>
      <c r="G216" s="12"/>
      <c r="H216" s="12"/>
      <c r="I216" s="12"/>
      <c r="J216" s="12"/>
      <c r="K216" s="12"/>
    </row>
    <row r="217" spans="1:11" x14ac:dyDescent="0.25">
      <c r="B217" t="s">
        <v>183</v>
      </c>
      <c r="C217" t="s">
        <v>184</v>
      </c>
      <c r="D217" s="28">
        <f ca="1">(D195*(D210-D90)+D213*1000*(D207-D8))</f>
        <v>12421.995312104922</v>
      </c>
      <c r="E217" s="28">
        <f t="shared" ref="E217:K217" ca="1" si="128">(E195*(E210-E90)+E213*1000*(E207-E8))</f>
        <v>24950.723481331352</v>
      </c>
      <c r="F217" s="28">
        <f t="shared" ca="1" si="128"/>
        <v>36442.262926958996</v>
      </c>
      <c r="G217" s="28">
        <f t="shared" ca="1" si="128"/>
        <v>47122.449987898508</v>
      </c>
      <c r="H217" s="28">
        <f t="shared" ca="1" si="128"/>
        <v>57148.682959664089</v>
      </c>
      <c r="I217" s="28">
        <f t="shared" ca="1" si="128"/>
        <v>66635.631969841837</v>
      </c>
      <c r="J217" s="28">
        <f t="shared" ca="1" si="128"/>
        <v>75669.879021275046</v>
      </c>
      <c r="K217" s="28">
        <f t="shared" ca="1" si="128"/>
        <v>84318.757965256518</v>
      </c>
    </row>
    <row r="218" spans="1:11" x14ac:dyDescent="0.25">
      <c r="D218" s="28">
        <v>44600</v>
      </c>
      <c r="E218" s="28">
        <v>44600</v>
      </c>
      <c r="F218" s="28">
        <v>44600</v>
      </c>
      <c r="G218" s="28">
        <v>44600</v>
      </c>
      <c r="H218" s="28">
        <v>44600</v>
      </c>
      <c r="I218" s="28">
        <v>44600</v>
      </c>
      <c r="J218" s="28">
        <v>44600</v>
      </c>
      <c r="K218" s="28">
        <v>44600</v>
      </c>
    </row>
    <row r="219" spans="1:11" x14ac:dyDescent="0.25">
      <c r="D219" s="31">
        <f ca="1">(D217-D218)/D218</f>
        <v>0</v>
      </c>
      <c r="E219" s="31">
        <f t="shared" ref="E219:K219" ca="1" si="129">(E217-E218)/E218</f>
        <v>-0.44056673808674102</v>
      </c>
      <c r="F219" s="31">
        <f t="shared" ca="1" si="129"/>
        <v>-0.18290890298298215</v>
      </c>
      <c r="G219" s="31">
        <f t="shared" ca="1" si="129"/>
        <v>5.6557174616558473E-2</v>
      </c>
      <c r="H219" s="31">
        <f t="shared" ca="1" si="129"/>
        <v>0.2813606044767733</v>
      </c>
      <c r="I219" s="31">
        <f t="shared" ca="1" si="129"/>
        <v>0.49407246569152102</v>
      </c>
      <c r="J219" s="31">
        <f t="shared" ca="1" si="129"/>
        <v>0.69663405877298312</v>
      </c>
      <c r="K219" s="31">
        <f t="shared" ca="1" si="129"/>
        <v>0.89055511132862153</v>
      </c>
    </row>
    <row r="220" spans="1:11" x14ac:dyDescent="0.25">
      <c r="B220" t="s">
        <v>185</v>
      </c>
      <c r="C220" t="s">
        <v>186</v>
      </c>
      <c r="D220" s="12">
        <f ca="1">D217/D194</f>
        <v>64.576568874318511</v>
      </c>
      <c r="E220" s="12">
        <f t="shared" ref="E220:K220" ca="1" si="130">E217/E194</f>
        <v>129.45988807944994</v>
      </c>
      <c r="F220" s="12">
        <f t="shared" ca="1" si="130"/>
        <v>188.71477506618501</v>
      </c>
      <c r="G220" s="12">
        <f t="shared" ca="1" si="130"/>
        <v>243.53080003627446</v>
      </c>
      <c r="H220" s="12">
        <f t="shared" ca="1" si="130"/>
        <v>294.73522386035796</v>
      </c>
      <c r="I220" s="12">
        <f t="shared" ca="1" si="130"/>
        <v>342.9287971605396</v>
      </c>
      <c r="J220" s="12">
        <f t="shared" ca="1" si="130"/>
        <v>388.56309138160242</v>
      </c>
      <c r="K220" s="12">
        <f t="shared" ca="1" si="130"/>
        <v>431.98718567476067</v>
      </c>
    </row>
    <row r="221" spans="1:11" x14ac:dyDescent="0.25">
      <c r="B221" t="s">
        <v>187</v>
      </c>
      <c r="C221" t="s">
        <v>188</v>
      </c>
      <c r="D221" s="20">
        <f ca="1">D133/D217</f>
        <v>3.2067146762137941E-5</v>
      </c>
      <c r="E221" s="20">
        <f t="shared" ref="E221:K221" ca="1" si="131">E133/E217</f>
        <v>3.2280840394375823E-5</v>
      </c>
      <c r="F221" s="20">
        <f t="shared" ca="1" si="131"/>
        <v>3.3563070386635645E-5</v>
      </c>
      <c r="G221" s="20">
        <f t="shared" ca="1" si="131"/>
        <v>3.5077448569707085E-5</v>
      </c>
      <c r="H221" s="20">
        <f t="shared" ca="1" si="131"/>
        <v>3.6681161229379629E-5</v>
      </c>
      <c r="I221" s="20">
        <f t="shared" ca="1" si="131"/>
        <v>3.833464855780392E-5</v>
      </c>
      <c r="J221" s="20">
        <f t="shared" ca="1" si="131"/>
        <v>4.0025557536201611E-5</v>
      </c>
      <c r="K221" s="20">
        <f t="shared" ca="1" si="131"/>
        <v>4.1750883921805737E-5</v>
      </c>
    </row>
    <row r="222" spans="1:11" x14ac:dyDescent="0.25">
      <c r="D222">
        <v>44582.222222222132</v>
      </c>
      <c r="E222">
        <v>44582.222222222132</v>
      </c>
      <c r="F222">
        <v>44582.222222222132</v>
      </c>
      <c r="G222">
        <v>44582.222222222132</v>
      </c>
      <c r="H222">
        <v>44582.222222222132</v>
      </c>
      <c r="I222">
        <v>44582.222222222132</v>
      </c>
      <c r="J222">
        <v>44582.222222222132</v>
      </c>
      <c r="K222">
        <v>44582.222222222132</v>
      </c>
    </row>
  </sheetData>
  <mergeCells count="1">
    <mergeCell ref="A4:B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221"/>
  <sheetViews>
    <sheetView tabSelected="1" topLeftCell="A196" zoomScale="85" zoomScaleNormal="85" workbookViewId="0">
      <selection activeCell="R199" sqref="R199"/>
    </sheetView>
  </sheetViews>
  <sheetFormatPr defaultColWidth="9.140625" defaultRowHeight="15" x14ac:dyDescent="0.25"/>
  <cols>
    <col min="2" max="2" width="23.85546875" bestFit="1" customWidth="1"/>
    <col min="4" max="4" width="13.7109375" bestFit="1" customWidth="1"/>
    <col min="5" max="7" width="13.7109375" hidden="1" customWidth="1"/>
    <col min="8" max="8" width="3" customWidth="1"/>
    <col min="9" max="9" width="12.42578125" customWidth="1"/>
    <col min="10" max="12" width="13.7109375" hidden="1" customWidth="1"/>
    <col min="13" max="13" width="3.7109375" customWidth="1"/>
    <col min="14" max="14" width="12.42578125" customWidth="1"/>
    <col min="15" max="15" width="13.7109375" customWidth="1"/>
    <col min="16" max="16" width="14.85546875" bestFit="1" customWidth="1"/>
    <col min="17" max="17" width="13.7109375" customWidth="1"/>
    <col min="19" max="19" width="29.140625" bestFit="1" customWidth="1"/>
    <col min="21" max="21" width="8.85546875" bestFit="1" customWidth="1"/>
    <col min="30" max="30" width="11" bestFit="1" customWidth="1"/>
  </cols>
  <sheetData>
    <row r="1" spans="1:16" x14ac:dyDescent="0.25">
      <c r="A1" t="s">
        <v>0</v>
      </c>
    </row>
    <row r="4" spans="1:16" s="26" customFormat="1" ht="30" x14ac:dyDescent="0.25">
      <c r="A4" s="61" t="s">
        <v>1</v>
      </c>
      <c r="B4" s="61"/>
      <c r="D4" s="26" t="s">
        <v>2</v>
      </c>
      <c r="E4" s="26" t="s">
        <v>189</v>
      </c>
      <c r="F4" s="26" t="s">
        <v>190</v>
      </c>
      <c r="I4" s="26" t="s">
        <v>2</v>
      </c>
      <c r="J4" s="26" t="s">
        <v>189</v>
      </c>
      <c r="K4" s="26" t="s">
        <v>190</v>
      </c>
      <c r="N4" s="26" t="s">
        <v>2</v>
      </c>
    </row>
    <row r="5" spans="1:16" x14ac:dyDescent="0.25">
      <c r="A5" t="s">
        <v>3</v>
      </c>
      <c r="B5" t="s">
        <v>4</v>
      </c>
      <c r="C5" t="s">
        <v>5</v>
      </c>
      <c r="D5">
        <v>16130</v>
      </c>
      <c r="I5">
        <v>0</v>
      </c>
      <c r="N5">
        <v>0</v>
      </c>
    </row>
    <row r="6" spans="1:16" x14ac:dyDescent="0.25">
      <c r="B6" t="s">
        <v>6</v>
      </c>
      <c r="C6" t="s">
        <v>7</v>
      </c>
      <c r="D6">
        <v>-51.499999999999972</v>
      </c>
      <c r="I6">
        <v>25.000000000000046</v>
      </c>
      <c r="N6">
        <v>25.000000000000046</v>
      </c>
    </row>
    <row r="7" spans="1:16" x14ac:dyDescent="0.25">
      <c r="B7" t="s">
        <v>6</v>
      </c>
      <c r="C7" t="s">
        <v>8</v>
      </c>
      <c r="D7">
        <f>CONVERT(D6,"C","K")</f>
        <v>221.65</v>
      </c>
      <c r="I7">
        <f>I6+273.15</f>
        <v>298.15000000000003</v>
      </c>
      <c r="N7">
        <f>N6+273.15</f>
        <v>298.15000000000003</v>
      </c>
    </row>
    <row r="8" spans="1:16" x14ac:dyDescent="0.25">
      <c r="B8" t="s">
        <v>9</v>
      </c>
      <c r="C8" t="s">
        <v>10</v>
      </c>
      <c r="D8" s="36">
        <v>10.038766618853135</v>
      </c>
      <c r="E8" s="13"/>
      <c r="F8" s="13"/>
      <c r="G8" s="13"/>
      <c r="H8" s="13"/>
      <c r="I8" s="36">
        <v>101.32535318040225</v>
      </c>
      <c r="J8" s="13"/>
      <c r="K8" s="13"/>
      <c r="L8" s="13"/>
      <c r="M8" s="13"/>
      <c r="N8" s="36">
        <v>101.32535318040225</v>
      </c>
      <c r="O8" s="13"/>
      <c r="P8" s="13"/>
    </row>
    <row r="9" spans="1:16" x14ac:dyDescent="0.25">
      <c r="B9" t="s">
        <v>11</v>
      </c>
      <c r="D9" s="40">
        <v>1.9992291457367513</v>
      </c>
      <c r="I9" s="40">
        <v>0.30187363257350508</v>
      </c>
      <c r="N9" s="40">
        <v>0.30187363257350508</v>
      </c>
    </row>
    <row r="11" spans="1:16" x14ac:dyDescent="0.25">
      <c r="A11" s="2" t="s">
        <v>12</v>
      </c>
      <c r="B11" s="2"/>
    </row>
    <row r="12" spans="1:16" x14ac:dyDescent="0.25">
      <c r="B12" t="s">
        <v>13</v>
      </c>
      <c r="C12" t="s">
        <v>14</v>
      </c>
      <c r="D12" s="23">
        <v>1005.5464824120608</v>
      </c>
      <c r="I12" s="23">
        <v>1005.5464824120608</v>
      </c>
      <c r="N12" s="23">
        <v>1005.5464824120608</v>
      </c>
    </row>
    <row r="13" spans="1:16" x14ac:dyDescent="0.25">
      <c r="B13" t="s">
        <v>15</v>
      </c>
      <c r="D13">
        <v>1.4</v>
      </c>
      <c r="I13">
        <v>1.4</v>
      </c>
      <c r="N13">
        <v>1.4</v>
      </c>
    </row>
    <row r="14" spans="1:16" x14ac:dyDescent="0.25">
      <c r="B14" t="s">
        <v>16</v>
      </c>
      <c r="C14" t="s">
        <v>17</v>
      </c>
      <c r="D14" s="13">
        <v>1169.5404045015168</v>
      </c>
      <c r="I14" s="13">
        <v>1169.5404045015168</v>
      </c>
      <c r="N14" s="13">
        <v>1169.5404045015168</v>
      </c>
    </row>
    <row r="15" spans="1:16" x14ac:dyDescent="0.25">
      <c r="B15" t="s">
        <v>18</v>
      </c>
      <c r="D15">
        <v>1.33</v>
      </c>
      <c r="I15">
        <v>1.33</v>
      </c>
      <c r="N15">
        <v>1.33</v>
      </c>
    </row>
    <row r="16" spans="1:16" x14ac:dyDescent="0.25">
      <c r="B16" t="s">
        <v>19</v>
      </c>
      <c r="C16" t="s">
        <v>17</v>
      </c>
      <c r="D16">
        <f>1.2351*1000</f>
        <v>1235.1000000000001</v>
      </c>
      <c r="I16">
        <f>1.2351*1000</f>
        <v>1235.1000000000001</v>
      </c>
      <c r="N16">
        <f>1.2351*1000</f>
        <v>1235.1000000000001</v>
      </c>
    </row>
    <row r="17" spans="1:16" x14ac:dyDescent="0.25">
      <c r="B17" t="s">
        <v>20</v>
      </c>
      <c r="D17">
        <v>1.3</v>
      </c>
      <c r="I17">
        <v>1.3</v>
      </c>
      <c r="N17">
        <v>1.3</v>
      </c>
    </row>
    <row r="18" spans="1:16" x14ac:dyDescent="0.25">
      <c r="B18" t="s">
        <v>21</v>
      </c>
      <c r="C18" t="s">
        <v>22</v>
      </c>
      <c r="D18">
        <v>43152.88</v>
      </c>
      <c r="I18">
        <v>43152.88</v>
      </c>
      <c r="N18">
        <v>43152.88</v>
      </c>
    </row>
    <row r="20" spans="1:16" x14ac:dyDescent="0.25">
      <c r="A20" t="s">
        <v>23</v>
      </c>
    </row>
    <row r="21" spans="1:16" x14ac:dyDescent="0.25">
      <c r="A21" t="s">
        <v>24</v>
      </c>
    </row>
    <row r="22" spans="1:16" x14ac:dyDescent="0.25">
      <c r="B22" t="s">
        <v>25</v>
      </c>
      <c r="C22" t="s">
        <v>26</v>
      </c>
      <c r="D22">
        <v>8382</v>
      </c>
      <c r="I22">
        <v>8382</v>
      </c>
      <c r="N22">
        <v>8382</v>
      </c>
    </row>
    <row r="23" spans="1:16" x14ac:dyDescent="0.25">
      <c r="B23" t="s">
        <v>27</v>
      </c>
      <c r="C23" t="s">
        <v>26</v>
      </c>
      <c r="D23">
        <v>5819</v>
      </c>
      <c r="I23">
        <v>5819</v>
      </c>
      <c r="N23">
        <v>5819</v>
      </c>
    </row>
    <row r="25" spans="1:16" x14ac:dyDescent="0.25">
      <c r="A25" s="9" t="s">
        <v>28</v>
      </c>
      <c r="B25" s="9"/>
      <c r="D25" s="41">
        <f>D26*D27*D36</f>
        <v>13.494671405181897</v>
      </c>
      <c r="I25" s="41">
        <f>I26*I27*I36</f>
        <v>28.815688682949265</v>
      </c>
      <c r="N25" s="41">
        <f>N26*N27*N36</f>
        <v>28.815688682949265</v>
      </c>
    </row>
    <row r="26" spans="1:16" x14ac:dyDescent="0.25">
      <c r="B26" t="s">
        <v>29</v>
      </c>
      <c r="C26" t="s">
        <v>30</v>
      </c>
      <c r="D26" s="12">
        <v>0.93700000000000006</v>
      </c>
      <c r="E26" s="12"/>
      <c r="F26" s="12"/>
      <c r="G26" s="12"/>
      <c r="H26" s="12"/>
      <c r="I26" s="12">
        <f>15.436/15.655</f>
        <v>0.98601085915043118</v>
      </c>
      <c r="J26" s="12"/>
      <c r="K26" s="12"/>
      <c r="L26" s="12"/>
      <c r="M26" s="12"/>
      <c r="N26" s="12">
        <f>15.436/15.655</f>
        <v>0.98601085915043118</v>
      </c>
      <c r="O26" s="12"/>
      <c r="P26" s="12"/>
    </row>
    <row r="27" spans="1:16" x14ac:dyDescent="0.25">
      <c r="B27" t="s">
        <v>31</v>
      </c>
      <c r="C27" t="s">
        <v>30</v>
      </c>
      <c r="D27" s="13">
        <f>D28*D30</f>
        <v>14.695915541548034</v>
      </c>
      <c r="E27" s="13"/>
      <c r="F27" s="13"/>
      <c r="G27" s="13"/>
      <c r="H27" s="13"/>
      <c r="I27" s="13">
        <f>I28*I30</f>
        <v>31.415999999999997</v>
      </c>
      <c r="J27" s="13"/>
      <c r="K27" s="13"/>
      <c r="L27" s="13"/>
      <c r="M27" s="13"/>
      <c r="N27" s="13">
        <f>N28*N30</f>
        <v>31.415999999999997</v>
      </c>
      <c r="O27" s="13"/>
      <c r="P27" s="13"/>
    </row>
    <row r="28" spans="1:16" x14ac:dyDescent="0.25">
      <c r="B28" t="s">
        <v>32</v>
      </c>
      <c r="D28" s="12">
        <v>1.7390246185528409</v>
      </c>
      <c r="E28" s="13"/>
      <c r="F28" s="13"/>
      <c r="G28" s="13"/>
      <c r="H28" s="13"/>
      <c r="I28" s="13">
        <v>2.38</v>
      </c>
      <c r="J28" s="13">
        <f ca="1">I158/I93</f>
        <v>3.2079829875227284</v>
      </c>
      <c r="K28" s="13"/>
      <c r="L28" s="13"/>
      <c r="M28" s="13"/>
      <c r="N28" s="13">
        <v>2.38</v>
      </c>
      <c r="O28" s="13"/>
      <c r="P28" s="13"/>
    </row>
    <row r="29" spans="1:16" x14ac:dyDescent="0.25">
      <c r="B29" s="2" t="s">
        <v>33</v>
      </c>
      <c r="C29" t="s">
        <v>30</v>
      </c>
      <c r="D29" s="12">
        <v>1.5758682018159693</v>
      </c>
      <c r="E29" s="12">
        <f>D29*D30</f>
        <v>13.317135221334976</v>
      </c>
      <c r="F29" s="12"/>
      <c r="G29" s="12"/>
      <c r="H29" s="12"/>
      <c r="I29" s="12">
        <f>I28/(D28/D29)</f>
        <v>2.1567068575734738</v>
      </c>
      <c r="J29" s="31">
        <f ca="1">K161</f>
        <v>-4.021876183670683E-4</v>
      </c>
      <c r="K29" s="12"/>
      <c r="L29" s="12"/>
      <c r="M29" s="12"/>
      <c r="N29" s="12">
        <f>N28/(I28/I29)</f>
        <v>2.1567068575734738</v>
      </c>
      <c r="O29" s="12"/>
      <c r="P29" s="12"/>
    </row>
    <row r="30" spans="1:16" x14ac:dyDescent="0.25">
      <c r="B30" s="2" t="s">
        <v>34</v>
      </c>
      <c r="C30" t="s">
        <v>30</v>
      </c>
      <c r="D30" s="12">
        <v>8.4506656114951912</v>
      </c>
      <c r="E30" s="12">
        <f>E29*0.99</f>
        <v>13.183963869121627</v>
      </c>
      <c r="F30" s="12"/>
      <c r="G30" s="12"/>
      <c r="H30" s="12"/>
      <c r="I30" s="12">
        <v>13.2</v>
      </c>
      <c r="J30" s="31">
        <f ca="1">K149</f>
        <v>1.2281387488093578E-3</v>
      </c>
      <c r="K30" s="12"/>
      <c r="L30" s="12"/>
      <c r="M30" s="12"/>
      <c r="N30" s="12">
        <v>13.2</v>
      </c>
      <c r="O30" s="12"/>
      <c r="P30" s="12"/>
    </row>
    <row r="31" spans="1:16" x14ac:dyDescent="0.25">
      <c r="B31" t="s">
        <v>35</v>
      </c>
      <c r="C31" t="s">
        <v>30</v>
      </c>
      <c r="D31" s="13">
        <v>0.96</v>
      </c>
      <c r="E31" s="13"/>
      <c r="F31" s="13"/>
      <c r="G31" s="13"/>
      <c r="H31" s="13"/>
      <c r="I31" s="12">
        <v>0.96</v>
      </c>
      <c r="J31" s="13"/>
      <c r="K31" s="13"/>
      <c r="L31" s="13"/>
      <c r="M31" s="13"/>
      <c r="N31" s="12">
        <v>0.96</v>
      </c>
      <c r="O31" s="13"/>
      <c r="P31" s="13"/>
    </row>
    <row r="32" spans="1:16" x14ac:dyDescent="0.25">
      <c r="B32" t="s">
        <v>36</v>
      </c>
      <c r="C32" t="s">
        <v>30</v>
      </c>
      <c r="D32" s="13">
        <v>0.99</v>
      </c>
      <c r="E32" s="13"/>
      <c r="F32" s="13"/>
      <c r="G32" s="13"/>
      <c r="H32" s="13"/>
      <c r="I32" s="12">
        <v>0.99</v>
      </c>
      <c r="J32" s="13"/>
      <c r="K32" s="13"/>
      <c r="L32" s="13"/>
      <c r="M32" s="13"/>
      <c r="N32" s="12">
        <v>0.99</v>
      </c>
      <c r="O32" s="13"/>
      <c r="P32" s="13"/>
    </row>
    <row r="33" spans="1:17" x14ac:dyDescent="0.25">
      <c r="B33" t="s">
        <v>37</v>
      </c>
      <c r="D33" s="13">
        <f>18.392/18.578</f>
        <v>0.98998815803638718</v>
      </c>
      <c r="E33" s="13"/>
      <c r="F33" s="13"/>
      <c r="G33" s="13"/>
      <c r="H33" s="13"/>
      <c r="I33" s="12">
        <f>33.471/39.86</f>
        <v>0.83971399899648769</v>
      </c>
      <c r="J33" s="13"/>
      <c r="K33" s="13"/>
      <c r="L33" s="13"/>
      <c r="M33" s="13"/>
      <c r="N33" s="12">
        <f>33.471/39.86</f>
        <v>0.83971399899648769</v>
      </c>
      <c r="O33" s="13"/>
      <c r="P33" s="13"/>
    </row>
    <row r="34" spans="1:17" x14ac:dyDescent="0.25">
      <c r="B34" t="s">
        <v>38</v>
      </c>
      <c r="C34" t="s">
        <v>30</v>
      </c>
      <c r="D34" s="13">
        <f>16.824/16.994</f>
        <v>0.98999646934212082</v>
      </c>
      <c r="E34" s="13"/>
      <c r="F34" s="13"/>
      <c r="G34" s="13"/>
      <c r="H34" s="13"/>
      <c r="I34" s="12">
        <v>0.99</v>
      </c>
      <c r="J34" s="13"/>
      <c r="K34" s="13"/>
      <c r="L34" s="13"/>
      <c r="M34" s="13"/>
      <c r="N34" s="12">
        <v>0.99</v>
      </c>
      <c r="O34" s="13"/>
      <c r="P34" s="13"/>
    </row>
    <row r="35" spans="1:17" x14ac:dyDescent="0.25">
      <c r="B35" t="s">
        <v>39</v>
      </c>
      <c r="C35" t="s">
        <v>30</v>
      </c>
      <c r="D35" s="13">
        <v>0.99</v>
      </c>
      <c r="E35" s="13"/>
      <c r="F35" s="13"/>
      <c r="G35" s="13"/>
      <c r="H35" s="13"/>
      <c r="I35" s="12">
        <v>0.99</v>
      </c>
      <c r="J35" s="13"/>
      <c r="K35" s="13"/>
      <c r="L35" s="13"/>
      <c r="M35" s="13"/>
      <c r="N35" s="12">
        <v>0.99</v>
      </c>
      <c r="O35" s="13"/>
      <c r="P35" s="13"/>
    </row>
    <row r="36" spans="1:17" x14ac:dyDescent="0.25">
      <c r="B36" t="s">
        <v>40</v>
      </c>
      <c r="D36" s="13">
        <v>0.98</v>
      </c>
      <c r="E36" s="13"/>
      <c r="F36" s="13"/>
      <c r="G36" s="13"/>
      <c r="H36" s="13"/>
      <c r="I36" s="12">
        <v>0.93024301416513377</v>
      </c>
      <c r="J36" s="13"/>
      <c r="K36" s="13"/>
      <c r="L36" s="13"/>
      <c r="M36" s="13"/>
      <c r="N36" s="12">
        <v>0.93024301416513377</v>
      </c>
      <c r="O36" s="13"/>
      <c r="P36" s="13"/>
    </row>
    <row r="37" spans="1:17" x14ac:dyDescent="0.25">
      <c r="B37" t="s">
        <v>41</v>
      </c>
      <c r="D37" s="13">
        <v>0.98</v>
      </c>
      <c r="E37" s="13"/>
      <c r="F37" s="13"/>
      <c r="G37" s="13"/>
      <c r="H37" s="13"/>
      <c r="I37" s="12">
        <v>0.98</v>
      </c>
      <c r="J37" s="13"/>
      <c r="K37" s="13"/>
      <c r="L37" s="13"/>
      <c r="M37" s="13"/>
      <c r="N37" s="12">
        <v>0.98</v>
      </c>
      <c r="O37" s="13"/>
      <c r="P37" s="13"/>
    </row>
    <row r="39" spans="1:17" x14ac:dyDescent="0.25">
      <c r="A39" s="10" t="s">
        <v>42</v>
      </c>
      <c r="B39" s="10"/>
    </row>
    <row r="40" spans="1:17" x14ac:dyDescent="0.25">
      <c r="B40" t="s">
        <v>43</v>
      </c>
      <c r="D40" s="27">
        <v>0.91785332807875319</v>
      </c>
      <c r="I40" s="27">
        <v>0.91785332807875319</v>
      </c>
      <c r="N40" s="27">
        <v>0.91785332807875319</v>
      </c>
    </row>
    <row r="41" spans="1:17" hidden="1" x14ac:dyDescent="0.25">
      <c r="B41" t="s">
        <v>44</v>
      </c>
      <c r="C41" t="s">
        <v>30</v>
      </c>
      <c r="D41" s="29">
        <v>0.91095454640180418</v>
      </c>
      <c r="E41" s="29"/>
      <c r="F41" s="29"/>
      <c r="G41" s="29"/>
      <c r="H41" s="29"/>
      <c r="I41" s="29">
        <v>0.91095454640180418</v>
      </c>
      <c r="J41" s="29"/>
      <c r="K41" s="29"/>
      <c r="L41" s="29"/>
      <c r="M41" s="29"/>
      <c r="N41" s="29">
        <v>0.91095454640180418</v>
      </c>
      <c r="O41" s="29"/>
      <c r="P41" s="29"/>
      <c r="Q41" s="37"/>
    </row>
    <row r="42" spans="1:17" hidden="1" x14ac:dyDescent="0.25">
      <c r="B42" t="s">
        <v>45</v>
      </c>
      <c r="C42" t="s">
        <v>30</v>
      </c>
      <c r="D42" s="29">
        <v>0.91</v>
      </c>
      <c r="E42" s="29"/>
      <c r="F42" s="29"/>
      <c r="G42" s="29"/>
      <c r="H42" s="29"/>
      <c r="I42" s="29">
        <v>0.91</v>
      </c>
      <c r="J42" s="29"/>
      <c r="K42" s="29"/>
      <c r="L42" s="29"/>
      <c r="M42" s="29"/>
      <c r="N42" s="29">
        <v>0.91</v>
      </c>
      <c r="O42" s="29"/>
      <c r="P42" s="29"/>
      <c r="Q42" s="37"/>
    </row>
    <row r="43" spans="1:17" hidden="1" x14ac:dyDescent="0.25">
      <c r="B43" t="s">
        <v>35</v>
      </c>
      <c r="C43" t="s">
        <v>30</v>
      </c>
      <c r="D43" s="29">
        <v>0.99950000000000006</v>
      </c>
      <c r="E43" s="29"/>
      <c r="F43" s="29"/>
      <c r="G43" s="29"/>
      <c r="H43" s="29"/>
      <c r="I43" s="29">
        <v>0.99950000000000006</v>
      </c>
      <c r="J43" s="29"/>
      <c r="K43" s="29"/>
      <c r="L43" s="29"/>
      <c r="M43" s="29"/>
      <c r="N43" s="29">
        <v>0.99950000000000006</v>
      </c>
      <c r="O43" s="29"/>
      <c r="P43" s="29"/>
      <c r="Q43" s="37"/>
    </row>
    <row r="44" spans="1:17" hidden="1" x14ac:dyDescent="0.25">
      <c r="B44" t="s">
        <v>36</v>
      </c>
      <c r="C44" t="s">
        <v>30</v>
      </c>
      <c r="D44" s="29">
        <v>0.99</v>
      </c>
      <c r="E44" s="29"/>
      <c r="F44" s="29"/>
      <c r="G44" s="29"/>
      <c r="H44" s="29"/>
      <c r="I44" s="29">
        <v>0.99</v>
      </c>
      <c r="J44" s="29"/>
      <c r="K44" s="29"/>
      <c r="L44" s="29"/>
      <c r="M44" s="29"/>
      <c r="N44" s="29">
        <v>0.99</v>
      </c>
      <c r="O44" s="29"/>
      <c r="P44" s="29"/>
      <c r="Q44" s="37"/>
    </row>
    <row r="45" spans="1:17" hidden="1" x14ac:dyDescent="0.25">
      <c r="B45" t="s">
        <v>46</v>
      </c>
      <c r="C45" t="s">
        <v>30</v>
      </c>
      <c r="D45" s="29">
        <v>0.84889995776661953</v>
      </c>
      <c r="E45" s="29"/>
      <c r="F45" s="29"/>
      <c r="G45" s="29"/>
      <c r="H45" s="29"/>
      <c r="I45" s="29">
        <v>0.84889995776661953</v>
      </c>
      <c r="J45" s="29"/>
      <c r="K45" s="29"/>
      <c r="L45" s="29"/>
      <c r="M45" s="29"/>
      <c r="N45" s="29">
        <v>0.84889995776661953</v>
      </c>
      <c r="O45" s="29"/>
      <c r="P45" s="29"/>
      <c r="Q45" s="37"/>
    </row>
    <row r="46" spans="1:17" x14ac:dyDescent="0.25">
      <c r="B46" t="s">
        <v>47</v>
      </c>
      <c r="C46" t="s">
        <v>30</v>
      </c>
      <c r="D46" s="29">
        <v>0.9479859899773776</v>
      </c>
      <c r="E46" s="29"/>
      <c r="F46" s="29"/>
      <c r="G46" s="29"/>
      <c r="H46" s="29"/>
      <c r="I46" s="29">
        <v>0.9479859899773776</v>
      </c>
      <c r="J46" s="29"/>
      <c r="K46" s="29"/>
      <c r="L46" s="29"/>
      <c r="M46" s="29"/>
      <c r="N46" s="29">
        <v>0.9479859899773776</v>
      </c>
      <c r="O46" s="29"/>
      <c r="P46" s="29"/>
      <c r="Q46" s="37"/>
    </row>
    <row r="47" spans="1:17" x14ac:dyDescent="0.25">
      <c r="B47" t="s">
        <v>48</v>
      </c>
      <c r="C47" t="s">
        <v>30</v>
      </c>
      <c r="D47" s="29">
        <v>0.99</v>
      </c>
      <c r="E47" s="29"/>
      <c r="F47" s="29"/>
      <c r="G47" s="29"/>
      <c r="H47" s="29"/>
      <c r="I47" s="29">
        <v>0.99</v>
      </c>
      <c r="J47" s="29"/>
      <c r="K47" s="29"/>
      <c r="L47" s="29"/>
      <c r="M47" s="29"/>
      <c r="N47" s="29">
        <v>0.99</v>
      </c>
      <c r="O47" s="29"/>
      <c r="P47" s="29"/>
      <c r="Q47" s="37"/>
    </row>
    <row r="48" spans="1:17" x14ac:dyDescent="0.25">
      <c r="B48" t="s">
        <v>49</v>
      </c>
      <c r="C48" t="s">
        <v>30</v>
      </c>
      <c r="D48" s="29">
        <v>0.99</v>
      </c>
      <c r="E48" s="29"/>
      <c r="F48" s="29"/>
      <c r="G48" s="29"/>
      <c r="H48" s="29"/>
      <c r="I48" s="29">
        <v>0.99</v>
      </c>
      <c r="J48" s="29"/>
      <c r="K48" s="29"/>
      <c r="L48" s="29"/>
      <c r="M48" s="29"/>
      <c r="N48" s="29">
        <v>0.99</v>
      </c>
      <c r="O48" s="29"/>
      <c r="P48" s="29"/>
      <c r="Q48" s="37"/>
    </row>
    <row r="49" spans="1:38" x14ac:dyDescent="0.25">
      <c r="D49" s="29"/>
    </row>
    <row r="50" spans="1:38" x14ac:dyDescent="0.25">
      <c r="B50" t="s">
        <v>50</v>
      </c>
      <c r="C50" t="s">
        <v>30</v>
      </c>
      <c r="D50" s="12">
        <f>(D29^((D13-1)/D13)-1)/(D29^((D13-1)/(D13*D41))-1)</f>
        <v>0.90505684724567648</v>
      </c>
      <c r="E50" s="12"/>
      <c r="F50" s="12"/>
      <c r="G50" s="12"/>
      <c r="H50" s="12"/>
      <c r="I50" s="12">
        <f>(I29^((I13-1)/I13)-1)/(I29^((I13-1)/(I13*I41))-1)</f>
        <v>0.900858951929143</v>
      </c>
      <c r="J50" s="12"/>
      <c r="K50" s="12"/>
      <c r="L50" s="12"/>
      <c r="M50" s="12"/>
      <c r="N50" s="12">
        <f>(N29^((N13-1)/N13)-1)/(N29^((N13-1)/(N13*N41))-1)</f>
        <v>0.900858951929143</v>
      </c>
      <c r="O50" s="12"/>
      <c r="P50" s="12"/>
      <c r="AL50">
        <f>3.70745/0.014397</f>
        <v>257.51545460859904</v>
      </c>
    </row>
    <row r="51" spans="1:38" x14ac:dyDescent="0.25">
      <c r="B51" t="s">
        <v>51</v>
      </c>
      <c r="C51" t="s">
        <v>30</v>
      </c>
      <c r="D51" s="12">
        <f>(D30^((D13-1)/D13)-1)/(D30^((D13-1)/(D13*D41))-1)</f>
        <v>0.88142019076631783</v>
      </c>
      <c r="E51" s="12"/>
      <c r="F51" s="12"/>
      <c r="G51" s="12"/>
      <c r="H51" s="12"/>
      <c r="I51" s="12">
        <f>(I30^((I13-1)/I13)-1)/(I30^((I13-1)/(I13*I41))-1)</f>
        <v>0.87468568286058179</v>
      </c>
      <c r="J51" s="12"/>
      <c r="K51" s="12"/>
      <c r="L51" s="12"/>
      <c r="M51" s="12"/>
      <c r="N51" s="12">
        <f>(N30^((N13-1)/N13)-1)/(N30^((N13-1)/(N13*N41))-1)</f>
        <v>0.87468568286058179</v>
      </c>
      <c r="O51" s="12"/>
      <c r="P51" s="12"/>
    </row>
    <row r="52" spans="1:38" x14ac:dyDescent="0.25"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AL52">
        <f>1.739</f>
        <v>1.7390000000000001</v>
      </c>
    </row>
    <row r="53" spans="1:38" x14ac:dyDescent="0.25">
      <c r="A53" s="33" t="s">
        <v>52</v>
      </c>
      <c r="B53" s="33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AL53">
        <v>1</v>
      </c>
    </row>
    <row r="54" spans="1:38" x14ac:dyDescent="0.25">
      <c r="B54" t="s">
        <v>53</v>
      </c>
      <c r="C54" t="s">
        <v>54</v>
      </c>
      <c r="D54" s="12">
        <f>(165.211-164.291)/165.211</f>
        <v>5.5686364709372615E-3</v>
      </c>
      <c r="E54" s="12"/>
      <c r="F54" s="12"/>
      <c r="G54" s="12"/>
      <c r="H54" s="12"/>
      <c r="I54" s="12">
        <f>(423.982-421.622)/423.982</f>
        <v>5.5662740399356897E-3</v>
      </c>
      <c r="J54" s="12"/>
      <c r="K54" s="12"/>
      <c r="L54" s="12"/>
      <c r="M54" s="12"/>
      <c r="N54" s="12">
        <f>(423.982-421.622)/423.982</f>
        <v>5.5662740399356897E-3</v>
      </c>
      <c r="O54" s="12"/>
      <c r="P54" s="12"/>
      <c r="AL54">
        <v>9.9580000000000002</v>
      </c>
    </row>
    <row r="55" spans="1:38" x14ac:dyDescent="0.25">
      <c r="B55" t="s">
        <v>55</v>
      </c>
      <c r="C55" t="s">
        <v>54</v>
      </c>
      <c r="D55" s="12">
        <f>(164.291-153.9)/164.29</f>
        <v>6.3247915271775465E-2</v>
      </c>
      <c r="E55" s="12"/>
      <c r="F55" s="12"/>
      <c r="G55" s="12"/>
      <c r="H55" s="12"/>
      <c r="I55" s="12">
        <f>(421.622-397.278)/421.622</f>
        <v>5.7738922541992574E-2</v>
      </c>
      <c r="J55" s="12"/>
      <c r="K55" s="12"/>
      <c r="L55" s="12"/>
      <c r="M55" s="12"/>
      <c r="N55" s="12">
        <f>(421.622-397.278)/421.622</f>
        <v>5.7738922541992574E-2</v>
      </c>
      <c r="O55" s="12"/>
      <c r="P55" s="12"/>
      <c r="AL55">
        <f>AL52*AL53*AL54</f>
        <v>17.316962</v>
      </c>
    </row>
    <row r="56" spans="1:38" x14ac:dyDescent="0.25">
      <c r="B56" t="s">
        <v>56</v>
      </c>
      <c r="C56" t="s">
        <v>54</v>
      </c>
      <c r="D56" s="12">
        <f>(163.638-156.758)/164.291</f>
        <v>4.1876913525390892E-2</v>
      </c>
      <c r="E56" s="12"/>
      <c r="F56" s="12"/>
      <c r="G56" s="12"/>
      <c r="H56" s="12"/>
      <c r="I56" s="12">
        <f>(422.23-404.573)/421.622</f>
        <v>4.1878744467793515E-2</v>
      </c>
      <c r="J56" s="12"/>
      <c r="K56" s="12"/>
      <c r="L56" s="12"/>
      <c r="M56" s="12"/>
      <c r="N56" s="12">
        <f>(422.23-404.573)/421.622</f>
        <v>4.1878744467793515E-2</v>
      </c>
      <c r="O56" s="12"/>
      <c r="P56" s="12"/>
    </row>
    <row r="57" spans="1:38" x14ac:dyDescent="0.25">
      <c r="B57" t="s">
        <v>57</v>
      </c>
      <c r="C57" t="s">
        <v>54</v>
      </c>
      <c r="D57" s="12">
        <f>(165.667-163.638)/164.291</f>
        <v>1.2350037433578202E-2</v>
      </c>
      <c r="E57" s="12"/>
      <c r="F57" s="12"/>
      <c r="G57" s="12"/>
      <c r="H57" s="12"/>
      <c r="I57" s="12">
        <f>(427.438-422.23)/421.622</f>
        <v>1.235229660691323E-2</v>
      </c>
      <c r="J57" s="12"/>
      <c r="K57" s="12"/>
      <c r="L57" s="12"/>
      <c r="M57" s="12"/>
      <c r="N57" s="12">
        <f>(427.438-422.23)/421.622</f>
        <v>1.235229660691323E-2</v>
      </c>
      <c r="O57" s="12"/>
      <c r="P57" s="12"/>
    </row>
    <row r="58" spans="1:38" x14ac:dyDescent="0.25">
      <c r="B58" t="s">
        <v>58</v>
      </c>
      <c r="C58" t="s">
        <v>54</v>
      </c>
      <c r="D58" s="12">
        <f>D55-D56-D57</f>
        <v>9.0209643128063705E-3</v>
      </c>
      <c r="E58" s="12"/>
      <c r="F58" s="12"/>
      <c r="G58" s="12"/>
      <c r="H58" s="12"/>
      <c r="I58" s="12">
        <f>I55-I56-I57</f>
        <v>3.507881467285829E-3</v>
      </c>
      <c r="J58" s="12"/>
      <c r="K58" s="12"/>
      <c r="L58" s="12"/>
      <c r="M58" s="12"/>
      <c r="N58" s="12">
        <f>N55-N56-N57</f>
        <v>3.507881467285829E-3</v>
      </c>
      <c r="O58" s="12"/>
      <c r="P58" s="12"/>
    </row>
    <row r="59" spans="1:38" x14ac:dyDescent="0.25">
      <c r="B59" t="s">
        <v>59</v>
      </c>
      <c r="C59" t="s">
        <v>54</v>
      </c>
      <c r="D59" s="12">
        <v>0</v>
      </c>
      <c r="E59" s="12"/>
      <c r="F59" s="12"/>
      <c r="G59" s="12"/>
      <c r="H59" s="12"/>
      <c r="I59" s="12">
        <v>0</v>
      </c>
      <c r="J59" s="12"/>
      <c r="K59" s="12"/>
      <c r="L59" s="12"/>
      <c r="M59" s="12"/>
      <c r="N59" s="12">
        <v>0</v>
      </c>
      <c r="O59" s="12"/>
      <c r="P59" s="12"/>
      <c r="AL59">
        <f>9.95*1.576</f>
        <v>15.681199999999999</v>
      </c>
    </row>
    <row r="61" spans="1:38" x14ac:dyDescent="0.25">
      <c r="D61" s="12">
        <f>(D63*D14)/(D7*D12)</f>
        <v>7.9760695322161679</v>
      </c>
      <c r="E61" s="12"/>
      <c r="F61" s="12"/>
      <c r="G61" s="12"/>
      <c r="H61" s="12"/>
      <c r="I61" s="12">
        <f>(I63*I14)/(I7*I12)</f>
        <v>6.4366843109171636</v>
      </c>
      <c r="J61" s="12"/>
      <c r="K61" s="12"/>
      <c r="L61" s="12"/>
      <c r="M61" s="12"/>
      <c r="N61" s="12">
        <f>(N63*N14)/(N7*N12)</f>
        <v>6.4366843109171636</v>
      </c>
      <c r="O61" s="12"/>
      <c r="P61" s="12"/>
      <c r="AL61">
        <v>11.401999999999999</v>
      </c>
    </row>
    <row r="62" spans="1:38" x14ac:dyDescent="0.25">
      <c r="B62" t="s">
        <v>60</v>
      </c>
      <c r="AL62">
        <v>10.683</v>
      </c>
    </row>
    <row r="63" spans="1:38" x14ac:dyDescent="0.25">
      <c r="B63" t="s">
        <v>61</v>
      </c>
      <c r="C63" t="s">
        <v>8</v>
      </c>
      <c r="D63" s="14">
        <v>1520</v>
      </c>
      <c r="E63" s="14"/>
      <c r="F63" s="14"/>
      <c r="G63" s="14"/>
      <c r="H63" s="14"/>
      <c r="I63" s="14">
        <v>1650</v>
      </c>
      <c r="J63" s="14">
        <f ca="1">I215</f>
        <v>139460.00347302656</v>
      </c>
      <c r="K63" s="58">
        <f ca="1">K136</f>
        <v>-3.5873237717739966E-3</v>
      </c>
      <c r="L63" s="14"/>
      <c r="M63" s="14"/>
      <c r="N63" s="14">
        <v>1650</v>
      </c>
      <c r="O63" s="14"/>
      <c r="P63" s="14"/>
      <c r="Q63" s="5"/>
      <c r="AL63">
        <f>AL62/AL61</f>
        <v>0.9369408875635854</v>
      </c>
    </row>
    <row r="64" spans="1:38" x14ac:dyDescent="0.25">
      <c r="B64" t="s">
        <v>62</v>
      </c>
      <c r="D64" s="14"/>
      <c r="E64" s="14"/>
      <c r="F64" s="14"/>
      <c r="G64" s="14"/>
      <c r="H64" s="14"/>
      <c r="I64" s="14"/>
      <c r="J64" s="14">
        <f>I216</f>
        <v>139460</v>
      </c>
      <c r="K64" s="14"/>
      <c r="L64" s="14"/>
      <c r="M64" s="14"/>
      <c r="N64" s="14"/>
      <c r="O64" s="14"/>
      <c r="P64" s="14"/>
      <c r="Q64" s="5"/>
    </row>
    <row r="65" spans="1:41" x14ac:dyDescent="0.25">
      <c r="B65" t="s">
        <v>63</v>
      </c>
      <c r="D65" s="57">
        <f ca="1">D165</f>
        <v>1.5498218259013248</v>
      </c>
      <c r="E65" s="14"/>
      <c r="F65" s="14"/>
      <c r="G65" s="14"/>
      <c r="H65" s="14"/>
      <c r="I65" s="57">
        <f ca="1">I165</f>
        <v>1.185447848708465</v>
      </c>
      <c r="J65" s="58">
        <f ca="1">(I65-D65)/D65</f>
        <v>-0.23510701107912971</v>
      </c>
      <c r="K65" s="14"/>
      <c r="L65" s="14"/>
      <c r="M65" s="14"/>
      <c r="N65" s="57">
        <f ca="1">N165</f>
        <v>1.1964833754211472</v>
      </c>
      <c r="O65" s="14"/>
      <c r="P65" s="14"/>
      <c r="Q65" s="5"/>
    </row>
    <row r="66" spans="1:41" x14ac:dyDescent="0.25">
      <c r="B66" t="s">
        <v>64</v>
      </c>
      <c r="C66" t="s">
        <v>65</v>
      </c>
      <c r="D66" s="12">
        <f t="shared" ref="D66" ca="1" si="0">D73</f>
        <v>87.92166504403508</v>
      </c>
      <c r="E66" s="12"/>
      <c r="F66" s="12"/>
      <c r="G66" s="12"/>
      <c r="H66" s="12"/>
      <c r="I66" s="12">
        <f ca="1">I71</f>
        <v>534.34826459839007</v>
      </c>
      <c r="J66" s="12"/>
      <c r="K66" s="12"/>
      <c r="L66" s="12"/>
      <c r="M66" s="12"/>
      <c r="N66" s="12">
        <f ca="1">N71</f>
        <v>535.12680939378879</v>
      </c>
      <c r="O66" s="12"/>
      <c r="P66" s="12"/>
    </row>
    <row r="67" spans="1:41" x14ac:dyDescent="0.25">
      <c r="B67" t="s">
        <v>66</v>
      </c>
      <c r="D67" s="12">
        <v>0.439</v>
      </c>
      <c r="E67" s="12"/>
      <c r="F67" s="12"/>
      <c r="G67" s="12"/>
      <c r="H67" s="12"/>
      <c r="I67" s="12">
        <v>0.439</v>
      </c>
      <c r="J67" s="12"/>
      <c r="K67" s="12"/>
      <c r="L67" s="12"/>
      <c r="M67" s="12"/>
      <c r="N67" s="12">
        <v>0.439</v>
      </c>
      <c r="O67" s="12"/>
      <c r="P67" s="12"/>
    </row>
    <row r="68" spans="1:41" x14ac:dyDescent="0.25">
      <c r="B68" t="s">
        <v>67</v>
      </c>
      <c r="D68">
        <v>1.8</v>
      </c>
      <c r="I68">
        <v>1.8</v>
      </c>
      <c r="N68">
        <v>1.8</v>
      </c>
    </row>
    <row r="70" spans="1:41" x14ac:dyDescent="0.25">
      <c r="A70" t="s">
        <v>68</v>
      </c>
      <c r="AO70">
        <f>17.387/18.392</f>
        <v>0.94535667681600699</v>
      </c>
    </row>
    <row r="71" spans="1:41" x14ac:dyDescent="0.25">
      <c r="B71" t="s">
        <v>69</v>
      </c>
      <c r="D71" s="13">
        <v>224.18458049886621</v>
      </c>
      <c r="E71" s="12">
        <f>D71*2.205</f>
        <v>494.327</v>
      </c>
      <c r="G71" s="31"/>
      <c r="I71" s="12">
        <f ca="1">(((D136/(SQRT(I134)/I133))-I131)*(1+I54+I55))*(1+I65)</f>
        <v>534.34826459838905</v>
      </c>
      <c r="J71" s="12">
        <f ca="1">I71*2.205</f>
        <v>1178.237923439448</v>
      </c>
      <c r="N71" s="12">
        <f ca="1">(((I136/(SQRT(N134)/N133))-N131)*(1+N54+N55))*(1+N65)</f>
        <v>535.12680939378947</v>
      </c>
      <c r="AO71">
        <f>0.99*0.99</f>
        <v>0.98009999999999997</v>
      </c>
    </row>
    <row r="72" spans="1:41" x14ac:dyDescent="0.25">
      <c r="B72" t="s">
        <v>70</v>
      </c>
      <c r="D72" s="13">
        <f ca="1">D73*D65</f>
        <v>136.26291545483113</v>
      </c>
      <c r="E72" s="12">
        <f ca="1">D72*2.205</f>
        <v>300.45972857790264</v>
      </c>
      <c r="G72" s="31"/>
      <c r="I72" s="13">
        <f ca="1">I73*I65</f>
        <v>289.8453976394855</v>
      </c>
      <c r="J72" s="12">
        <f ca="1">I72*2.205</f>
        <v>639.1091017950655</v>
      </c>
      <c r="N72" s="13">
        <f ca="1">N73*N65</f>
        <v>291.49791814794264</v>
      </c>
      <c r="AO72">
        <f>AO71*0.99</f>
        <v>0.97029899999999991</v>
      </c>
    </row>
    <row r="73" spans="1:41" x14ac:dyDescent="0.25">
      <c r="B73" t="s">
        <v>71</v>
      </c>
      <c r="C73" t="s">
        <v>65</v>
      </c>
      <c r="D73" s="13">
        <f ca="1">D71/(1+D65)</f>
        <v>87.92166504403508</v>
      </c>
      <c r="E73" s="12">
        <f ca="1">D73*2.205</f>
        <v>193.86727142209736</v>
      </c>
      <c r="F73" s="12"/>
      <c r="G73" s="31"/>
      <c r="H73" s="12"/>
      <c r="I73" s="13">
        <f ca="1">I71/(1+I65)</f>
        <v>244.50286695890409</v>
      </c>
      <c r="J73" s="12">
        <f ca="1">I73*2.205</f>
        <v>539.12882164438349</v>
      </c>
      <c r="K73" s="12"/>
      <c r="L73" s="31"/>
      <c r="M73" s="31"/>
      <c r="N73" s="13">
        <f ca="1">N71/(1+N65)</f>
        <v>243.62889124584694</v>
      </c>
      <c r="O73" s="31"/>
      <c r="P73" s="12"/>
    </row>
    <row r="74" spans="1:41" x14ac:dyDescent="0.25">
      <c r="B74" t="s">
        <v>72</v>
      </c>
      <c r="C74" t="s">
        <v>65</v>
      </c>
      <c r="D74" s="13">
        <f ca="1">D131</f>
        <v>1.7304214715085959</v>
      </c>
      <c r="E74" s="12">
        <f t="shared" ref="E74" ca="1" si="1">D74*2.205</f>
        <v>3.8155793446764541</v>
      </c>
      <c r="F74" s="12"/>
      <c r="G74" s="31"/>
      <c r="H74" s="12"/>
      <c r="I74" s="13">
        <f ca="1">I131</f>
        <v>5.8739756065008235</v>
      </c>
      <c r="J74" s="12">
        <f t="shared" ref="J74" ca="1" si="2">I74*2.205</f>
        <v>12.952116212334316</v>
      </c>
      <c r="K74" s="12"/>
      <c r="L74" s="31"/>
      <c r="M74" s="31"/>
      <c r="N74" s="13">
        <f ca="1">N131</f>
        <v>5.852979075527478</v>
      </c>
      <c r="O74" s="31"/>
      <c r="P74" s="12"/>
    </row>
    <row r="75" spans="1:41" x14ac:dyDescent="0.25">
      <c r="B75" t="s">
        <v>73</v>
      </c>
      <c r="C75" t="s">
        <v>65</v>
      </c>
      <c r="D75" s="12"/>
      <c r="E75" s="12"/>
      <c r="G75" s="31"/>
      <c r="I75" s="12"/>
      <c r="J75" s="12"/>
      <c r="L75" s="31"/>
      <c r="M75" s="31"/>
      <c r="N75" s="12"/>
      <c r="O75" s="31"/>
      <c r="AO75">
        <f>1/11.94</f>
        <v>8.3752093802345065E-2</v>
      </c>
    </row>
    <row r="76" spans="1:41" x14ac:dyDescent="0.25">
      <c r="B76" t="s">
        <v>74</v>
      </c>
      <c r="C76" t="s">
        <v>65</v>
      </c>
    </row>
    <row r="77" spans="1:41" x14ac:dyDescent="0.25">
      <c r="B77" t="s">
        <v>75</v>
      </c>
      <c r="C77" t="s">
        <v>65</v>
      </c>
      <c r="D77" s="12">
        <f ca="1">D73+D74-D153</f>
        <v>0.64535786211942536</v>
      </c>
      <c r="E77" s="12">
        <f ca="1">D77*2.205</f>
        <v>1.4230140859733329</v>
      </c>
      <c r="F77">
        <v>2.8929999999999998</v>
      </c>
      <c r="G77" s="31">
        <f ca="1">(E77-F77)/F77</f>
        <v>-0.50811818666666675</v>
      </c>
      <c r="I77" s="12">
        <f ca="1">I73+I74-I153</f>
        <v>1.6657144335439682</v>
      </c>
      <c r="J77" s="12">
        <f ca="1">I77*2.205</f>
        <v>3.6729003259644499</v>
      </c>
      <c r="K77">
        <v>2.8929999999999998</v>
      </c>
      <c r="L77" s="31">
        <f ca="1">(J77-K77)/K77</f>
        <v>0.26958186172293475</v>
      </c>
      <c r="M77" s="31"/>
      <c r="N77" s="12">
        <f ca="1">N73+N74-N153</f>
        <v>1.6597603358362107</v>
      </c>
      <c r="O77" s="31"/>
    </row>
    <row r="78" spans="1:41" x14ac:dyDescent="0.25">
      <c r="D78" s="12"/>
      <c r="E78" s="12"/>
      <c r="G78" s="31"/>
      <c r="I78" s="12"/>
      <c r="J78" s="12"/>
      <c r="L78" s="31"/>
      <c r="M78" s="31"/>
      <c r="N78" s="12"/>
      <c r="O78" s="31"/>
    </row>
    <row r="79" spans="1:41" x14ac:dyDescent="0.25">
      <c r="A79" t="s">
        <v>76</v>
      </c>
    </row>
    <row r="80" spans="1:41" x14ac:dyDescent="0.25">
      <c r="A80" t="s">
        <v>77</v>
      </c>
    </row>
    <row r="81" spans="1:17" x14ac:dyDescent="0.25">
      <c r="B81" t="s">
        <v>78</v>
      </c>
      <c r="D81" s="13">
        <f>D71</f>
        <v>224.18458049886621</v>
      </c>
      <c r="E81" s="12">
        <f>D81*2.205</f>
        <v>494.327</v>
      </c>
      <c r="F81">
        <v>494.327</v>
      </c>
      <c r="G81" s="31">
        <f t="shared" ref="G81" si="3">(E81-F81)/F81</f>
        <v>0</v>
      </c>
      <c r="I81">
        <f ca="1">I71</f>
        <v>534.34826459838905</v>
      </c>
      <c r="J81" s="12">
        <f ca="1">I81*2.205</f>
        <v>1178.237923439448</v>
      </c>
      <c r="K81">
        <v>1268.42</v>
      </c>
      <c r="L81" s="31">
        <f t="shared" ref="L81" ca="1" si="4">(J81-K81)/K81</f>
        <v>-7.1097961685050767E-2</v>
      </c>
      <c r="N81">
        <f ca="1">N71</f>
        <v>535.12680939378947</v>
      </c>
    </row>
    <row r="82" spans="1:17" x14ac:dyDescent="0.25">
      <c r="B82" t="s">
        <v>79</v>
      </c>
      <c r="C82" t="s">
        <v>10</v>
      </c>
      <c r="D82" s="27">
        <f>D8</f>
        <v>10.038766618853135</v>
      </c>
      <c r="E82" s="27">
        <f>CONVERT(D82*1000,"Pa","psi")</f>
        <v>1.456</v>
      </c>
      <c r="F82" s="27">
        <v>1.456</v>
      </c>
      <c r="G82" s="31">
        <f>(E82-F82)/F82</f>
        <v>0</v>
      </c>
      <c r="H82" s="31"/>
      <c r="I82" s="27">
        <f>I8</f>
        <v>101.32535318040225</v>
      </c>
      <c r="J82" s="27">
        <f>CONVERT(I82*1000,"Pa","psi")</f>
        <v>14.696000000000002</v>
      </c>
      <c r="K82" s="27">
        <v>14.696</v>
      </c>
      <c r="L82" s="31">
        <f>(J82-K82)/K82</f>
        <v>1.208734920658853E-16</v>
      </c>
      <c r="M82" s="31"/>
      <c r="N82" s="27">
        <f>N8</f>
        <v>101.32535318040225</v>
      </c>
      <c r="O82" s="31"/>
      <c r="P82" s="31"/>
      <c r="Q82" s="37"/>
    </row>
    <row r="83" spans="1:17" x14ac:dyDescent="0.25">
      <c r="B83" t="s">
        <v>80</v>
      </c>
      <c r="C83" t="s">
        <v>10</v>
      </c>
      <c r="D83" s="27">
        <f>((((D9^2)*((D13-1)/2))+1)^(D13/(D13-1)))*D82</f>
        <v>78.453689358386967</v>
      </c>
      <c r="E83" s="27">
        <f>CONVERT(D83*1000,"Pa","psi")</f>
        <v>11.378745621129035</v>
      </c>
      <c r="F83" s="27">
        <v>11.401999999999999</v>
      </c>
      <c r="G83" s="31">
        <f>(E83-F83)/F83</f>
        <v>-2.0394999886830809E-3</v>
      </c>
      <c r="H83" s="31"/>
      <c r="I83" s="27">
        <f>((((I9^2)*((I13-1)/2))+1)^(I13/(I13-1)))*I82</f>
        <v>107.93743039744128</v>
      </c>
      <c r="J83" s="27">
        <f>CONVERT(I83*1000,"Pa","psi")</f>
        <v>15.655000721256799</v>
      </c>
      <c r="K83" s="27">
        <v>15.654999999999999</v>
      </c>
      <c r="L83" s="31">
        <f>(J83-K83)/K83</f>
        <v>4.6071977008145625E-8</v>
      </c>
      <c r="M83" s="31"/>
      <c r="N83" s="27">
        <f>((((N9^2)*((N13-1)/2))+1)^(N13/(N13-1)))*N82</f>
        <v>107.93743039744128</v>
      </c>
      <c r="O83" s="31"/>
      <c r="P83" s="31"/>
      <c r="Q83" s="37"/>
    </row>
    <row r="84" spans="1:17" x14ac:dyDescent="0.25">
      <c r="B84" t="s">
        <v>81</v>
      </c>
      <c r="C84" t="s">
        <v>8</v>
      </c>
      <c r="D84" s="12">
        <f>D7</f>
        <v>221.65</v>
      </c>
      <c r="E84" s="12">
        <f>D84*1.8</f>
        <v>398.97</v>
      </c>
      <c r="F84" s="12">
        <v>389.97</v>
      </c>
      <c r="G84" s="12">
        <f>E84-F84</f>
        <v>9</v>
      </c>
      <c r="H84" s="12"/>
      <c r="I84" s="12">
        <f>I7</f>
        <v>298.15000000000003</v>
      </c>
      <c r="J84" s="12">
        <f>I84*1.8</f>
        <v>536.67000000000007</v>
      </c>
      <c r="K84" s="12">
        <v>536.66999999999996</v>
      </c>
      <c r="L84" s="12">
        <f>J84-K84</f>
        <v>0</v>
      </c>
      <c r="M84" s="12"/>
      <c r="N84" s="12">
        <f>N7</f>
        <v>298.15000000000003</v>
      </c>
      <c r="O84" s="12"/>
      <c r="P84" s="12"/>
    </row>
    <row r="85" spans="1:17" x14ac:dyDescent="0.25">
      <c r="B85" t="s">
        <v>82</v>
      </c>
      <c r="C85" t="s">
        <v>8</v>
      </c>
      <c r="D85" s="12">
        <f>((((D9^2)*((D13-1)/2))+1))*D84</f>
        <v>398.83333846364906</v>
      </c>
      <c r="E85" s="12">
        <f>D85*1.8</f>
        <v>717.9000092345683</v>
      </c>
      <c r="F85" s="12">
        <v>717.9</v>
      </c>
      <c r="G85" s="12">
        <f>E85-F85</f>
        <v>9.2345683242456289E-6</v>
      </c>
      <c r="H85" s="12"/>
      <c r="I85" s="12">
        <f>((((I9^2)*((I13-1)/2))+1))*I84</f>
        <v>303.5839441572715</v>
      </c>
      <c r="J85" s="12">
        <f>I85*1.8</f>
        <v>546.45109948308868</v>
      </c>
      <c r="K85" s="12">
        <v>546.44000000000005</v>
      </c>
      <c r="L85" s="12">
        <f>J85-K85</f>
        <v>1.1099483088628403E-2</v>
      </c>
      <c r="M85" s="12"/>
      <c r="N85" s="12">
        <f>((((N9^2)*((N13-1)/2))+1))*N84</f>
        <v>303.5839441572715</v>
      </c>
      <c r="O85" s="12"/>
      <c r="P85" s="12"/>
    </row>
    <row r="86" spans="1:17" x14ac:dyDescent="0.25">
      <c r="B86" t="s">
        <v>83</v>
      </c>
      <c r="C86" t="s">
        <v>84</v>
      </c>
      <c r="D86" s="12">
        <f>SQRT((D13-1)*D12*D84)</f>
        <v>298.58290495380555</v>
      </c>
      <c r="E86" s="12">
        <f>CONVERT(D86,"m","ft")</f>
        <v>979.60270654135684</v>
      </c>
      <c r="F86" s="12"/>
      <c r="G86" s="31" t="e">
        <f t="shared" ref="G86:G87" si="5">(E86-F86)/F86</f>
        <v>#DIV/0!</v>
      </c>
      <c r="H86" s="31"/>
      <c r="I86" s="12">
        <f>SQRT((I13-1)*I12*I84)</f>
        <v>346.29679971443909</v>
      </c>
      <c r="J86" s="12">
        <f>CONVERT(I86,"m","ft")</f>
        <v>1136.144356018501</v>
      </c>
      <c r="K86" s="12"/>
      <c r="L86" s="31"/>
      <c r="M86" s="31"/>
      <c r="N86" s="12">
        <f>SQRT((N13-1)*N12*N84)</f>
        <v>346.29679971443909</v>
      </c>
      <c r="O86" s="31"/>
      <c r="P86" s="31"/>
      <c r="Q86" s="37"/>
    </row>
    <row r="87" spans="1:17" x14ac:dyDescent="0.25">
      <c r="B87" t="s">
        <v>85</v>
      </c>
      <c r="C87" t="s">
        <v>84</v>
      </c>
      <c r="D87" s="12">
        <f>D9*D86</f>
        <v>596.93564600239426</v>
      </c>
      <c r="E87" s="12">
        <f>CONVERT(D87,"m","ft")</f>
        <v>1958.4502821600861</v>
      </c>
      <c r="F87" s="12"/>
      <c r="G87" s="31" t="e">
        <f t="shared" si="5"/>
        <v>#DIV/0!</v>
      </c>
      <c r="H87" s="31"/>
      <c r="I87" s="12">
        <f>I9*I86</f>
        <v>104.53787287837727</v>
      </c>
      <c r="J87" s="12">
        <f>CONVERT(I87,"m","ft")</f>
        <v>342.97202387919054</v>
      </c>
      <c r="K87" s="12"/>
      <c r="L87" s="31"/>
      <c r="M87" s="31"/>
      <c r="N87" s="12">
        <f>N9*N86</f>
        <v>104.53787287837727</v>
      </c>
      <c r="O87" s="31"/>
      <c r="P87" s="31"/>
      <c r="Q87" s="37"/>
    </row>
    <row r="88" spans="1:17" x14ac:dyDescent="0.25">
      <c r="B88" t="s">
        <v>86</v>
      </c>
      <c r="C88" t="s">
        <v>87</v>
      </c>
      <c r="D88" s="12">
        <f>((D13-1)/D13)*D12/1000</f>
        <v>0.28729899497487438</v>
      </c>
      <c r="E88" s="32">
        <f>D88*0.2388</f>
        <v>6.8607000000000001E-2</v>
      </c>
      <c r="F88" s="32">
        <v>6.8607000000000001E-2</v>
      </c>
      <c r="G88" s="31">
        <f>(E88-F88)/F88</f>
        <v>0</v>
      </c>
      <c r="H88" s="31"/>
      <c r="I88" s="12">
        <f>((I13-1)/I13)*I12/1000</f>
        <v>0.28729899497487438</v>
      </c>
      <c r="J88" s="32">
        <f>I88*0.2388</f>
        <v>6.8607000000000001E-2</v>
      </c>
      <c r="K88" s="32">
        <v>6.8607000000000001E-2</v>
      </c>
      <c r="L88" s="31">
        <f>(J88-K88)/K88</f>
        <v>0</v>
      </c>
      <c r="M88" s="31"/>
      <c r="N88" s="12">
        <f>((N13-1)/N13)*N12/1000</f>
        <v>0.28729899497487438</v>
      </c>
      <c r="O88" s="31"/>
      <c r="P88" s="31"/>
      <c r="Q88" s="37"/>
    </row>
    <row r="89" spans="1:17" x14ac:dyDescent="0.25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 spans="1:17" x14ac:dyDescent="0.25">
      <c r="A90" t="s">
        <v>88</v>
      </c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 spans="1:17" x14ac:dyDescent="0.25">
      <c r="B91" t="s">
        <v>89</v>
      </c>
      <c r="D91" s="12">
        <f>D81</f>
        <v>224.18458049886621</v>
      </c>
      <c r="E91" s="12">
        <f>D91*2.205</f>
        <v>494.327</v>
      </c>
      <c r="F91" s="12">
        <v>494.327</v>
      </c>
      <c r="G91" s="31">
        <f t="shared" ref="G91" si="6">(E91-F91)/F91</f>
        <v>0</v>
      </c>
      <c r="H91" s="12"/>
      <c r="I91" s="12">
        <f ca="1">I81</f>
        <v>534.34826459838905</v>
      </c>
      <c r="J91" s="12">
        <f ca="1">I91*2.205</f>
        <v>1178.237923439448</v>
      </c>
      <c r="K91" s="12">
        <v>1268.4159999999999</v>
      </c>
      <c r="L91" s="31">
        <f t="shared" ref="L91" ca="1" si="7">(J91-K91)/K91</f>
        <v>-7.1095032355750779E-2</v>
      </c>
      <c r="M91" s="12"/>
      <c r="N91" s="12">
        <f ca="1">N81</f>
        <v>535.12680939378947</v>
      </c>
      <c r="O91" s="12"/>
      <c r="P91" s="12"/>
    </row>
    <row r="92" spans="1:17" x14ac:dyDescent="0.25">
      <c r="B92" t="s">
        <v>90</v>
      </c>
      <c r="C92" t="s">
        <v>10</v>
      </c>
      <c r="D92" s="12">
        <f>D83</f>
        <v>78.453689358386967</v>
      </c>
      <c r="E92" s="27">
        <f>CONVERT(D92*1000,"Pa","psi")</f>
        <v>11.378745621129035</v>
      </c>
      <c r="F92">
        <v>11.401999999999999</v>
      </c>
      <c r="G92" s="31">
        <f t="shared" ref="G92:G93" si="8">(E92-F92)/F92</f>
        <v>-2.0394999886830809E-3</v>
      </c>
      <c r="H92" s="31"/>
      <c r="I92" s="12">
        <f>I83</f>
        <v>107.93743039744128</v>
      </c>
      <c r="J92" s="27">
        <f>CONVERT(I92*1000,"Pa","psi")</f>
        <v>15.655000721256799</v>
      </c>
      <c r="K92">
        <v>15.654999999999999</v>
      </c>
      <c r="L92" s="31">
        <f t="shared" ref="L92:L93" si="9">(J92-K92)/K92</f>
        <v>4.6071977008145625E-8</v>
      </c>
      <c r="M92" s="31"/>
      <c r="N92" s="12">
        <f>N83</f>
        <v>107.93743039744128</v>
      </c>
      <c r="O92" s="31"/>
      <c r="P92" s="31"/>
      <c r="Q92" s="37"/>
    </row>
    <row r="93" spans="1:17" x14ac:dyDescent="0.25">
      <c r="B93" t="s">
        <v>91</v>
      </c>
      <c r="C93" t="s">
        <v>10</v>
      </c>
      <c r="D93" s="12">
        <f>D92*D26</f>
        <v>73.511106928808587</v>
      </c>
      <c r="E93" s="27">
        <f>CONVERT(D93*1000,"Pa","psi")</f>
        <v>10.661884646997905</v>
      </c>
      <c r="F93" s="27">
        <v>10.683</v>
      </c>
      <c r="G93" s="31">
        <f t="shared" si="8"/>
        <v>-1.9765377704853604E-3</v>
      </c>
      <c r="H93" s="31"/>
      <c r="I93" s="12">
        <f>I92*I26</f>
        <v>106.42747848067094</v>
      </c>
      <c r="J93" s="27">
        <f>CONVERT(I93*1000,"Pa","psi")</f>
        <v>15.436000711167036</v>
      </c>
      <c r="K93" s="27">
        <v>15.436</v>
      </c>
      <c r="L93" s="31">
        <f t="shared" si="9"/>
        <v>4.6071976961084957E-8</v>
      </c>
      <c r="M93" s="31"/>
      <c r="N93" s="12">
        <f>N92*N26</f>
        <v>106.42747848067094</v>
      </c>
      <c r="O93" s="31"/>
      <c r="P93" s="31"/>
      <c r="Q93" s="37"/>
    </row>
    <row r="94" spans="1:17" x14ac:dyDescent="0.25">
      <c r="B94" t="s">
        <v>92</v>
      </c>
      <c r="C94" t="s">
        <v>8</v>
      </c>
      <c r="D94" s="12">
        <f>D85</f>
        <v>398.83333846364906</v>
      </c>
      <c r="E94" s="12">
        <f>D94*1.8</f>
        <v>717.9000092345683</v>
      </c>
      <c r="F94" s="12">
        <v>717.9</v>
      </c>
      <c r="G94" s="12">
        <f>E94-F94</f>
        <v>9.2345683242456289E-6</v>
      </c>
      <c r="H94" s="12"/>
      <c r="I94" s="12">
        <f>I85</f>
        <v>303.5839441572715</v>
      </c>
      <c r="J94" s="12">
        <f>I94*1.8</f>
        <v>546.45109948308868</v>
      </c>
      <c r="K94" s="12">
        <v>546.44000000000005</v>
      </c>
      <c r="L94" s="12">
        <f>J94-K94</f>
        <v>1.1099483088628403E-2</v>
      </c>
      <c r="M94" s="12"/>
      <c r="N94" s="12">
        <f>N85</f>
        <v>303.5839441572715</v>
      </c>
      <c r="O94" s="12"/>
      <c r="P94" s="12"/>
    </row>
    <row r="95" spans="1:17" x14ac:dyDescent="0.25">
      <c r="B95" t="s">
        <v>93</v>
      </c>
      <c r="C95" t="s">
        <v>8</v>
      </c>
      <c r="D95" s="12">
        <f>D94</f>
        <v>398.83333846364906</v>
      </c>
      <c r="E95" s="12">
        <f>D95*1.8</f>
        <v>717.9000092345683</v>
      </c>
      <c r="F95" s="12">
        <v>717.9</v>
      </c>
      <c r="G95" s="12">
        <f>E95-F95</f>
        <v>9.2345683242456289E-6</v>
      </c>
      <c r="H95" s="12"/>
      <c r="I95" s="12">
        <f>I94</f>
        <v>303.5839441572715</v>
      </c>
      <c r="J95" s="12">
        <f>I95*1.8</f>
        <v>546.45109948308868</v>
      </c>
      <c r="K95" s="12">
        <v>546.44000000000005</v>
      </c>
      <c r="L95" s="12">
        <f>J95-K95</f>
        <v>1.1099483088628403E-2</v>
      </c>
      <c r="M95" s="12"/>
      <c r="N95" s="12">
        <f>N94</f>
        <v>303.5839441572715</v>
      </c>
      <c r="O95" s="12"/>
      <c r="P95" s="12"/>
    </row>
    <row r="96" spans="1:17" x14ac:dyDescent="0.25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 spans="1:16" x14ac:dyDescent="0.25">
      <c r="A97" t="s">
        <v>94</v>
      </c>
    </row>
    <row r="98" spans="1:16" x14ac:dyDescent="0.25">
      <c r="B98" t="s">
        <v>95</v>
      </c>
      <c r="C98" t="s">
        <v>65</v>
      </c>
      <c r="D98" s="13">
        <f>D91</f>
        <v>224.18458049886621</v>
      </c>
      <c r="E98" s="12">
        <f>D98*2.205</f>
        <v>494.327</v>
      </c>
      <c r="F98" s="12">
        <v>494.327</v>
      </c>
      <c r="G98" s="31">
        <f t="shared" ref="G98:G102" si="10">(E98-F98)/F98</f>
        <v>0</v>
      </c>
      <c r="I98">
        <f ca="1">I91</f>
        <v>534.34826459838905</v>
      </c>
      <c r="J98" s="12">
        <f ca="1">I98*2.205</f>
        <v>1178.237923439448</v>
      </c>
      <c r="K98" s="12">
        <v>1268.4159999999999</v>
      </c>
      <c r="L98" s="31">
        <f t="shared" ref="L98:L102" ca="1" si="11">(J98-K98)/K98</f>
        <v>-7.1095032355750779E-2</v>
      </c>
      <c r="N98">
        <f ca="1">N91</f>
        <v>535.12680939378947</v>
      </c>
    </row>
    <row r="99" spans="1:16" x14ac:dyDescent="0.25">
      <c r="B99" t="s">
        <v>96</v>
      </c>
      <c r="C99" t="s">
        <v>65</v>
      </c>
      <c r="D99" s="13">
        <f ca="1">D98-D73</f>
        <v>136.26291545483113</v>
      </c>
      <c r="E99" s="12">
        <f ca="1">D99*2.205</f>
        <v>300.45972857790264</v>
      </c>
      <c r="F99" s="12">
        <v>329.11599999999999</v>
      </c>
      <c r="G99" s="31">
        <f t="shared" ca="1" si="10"/>
        <v>-8.7070429338279964E-2</v>
      </c>
      <c r="I99">
        <f ca="1">I98-I73</f>
        <v>289.84539763948499</v>
      </c>
      <c r="J99" s="12">
        <f ca="1">I99*2.205</f>
        <v>639.10910179506436</v>
      </c>
      <c r="K99" s="12">
        <v>844.43399999999997</v>
      </c>
      <c r="L99" s="31">
        <f t="shared" ca="1" si="11"/>
        <v>-0.24315091316187601</v>
      </c>
      <c r="N99">
        <f ca="1">N98-N73</f>
        <v>291.49791814794253</v>
      </c>
    </row>
    <row r="100" spans="1:16" x14ac:dyDescent="0.25">
      <c r="B100" t="s">
        <v>91</v>
      </c>
      <c r="C100" t="s">
        <v>10</v>
      </c>
      <c r="D100" s="12">
        <f>D93</f>
        <v>73.511106928808587</v>
      </c>
      <c r="E100" s="27">
        <f>CONVERT(D100*1000,"Pa","psi")</f>
        <v>10.661884646997905</v>
      </c>
      <c r="F100" s="12">
        <v>10.683</v>
      </c>
      <c r="G100" s="31">
        <f t="shared" si="10"/>
        <v>-1.9765377704853604E-3</v>
      </c>
      <c r="I100">
        <f>I93</f>
        <v>106.42747848067094</v>
      </c>
      <c r="J100" s="27">
        <f>CONVERT(I100*1000,"Pa","psi")</f>
        <v>15.436000711167036</v>
      </c>
      <c r="K100" s="12">
        <v>15.436</v>
      </c>
      <c r="L100" s="31">
        <f t="shared" si="11"/>
        <v>4.6071976961084957E-8</v>
      </c>
      <c r="N100">
        <f>N93</f>
        <v>106.42747848067094</v>
      </c>
    </row>
    <row r="101" spans="1:16" x14ac:dyDescent="0.25">
      <c r="B101" t="s">
        <v>97</v>
      </c>
      <c r="C101" t="s">
        <v>10</v>
      </c>
      <c r="D101" s="12">
        <f>D100*D28</f>
        <v>127.83762468626846</v>
      </c>
      <c r="E101" s="27">
        <f>CONVERT(D101*1000,"Pa","psi")</f>
        <v>18.541279881299921</v>
      </c>
      <c r="F101" s="12">
        <v>18.577999999999999</v>
      </c>
      <c r="G101" s="31">
        <f t="shared" si="10"/>
        <v>-1.9765377704854168E-3</v>
      </c>
      <c r="I101">
        <f>I100*I28</f>
        <v>253.29739878399684</v>
      </c>
      <c r="J101" s="27">
        <f>CONVERT(I101*1000,"Pa","psi")</f>
        <v>36.737681692577546</v>
      </c>
      <c r="K101" s="12">
        <v>39.86</v>
      </c>
      <c r="L101" s="31">
        <f t="shared" si="11"/>
        <v>-7.8332120105932102E-2</v>
      </c>
      <c r="N101">
        <f>N100*N28</f>
        <v>253.29739878399684</v>
      </c>
    </row>
    <row r="102" spans="1:16" x14ac:dyDescent="0.25">
      <c r="B102" t="s">
        <v>98</v>
      </c>
      <c r="C102" t="s">
        <v>10</v>
      </c>
      <c r="D102" s="12">
        <f>D101*D33</f>
        <v>126.55773459090588</v>
      </c>
      <c r="E102" s="27">
        <f>CONVERT(D102*1000,"Pa","psi")</f>
        <v>18.355647517325231</v>
      </c>
      <c r="F102" s="12">
        <v>18.391999999999999</v>
      </c>
      <c r="G102" s="31">
        <f t="shared" si="10"/>
        <v>-1.9765377704854576E-3</v>
      </c>
      <c r="I102">
        <f>I101*I33</f>
        <v>212.69737166831806</v>
      </c>
      <c r="J102" s="27">
        <f>CONVERT(I102*1000,"Pa","psi")</f>
        <v>30.849145607934343</v>
      </c>
      <c r="K102" s="12">
        <v>33.470999999999997</v>
      </c>
      <c r="L102" s="31">
        <f t="shared" si="11"/>
        <v>-7.8332120105932115E-2</v>
      </c>
      <c r="N102">
        <f>N101*N33</f>
        <v>212.69737166831806</v>
      </c>
    </row>
    <row r="103" spans="1:16" x14ac:dyDescent="0.25">
      <c r="B103" t="s">
        <v>99</v>
      </c>
      <c r="C103" t="s">
        <v>8</v>
      </c>
      <c r="D103" s="12">
        <f>D95</f>
        <v>398.83333846364906</v>
      </c>
      <c r="E103" s="12">
        <f t="shared" ref="E103:E105" si="12">D103*1.8</f>
        <v>717.9000092345683</v>
      </c>
      <c r="F103" s="12">
        <v>717.9</v>
      </c>
      <c r="G103" s="12">
        <f t="shared" ref="G103:G105" si="13">E103-F103</f>
        <v>9.2345683242456289E-6</v>
      </c>
      <c r="I103">
        <f>I95</f>
        <v>303.5839441572715</v>
      </c>
      <c r="J103" s="12">
        <f t="shared" ref="J103:J105" si="14">I103*1.8</f>
        <v>546.45109948308868</v>
      </c>
      <c r="K103" s="12">
        <v>546.44000000000005</v>
      </c>
      <c r="L103" s="12">
        <f t="shared" ref="L103:L105" si="15">J103-K103</f>
        <v>1.1099483088628403E-2</v>
      </c>
      <c r="N103">
        <f>N95</f>
        <v>303.5839441572715</v>
      </c>
    </row>
    <row r="104" spans="1:16" x14ac:dyDescent="0.25">
      <c r="B104" t="s">
        <v>100</v>
      </c>
      <c r="C104" t="s">
        <v>8</v>
      </c>
      <c r="D104" s="12">
        <f>D103*(D101/D100)^((D13-1)/(D13*D40))</f>
        <v>473.8000528583234</v>
      </c>
      <c r="E104" s="12">
        <f t="shared" si="12"/>
        <v>852.84009514498212</v>
      </c>
      <c r="F104" s="12">
        <v>852.84</v>
      </c>
      <c r="G104" s="12">
        <f t="shared" si="13"/>
        <v>9.5144982083184004E-5</v>
      </c>
      <c r="I104">
        <f>I103*(I101/I100)^((I13-1)/(I13*I40))</f>
        <v>397.65063957099488</v>
      </c>
      <c r="J104" s="12">
        <f t="shared" si="14"/>
        <v>715.77115122779082</v>
      </c>
      <c r="K104" s="12">
        <v>735.32</v>
      </c>
      <c r="L104" s="12">
        <f t="shared" si="15"/>
        <v>-19.548848772209226</v>
      </c>
      <c r="N104">
        <f>N103*(N101/N100)^((N13-1)/(N13*N40))</f>
        <v>397.65063957099488</v>
      </c>
    </row>
    <row r="105" spans="1:16" x14ac:dyDescent="0.25">
      <c r="B105" t="s">
        <v>101</v>
      </c>
      <c r="C105" t="s">
        <v>8</v>
      </c>
      <c r="D105" s="12">
        <f>D104</f>
        <v>473.8000528583234</v>
      </c>
      <c r="E105" s="12">
        <f t="shared" si="12"/>
        <v>852.84009514498212</v>
      </c>
      <c r="F105" s="12">
        <v>852.84</v>
      </c>
      <c r="G105" s="12">
        <f t="shared" si="13"/>
        <v>9.5144982083184004E-5</v>
      </c>
      <c r="I105">
        <f>I104</f>
        <v>397.65063957099488</v>
      </c>
      <c r="J105" s="12">
        <f t="shared" si="14"/>
        <v>715.77115122779082</v>
      </c>
      <c r="K105" s="12">
        <v>735.32</v>
      </c>
      <c r="L105" s="12">
        <f t="shared" si="15"/>
        <v>-19.548848772209226</v>
      </c>
      <c r="N105">
        <f>N104</f>
        <v>397.65063957099488</v>
      </c>
    </row>
    <row r="106" spans="1:16" x14ac:dyDescent="0.25">
      <c r="B106" t="s">
        <v>102</v>
      </c>
      <c r="D106" s="12">
        <f>SQRT((2/(D13-1))*(((1+((D15-1)/2)*(D67^2))^(D15/(D15-1))^((D13-1)/D13))-1))</f>
        <v>0.42839478813973891</v>
      </c>
      <c r="I106">
        <f>SQRT((2/(I13-1))*(((1+((I15-1)/2)*(I67^2))^(I15/(I15-1))^((I13-1)/I13))-1))</f>
        <v>0.42839478813973891</v>
      </c>
      <c r="N106">
        <f>SQRT((2/(N13-1))*(((1+((N15-1)/2)*(N67^2))^(N15/(N15-1))^((N13-1)/N13))-1))</f>
        <v>0.42839478813973891</v>
      </c>
    </row>
    <row r="107" spans="1:16" x14ac:dyDescent="0.25">
      <c r="B107" t="s">
        <v>103</v>
      </c>
      <c r="D107" s="12">
        <f ca="1">(D99*D12*(D104-D103))/1000000</f>
        <v>10.271841398696692</v>
      </c>
      <c r="I107">
        <f ca="1">(I99*I12*(I104-I103))/1000000</f>
        <v>27.416022463485142</v>
      </c>
      <c r="N107">
        <f ca="1">(N99*N12*(N104-N103))/1000000</f>
        <v>27.572331791665651</v>
      </c>
    </row>
    <row r="108" spans="1:16" x14ac:dyDescent="0.25">
      <c r="D108" s="12">
        <f ca="1">D99*SQRT(D105)/D102</f>
        <v>23.436164459520278</v>
      </c>
      <c r="I108" s="12">
        <f ca="1">I99*SQRT(I105)/I102</f>
        <v>27.174097423989156</v>
      </c>
      <c r="N108" s="12">
        <f ca="1">N99*SQRT(N105)/N102</f>
        <v>27.329027444122925</v>
      </c>
    </row>
    <row r="110" spans="1:16" x14ac:dyDescent="0.25">
      <c r="A110" t="s">
        <v>53</v>
      </c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6" x14ac:dyDescent="0.25">
      <c r="B111" t="s">
        <v>95</v>
      </c>
      <c r="C111" t="s">
        <v>65</v>
      </c>
      <c r="D111" s="12">
        <f>D98</f>
        <v>224.18458049886621</v>
      </c>
      <c r="E111" s="12">
        <f>D111*2.205</f>
        <v>494.327</v>
      </c>
      <c r="F111" s="12">
        <v>494.327</v>
      </c>
      <c r="G111" s="31">
        <f t="shared" ref="G111:G113" si="16">(E111-F111)/F111</f>
        <v>0</v>
      </c>
      <c r="H111" s="12"/>
      <c r="I111" s="12">
        <f ca="1">I98</f>
        <v>534.34826459838905</v>
      </c>
      <c r="J111" s="12">
        <f ca="1">I111*2.205</f>
        <v>1178.237923439448</v>
      </c>
      <c r="K111" s="12">
        <v>1268.4159999999999</v>
      </c>
      <c r="L111" s="31">
        <f t="shared" ref="L111:L113" ca="1" si="17">(J111-K111)/K111</f>
        <v>-7.1095032355750779E-2</v>
      </c>
      <c r="M111" s="12"/>
      <c r="N111" s="12">
        <f ca="1">N98</f>
        <v>535.12680939378947</v>
      </c>
      <c r="O111" s="12"/>
      <c r="P111" s="12"/>
    </row>
    <row r="112" spans="1:16" x14ac:dyDescent="0.25">
      <c r="B112" t="s">
        <v>104</v>
      </c>
      <c r="C112" t="s">
        <v>65</v>
      </c>
      <c r="D112" s="12">
        <f ca="1">D111/(1+D65)</f>
        <v>87.92166504403508</v>
      </c>
      <c r="E112" s="12">
        <f ca="1">D112*2.205</f>
        <v>193.86727142209736</v>
      </c>
      <c r="F112" s="12">
        <v>165.21100000000001</v>
      </c>
      <c r="G112" s="31">
        <f t="shared" ca="1" si="16"/>
        <v>0.17345256321974534</v>
      </c>
      <c r="H112" s="12"/>
      <c r="I112" s="12">
        <f ca="1">I111/(1+I65)</f>
        <v>244.50286695890409</v>
      </c>
      <c r="J112" s="12">
        <f ca="1">I112*2.205</f>
        <v>539.12882164438349</v>
      </c>
      <c r="K112" s="12">
        <v>423.98200000000003</v>
      </c>
      <c r="L112" s="31">
        <f t="shared" ca="1" si="17"/>
        <v>0.2715842220763699</v>
      </c>
      <c r="M112" s="12"/>
      <c r="N112" s="12">
        <f ca="1">N111/(1+N65)</f>
        <v>243.62889124584694</v>
      </c>
      <c r="O112" s="12"/>
      <c r="P112" s="12"/>
    </row>
    <row r="113" spans="1:17" x14ac:dyDescent="0.25">
      <c r="B113" t="s">
        <v>91</v>
      </c>
      <c r="C113" t="s">
        <v>10</v>
      </c>
      <c r="D113" s="12">
        <f>D93</f>
        <v>73.511106928808587</v>
      </c>
      <c r="E113" s="27">
        <f>CONVERT(D113*1000,"Pa","psi")</f>
        <v>10.661884646997905</v>
      </c>
      <c r="F113" s="27">
        <v>10.683999999999999</v>
      </c>
      <c r="G113" s="31">
        <f t="shared" si="16"/>
        <v>-2.0699506741009501E-3</v>
      </c>
      <c r="H113" s="31"/>
      <c r="I113" s="12">
        <f>I93</f>
        <v>106.42747848067094</v>
      </c>
      <c r="J113" s="27">
        <f>CONVERT(I113*1000,"Pa","psi")</f>
        <v>15.436000711167036</v>
      </c>
      <c r="K113" s="27">
        <v>15.436</v>
      </c>
      <c r="L113" s="31">
        <f t="shared" si="17"/>
        <v>4.6071976961084957E-8</v>
      </c>
      <c r="M113" s="31"/>
      <c r="N113" s="12">
        <f>N93</f>
        <v>106.42747848067094</v>
      </c>
      <c r="O113" s="31"/>
      <c r="P113" s="31"/>
      <c r="Q113" s="37"/>
    </row>
    <row r="114" spans="1:17" x14ac:dyDescent="0.25">
      <c r="B114" t="s">
        <v>105</v>
      </c>
      <c r="C114" t="s">
        <v>10</v>
      </c>
      <c r="D114" s="12">
        <f>D113*D29</f>
        <v>115.84381588940303</v>
      </c>
      <c r="E114" s="27">
        <f>CONVERT(D114*1000,"Pa","psi")</f>
        <v>16.801724986633879</v>
      </c>
      <c r="F114" s="27">
        <v>16.835000000000001</v>
      </c>
      <c r="G114" s="31">
        <f>(E114-F114)/F114</f>
        <v>-1.9765377704854263E-3</v>
      </c>
      <c r="H114" s="31"/>
      <c r="I114" s="12">
        <f>I113*I29</f>
        <v>229.53287267351632</v>
      </c>
      <c r="J114" s="27">
        <f>CONVERT(I114*1000,"Pa","psi")</f>
        <v>33.29092858728297</v>
      </c>
      <c r="K114" s="27">
        <v>34.469000000000001</v>
      </c>
      <c r="L114" s="31">
        <f>(J114-K114)/K114</f>
        <v>-3.4177707874235727E-2</v>
      </c>
      <c r="M114" s="31"/>
      <c r="N114" s="12">
        <f>N113*N29</f>
        <v>229.53287267351632</v>
      </c>
      <c r="O114" s="31"/>
      <c r="P114" s="31"/>
      <c r="Q114" s="37"/>
    </row>
    <row r="115" spans="1:17" x14ac:dyDescent="0.25">
      <c r="B115" t="s">
        <v>93</v>
      </c>
      <c r="C115" t="s">
        <v>8</v>
      </c>
      <c r="D115" s="12">
        <f>D95</f>
        <v>398.83333846364906</v>
      </c>
      <c r="E115" s="12">
        <f>D115*1.8</f>
        <v>717.9000092345683</v>
      </c>
      <c r="F115" s="12">
        <v>717.9</v>
      </c>
      <c r="G115" s="12">
        <f>E115-F115</f>
        <v>9.2345683242456289E-6</v>
      </c>
      <c r="H115" s="12"/>
      <c r="I115" s="12">
        <f>I95</f>
        <v>303.5839441572715</v>
      </c>
      <c r="J115" s="12">
        <f>I115*1.8</f>
        <v>546.45109948308868</v>
      </c>
      <c r="K115" s="12">
        <v>546.44000000000005</v>
      </c>
      <c r="L115" s="12">
        <f>J115-K115</f>
        <v>1.1099483088628403E-2</v>
      </c>
      <c r="M115" s="12"/>
      <c r="N115" s="12">
        <f>N95</f>
        <v>303.5839441572715</v>
      </c>
      <c r="O115" s="12"/>
      <c r="P115" s="12"/>
    </row>
    <row r="116" spans="1:17" x14ac:dyDescent="0.25">
      <c r="B116" t="s">
        <v>106</v>
      </c>
      <c r="C116" t="s">
        <v>8</v>
      </c>
      <c r="D116" s="12">
        <f>D115*(D114/D113)^((D13-1)/(D13*D41))</f>
        <v>459.98337486486167</v>
      </c>
      <c r="E116" s="12">
        <f>D116*1.8</f>
        <v>827.97007475675105</v>
      </c>
      <c r="F116" s="12">
        <v>827.97</v>
      </c>
      <c r="G116" s="12">
        <f t="shared" ref="G116" si="18">E116-F116</f>
        <v>7.4756751018867362E-5</v>
      </c>
      <c r="H116" s="12"/>
      <c r="I116" s="12">
        <f>I115*(I114/I113)^((I13-1)/(I13*I41))</f>
        <v>386.34025519993736</v>
      </c>
      <c r="J116" s="12">
        <f>I116*1.8</f>
        <v>695.41245935988729</v>
      </c>
      <c r="K116" s="12">
        <v>704.14</v>
      </c>
      <c r="L116" s="12">
        <f t="shared" ref="L116" si="19">J116-K116</f>
        <v>-8.7275406401126929</v>
      </c>
      <c r="M116" s="12"/>
      <c r="N116" s="12">
        <f>N115*(N114/N113)^((N13-1)/(N13*N41))</f>
        <v>386.34025519993736</v>
      </c>
      <c r="O116" s="12"/>
      <c r="P116" s="12"/>
    </row>
    <row r="117" spans="1:17" x14ac:dyDescent="0.25">
      <c r="B117" t="s">
        <v>103</v>
      </c>
      <c r="C117" s="7" t="s">
        <v>107</v>
      </c>
      <c r="D117" s="12">
        <f ca="1">(D112*D12*(D116-D115))/1000000</f>
        <v>5.406233198141714</v>
      </c>
      <c r="E117" s="12"/>
      <c r="F117" s="12"/>
      <c r="G117" s="31"/>
      <c r="H117" s="31"/>
      <c r="I117" s="12">
        <f ca="1">(I112*I12*(I116-I115))/1000000</f>
        <v>20.346383695418194</v>
      </c>
      <c r="J117" s="12"/>
      <c r="K117" s="12"/>
      <c r="L117" s="31"/>
      <c r="M117" s="31"/>
      <c r="N117" s="12">
        <f ca="1">(N112*N12*(N116-N115))/1000000</f>
        <v>20.273655528998262</v>
      </c>
      <c r="O117" s="31"/>
      <c r="P117" s="31"/>
      <c r="Q117" s="37"/>
    </row>
    <row r="118" spans="1:17" x14ac:dyDescent="0.25"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1:17" x14ac:dyDescent="0.25">
      <c r="A119" t="s">
        <v>108</v>
      </c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1:17" x14ac:dyDescent="0.25">
      <c r="B120" t="s">
        <v>109</v>
      </c>
      <c r="C120" t="s">
        <v>65</v>
      </c>
      <c r="D120" s="12">
        <f ca="1">D112</f>
        <v>87.92166504403508</v>
      </c>
      <c r="E120" s="12">
        <f ca="1">D120*2.205</f>
        <v>193.86727142209736</v>
      </c>
      <c r="F120" s="12">
        <v>165.21100000000001</v>
      </c>
      <c r="G120" s="31">
        <f t="shared" ref="G120:G122" ca="1" si="20">(E120-F120)/F120</f>
        <v>0.17345256321974534</v>
      </c>
      <c r="H120" s="12"/>
      <c r="I120" s="12">
        <f ca="1">I112</f>
        <v>244.50286695890409</v>
      </c>
      <c r="J120" s="12">
        <f ca="1">I120*2.205</f>
        <v>539.12882164438349</v>
      </c>
      <c r="K120" s="12">
        <v>423.983</v>
      </c>
      <c r="L120" s="31">
        <f t="shared" ref="L120:L122" ca="1" si="21">(J120-K120)/K120</f>
        <v>0.27158122293672976</v>
      </c>
      <c r="M120" s="12"/>
      <c r="N120" s="12">
        <f ca="1">N112</f>
        <v>243.62889124584694</v>
      </c>
      <c r="O120" s="12"/>
      <c r="P120" s="12"/>
    </row>
    <row r="121" spans="1:17" x14ac:dyDescent="0.25">
      <c r="B121" t="s">
        <v>110</v>
      </c>
      <c r="C121" t="s">
        <v>10</v>
      </c>
      <c r="D121" s="12">
        <f>D114*D36</f>
        <v>113.52693957161497</v>
      </c>
      <c r="E121" s="27">
        <f>CONVERT(D121*1000,"Pa","psi")</f>
        <v>16.465690486901202</v>
      </c>
      <c r="F121" s="27">
        <v>16.667000000000002</v>
      </c>
      <c r="G121" s="31">
        <f t="shared" si="20"/>
        <v>-1.2078329219343563E-2</v>
      </c>
      <c r="H121" s="31"/>
      <c r="I121" s="12">
        <f>I114*I36</f>
        <v>213.52135132579369</v>
      </c>
      <c r="J121" s="27">
        <f>CONVERT(I121*1000,"Pa","psi")</f>
        <v>30.968653753390324</v>
      </c>
      <c r="K121" s="27">
        <v>34.008000000000003</v>
      </c>
      <c r="L121" s="31">
        <f t="shared" si="21"/>
        <v>-8.9371508074855277E-2</v>
      </c>
      <c r="M121" s="31"/>
      <c r="N121" s="12">
        <f>N114*N36</f>
        <v>213.52135132579369</v>
      </c>
      <c r="O121" s="31"/>
      <c r="P121" s="31"/>
      <c r="Q121" s="37"/>
    </row>
    <row r="122" spans="1:17" x14ac:dyDescent="0.25">
      <c r="B122" t="s">
        <v>111</v>
      </c>
      <c r="C122" t="s">
        <v>10</v>
      </c>
      <c r="D122" s="12">
        <f>D121*D30</f>
        <v>959.37820421613924</v>
      </c>
      <c r="E122" s="27">
        <f>CONVERT(D122*1000,"Pa","psi")</f>
        <v>139.14604436717948</v>
      </c>
      <c r="F122" s="27">
        <v>165.96799999999999</v>
      </c>
      <c r="G122" s="31">
        <f t="shared" si="20"/>
        <v>-0.16160919956148478</v>
      </c>
      <c r="H122" s="31"/>
      <c r="I122" s="12">
        <f>I121*I30</f>
        <v>2818.4818375004766</v>
      </c>
      <c r="J122" s="27">
        <f>CONVERT(I122*1000,"Pa","psi")</f>
        <v>408.78622954475225</v>
      </c>
      <c r="K122" s="27">
        <v>397.18700000000001</v>
      </c>
      <c r="L122" s="31">
        <f t="shared" si="21"/>
        <v>2.9203447103636909E-2</v>
      </c>
      <c r="M122" s="31"/>
      <c r="N122" s="12">
        <f>N121*N30</f>
        <v>2818.4818375004766</v>
      </c>
      <c r="O122" s="31"/>
      <c r="P122" s="31"/>
      <c r="Q122" s="37"/>
    </row>
    <row r="123" spans="1:17" x14ac:dyDescent="0.25">
      <c r="B123" t="s">
        <v>112</v>
      </c>
      <c r="C123" t="s">
        <v>8</v>
      </c>
      <c r="D123" s="12">
        <f>D116</f>
        <v>459.98337486486167</v>
      </c>
      <c r="E123" s="12">
        <f>D123*1.8</f>
        <v>827.97007475675105</v>
      </c>
      <c r="F123" s="12">
        <v>827.97</v>
      </c>
      <c r="G123" s="12">
        <f>E123-F123</f>
        <v>7.4756751018867362E-5</v>
      </c>
      <c r="H123" s="12"/>
      <c r="I123" s="12">
        <f>I116</f>
        <v>386.34025519993736</v>
      </c>
      <c r="J123" s="12">
        <f>I123*1.8</f>
        <v>695.41245935988729</v>
      </c>
      <c r="K123" s="12">
        <v>704.14</v>
      </c>
      <c r="L123" s="12">
        <f>J123-K123</f>
        <v>-8.7275406401126929</v>
      </c>
      <c r="M123" s="12"/>
      <c r="N123" s="12">
        <f>N116</f>
        <v>386.34025519993736</v>
      </c>
      <c r="O123" s="12"/>
      <c r="P123" s="12"/>
    </row>
    <row r="124" spans="1:17" x14ac:dyDescent="0.25">
      <c r="B124" t="s">
        <v>113</v>
      </c>
      <c r="C124" t="s">
        <v>8</v>
      </c>
      <c r="D124" s="12">
        <f>D123*(D122/D121)^((D13-1)/(D13*D42))</f>
        <v>898.9999999998447</v>
      </c>
      <c r="E124" s="12">
        <f>D124*1.8</f>
        <v>1618.1999999997206</v>
      </c>
      <c r="F124" s="12">
        <v>1619.64</v>
      </c>
      <c r="G124" s="12">
        <f>E124-F124</f>
        <v>-1.4400000002794968</v>
      </c>
      <c r="H124" s="12"/>
      <c r="I124" s="12">
        <f>I123*(I122/I121)^((I13-1)/(I13*I42))</f>
        <v>868.55737481484721</v>
      </c>
      <c r="J124" s="12">
        <f>I124*1.8</f>
        <v>1563.4032746667251</v>
      </c>
      <c r="K124" s="12">
        <v>1461.94</v>
      </c>
      <c r="L124" s="12">
        <f>J124-K124</f>
        <v>101.46327466672506</v>
      </c>
      <c r="M124" s="12"/>
      <c r="N124" s="12">
        <f>N123*(N122/N121)^((N13-1)/(N13*N42))</f>
        <v>868.55737481484721</v>
      </c>
      <c r="O124" s="12"/>
      <c r="P124" s="12"/>
    </row>
    <row r="125" spans="1:17" x14ac:dyDescent="0.25">
      <c r="B125" t="s">
        <v>114</v>
      </c>
      <c r="C125" s="7" t="s">
        <v>107</v>
      </c>
      <c r="D125" s="12">
        <f ca="1">(D120*D12*(D124-D123))/1000000</f>
        <v>38.81316174153276</v>
      </c>
      <c r="E125" s="12"/>
      <c r="F125" s="12"/>
      <c r="G125" s="31"/>
      <c r="H125" s="31"/>
      <c r="I125" s="12">
        <f ca="1">(I120*I12*(I124-I123))/1000000</f>
        <v>118.55741775543828</v>
      </c>
      <c r="J125" s="12"/>
      <c r="K125" s="12"/>
      <c r="L125" s="31"/>
      <c r="M125" s="31"/>
      <c r="N125" s="12">
        <f ca="1">(N120*N12*(N124-N123))/1000000</f>
        <v>118.13363416136518</v>
      </c>
      <c r="O125" s="31"/>
      <c r="P125" s="31"/>
      <c r="Q125" s="37"/>
    </row>
    <row r="126" spans="1:17" x14ac:dyDescent="0.25"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1:17" x14ac:dyDescent="0.25">
      <c r="A127" t="s">
        <v>35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1:17" x14ac:dyDescent="0.25">
      <c r="B128" t="s">
        <v>115</v>
      </c>
      <c r="C128" t="s">
        <v>65</v>
      </c>
      <c r="D128" s="12">
        <f ca="1">D73*(1-D54)</f>
        <v>87.43206125348533</v>
      </c>
      <c r="E128" s="12">
        <f ca="1">D128*2.205</f>
        <v>192.78769506393516</v>
      </c>
      <c r="F128">
        <v>164.291</v>
      </c>
      <c r="G128" s="31">
        <f ca="1">(E128-F128)/F128</f>
        <v>0.17345256321974523</v>
      </c>
      <c r="H128" s="31"/>
      <c r="I128" s="12">
        <f ca="1">I73*(1-I54)</f>
        <v>243.1418969978609</v>
      </c>
      <c r="J128" s="12">
        <f ca="1">I128*2.205</f>
        <v>536.12788288028332</v>
      </c>
      <c r="K128">
        <v>421.62200000000001</v>
      </c>
      <c r="L128" s="31">
        <f ca="1">(J128-K128)/K128</f>
        <v>0.27158422207637006</v>
      </c>
      <c r="M128" s="31"/>
      <c r="N128" s="12">
        <f ca="1">N73*(1-N54)</f>
        <v>242.27278607312687</v>
      </c>
      <c r="O128" s="31"/>
      <c r="P128" s="31"/>
      <c r="Q128" s="37"/>
    </row>
    <row r="129" spans="1:17" x14ac:dyDescent="0.25">
      <c r="B129" t="s">
        <v>116</v>
      </c>
      <c r="C129" t="s">
        <v>65</v>
      </c>
      <c r="D129" s="12">
        <f ca="1">D128*(1-D55)</f>
        <v>81.902165651288215</v>
      </c>
      <c r="E129" s="12">
        <f ca="1">D129*2.205</f>
        <v>180.59427526109053</v>
      </c>
      <c r="F129" s="12">
        <v>153.90100000000001</v>
      </c>
      <c r="G129" s="31">
        <f ca="1">(E129-F129)/F129</f>
        <v>0.1734444562484358</v>
      </c>
      <c r="H129" s="31"/>
      <c r="I129" s="12">
        <f ca="1">I128*(1-I55)</f>
        <v>229.10314584038829</v>
      </c>
      <c r="J129" s="12">
        <f ca="1">I129*2.205</f>
        <v>505.17243657805619</v>
      </c>
      <c r="K129" s="12">
        <v>397.27800000000002</v>
      </c>
      <c r="L129" s="31">
        <f ca="1">(J129-K129)/K129</f>
        <v>0.27158422207637012</v>
      </c>
      <c r="M129" s="31"/>
      <c r="N129" s="12">
        <f ca="1">N128*(1-N55)</f>
        <v>228.28421644401786</v>
      </c>
      <c r="O129" s="31"/>
      <c r="P129" s="31"/>
      <c r="Q129" s="37"/>
    </row>
    <row r="130" spans="1:17" x14ac:dyDescent="0.25">
      <c r="B130" t="s">
        <v>117</v>
      </c>
      <c r="C130" t="s">
        <v>30</v>
      </c>
      <c r="D130" s="32">
        <f ca="1">D131/D129</f>
        <v>2.1127908618145053E-2</v>
      </c>
      <c r="E130" s="32"/>
      <c r="F130" s="32">
        <f>F131/F129</f>
        <v>1.8561867694167029E-2</v>
      </c>
      <c r="G130" s="31">
        <f ca="1">(D130-F130)/F130</f>
        <v>0.13824260393712373</v>
      </c>
      <c r="H130" s="31"/>
      <c r="I130" s="32">
        <f ca="1">I131/I129</f>
        <v>2.5639000219547872E-2</v>
      </c>
      <c r="J130" s="32"/>
      <c r="K130" s="32">
        <f>K131/K129</f>
        <v>1.8364898131786808E-2</v>
      </c>
      <c r="L130" s="31">
        <f ca="1">(I130-K130)/K130</f>
        <v>0.39608725491216928</v>
      </c>
      <c r="M130" s="31"/>
      <c r="N130" s="32">
        <f ca="1">N131/N129</f>
        <v>2.563900021954783E-2</v>
      </c>
      <c r="O130" s="31"/>
      <c r="P130" s="31"/>
      <c r="Q130" s="37"/>
    </row>
    <row r="131" spans="1:17" x14ac:dyDescent="0.25">
      <c r="B131" t="s">
        <v>118</v>
      </c>
      <c r="C131" t="s">
        <v>65</v>
      </c>
      <c r="D131" s="38">
        <f ca="1">((D129*(D14*D134-D12*D124))/((D43*D18*1000)-(D14*D134)))</f>
        <v>1.7304214715085959</v>
      </c>
      <c r="E131" s="12">
        <f ca="1">D131*2.205</f>
        <v>3.8155793446764541</v>
      </c>
      <c r="F131" s="12">
        <v>2.85669</v>
      </c>
      <c r="G131" s="31">
        <f t="shared" ref="G131:G132" ca="1" si="22">(E131-F131)/F131</f>
        <v>0.33566447345580169</v>
      </c>
      <c r="H131" s="31"/>
      <c r="I131" s="38">
        <f ca="1">((I129*(I14*I134-I12*I124))/((I43*I18*1000)-(I14*I134)))</f>
        <v>5.8739756065008111</v>
      </c>
      <c r="J131" s="12">
        <f ca="1">I131*2.205</f>
        <v>12.952116212334289</v>
      </c>
      <c r="K131" s="12">
        <v>7.2959699999999996</v>
      </c>
      <c r="L131" s="31">
        <f t="shared" ref="L131:L132" ca="1" si="23">(J131-K131)/K131</f>
        <v>0.77524252598822219</v>
      </c>
      <c r="M131" s="31"/>
      <c r="N131" s="38">
        <f ca="1">((N129*(N14*N134-N12*N124))/((N43*N18*1000)-(N14*N134)))</f>
        <v>5.8529790755274762</v>
      </c>
      <c r="O131" s="31"/>
      <c r="P131" s="37"/>
      <c r="Q131" s="37"/>
    </row>
    <row r="132" spans="1:17" x14ac:dyDescent="0.25">
      <c r="B132" t="s">
        <v>119</v>
      </c>
      <c r="C132" t="s">
        <v>65</v>
      </c>
      <c r="D132" s="12">
        <f ca="1">D129+D131</f>
        <v>83.632587122796807</v>
      </c>
      <c r="E132" s="12">
        <f ca="1">D132*2.205</f>
        <v>184.40985460576695</v>
      </c>
      <c r="F132" s="12">
        <f>F129+F131</f>
        <v>156.75769</v>
      </c>
      <c r="G132" s="31">
        <f t="shared" ca="1" si="22"/>
        <v>0.1764006895340634</v>
      </c>
      <c r="H132" s="31"/>
      <c r="I132" s="12">
        <f ca="1">I129+I131</f>
        <v>234.9771214468891</v>
      </c>
      <c r="J132" s="12">
        <f ca="1">I132*2.205</f>
        <v>518.12455279039045</v>
      </c>
      <c r="K132" s="12">
        <v>404.57</v>
      </c>
      <c r="L132" s="31">
        <f t="shared" ca="1" si="23"/>
        <v>0.2806796173477778</v>
      </c>
      <c r="M132" s="31"/>
      <c r="N132" s="12">
        <f ca="1">N129+N131</f>
        <v>234.13719551954534</v>
      </c>
      <c r="O132" s="31"/>
      <c r="P132" s="31"/>
      <c r="Q132" s="37"/>
    </row>
    <row r="133" spans="1:17" x14ac:dyDescent="0.25">
      <c r="B133" t="s">
        <v>120</v>
      </c>
      <c r="C133" t="s">
        <v>10</v>
      </c>
      <c r="D133" s="12">
        <f>D122*D31</f>
        <v>921.00307604749366</v>
      </c>
      <c r="E133" s="27">
        <f>CONVERT(D133*1000,"Pa","psi")</f>
        <v>133.5802025924923</v>
      </c>
      <c r="F133" s="27">
        <v>159.32900000000001</v>
      </c>
      <c r="G133" s="31">
        <f>(E133-F133)/F133</f>
        <v>-0.16160772619866884</v>
      </c>
      <c r="H133" s="31"/>
      <c r="I133" s="12">
        <f>I122*I31</f>
        <v>2705.7425640004576</v>
      </c>
      <c r="J133" s="27">
        <f>CONVERT(I133*1000,"Pa","psi")</f>
        <v>392.43478036296216</v>
      </c>
      <c r="K133" s="27">
        <v>380.50200000000001</v>
      </c>
      <c r="L133" s="31">
        <f>(J133-K133)/K133</f>
        <v>3.1360624551151239E-2</v>
      </c>
      <c r="M133" s="31"/>
      <c r="N133" s="12">
        <f>N122*N31</f>
        <v>2705.7425640004576</v>
      </c>
      <c r="O133" s="31"/>
      <c r="P133" s="31"/>
      <c r="Q133" s="37"/>
    </row>
    <row r="134" spans="1:17" x14ac:dyDescent="0.25">
      <c r="B134" t="s">
        <v>121</v>
      </c>
      <c r="D134" s="12">
        <f>D63</f>
        <v>1520</v>
      </c>
      <c r="E134" s="12">
        <f>D134*1.8</f>
        <v>2736</v>
      </c>
      <c r="F134" s="12">
        <v>2744.74</v>
      </c>
      <c r="G134" s="12">
        <f>(E134-F134)</f>
        <v>-8.7399999999997817</v>
      </c>
      <c r="H134" s="12"/>
      <c r="I134" s="12">
        <f>I63</f>
        <v>1650</v>
      </c>
      <c r="J134" s="12">
        <f>I134*1.8</f>
        <v>2970</v>
      </c>
      <c r="K134" s="12">
        <v>2598.14</v>
      </c>
      <c r="L134" s="12">
        <f>(J134-K134)</f>
        <v>371.86000000000013</v>
      </c>
      <c r="M134" s="12"/>
      <c r="N134" s="12">
        <f>N63</f>
        <v>1650</v>
      </c>
      <c r="O134" s="12"/>
      <c r="P134" s="12"/>
    </row>
    <row r="135" spans="1:17" x14ac:dyDescent="0.25">
      <c r="B135" t="s">
        <v>122</v>
      </c>
      <c r="C135" t="s">
        <v>107</v>
      </c>
      <c r="D135" s="12">
        <f ca="1">(D132*D142*D14-D128*D124*D12)/1000000</f>
        <v>66.855227897536025</v>
      </c>
      <c r="E135" s="12"/>
      <c r="F135" s="12"/>
      <c r="G135" s="12"/>
      <c r="H135" s="12"/>
      <c r="I135" s="12">
        <f ca="1">(I132*I142*I14-I128*I124*I12)/1000000</f>
        <v>231.44815384866752</v>
      </c>
      <c r="J135" s="12"/>
      <c r="K135" s="12"/>
      <c r="L135" s="12"/>
      <c r="M135" s="12"/>
      <c r="N135" s="12">
        <f ca="1">(N132*N142*N14-N128*N124*N12)/1000000</f>
        <v>230.6208422191082</v>
      </c>
      <c r="O135" s="12"/>
      <c r="P135" s="12"/>
    </row>
    <row r="136" spans="1:17" s="42" customFormat="1" x14ac:dyDescent="0.25">
      <c r="B136" s="42" t="s">
        <v>123</v>
      </c>
      <c r="D136" s="48">
        <f ca="1">D132*(SQRT(D134)/D133)</f>
        <v>3.5402688586381386</v>
      </c>
      <c r="E136" s="43"/>
      <c r="F136" s="43"/>
      <c r="G136" s="43"/>
      <c r="H136" s="43"/>
      <c r="I136" s="48">
        <f ca="1">I132*(SQRT(I134)/I133)</f>
        <v>3.5276141644882153</v>
      </c>
      <c r="J136" s="43"/>
      <c r="K136" s="56">
        <f ca="1">(I136-D136)/I136</f>
        <v>-3.5873237717762708E-3</v>
      </c>
      <c r="L136" s="43"/>
      <c r="M136" s="43"/>
      <c r="N136" s="48">
        <f ca="1">N132*(SQRT(N134)/N133)</f>
        <v>3.5150047045536725</v>
      </c>
      <c r="O136" s="43"/>
      <c r="P136" s="43"/>
      <c r="Q136" s="44"/>
    </row>
    <row r="137" spans="1:17" x14ac:dyDescent="0.25">
      <c r="B137" s="4" t="s">
        <v>124</v>
      </c>
      <c r="C137" t="s">
        <v>54</v>
      </c>
      <c r="D137" s="12"/>
      <c r="E137" s="12"/>
      <c r="F137" s="12"/>
      <c r="G137" s="12"/>
      <c r="H137" s="12"/>
      <c r="I137" s="34"/>
      <c r="J137" s="12"/>
      <c r="K137" s="12"/>
      <c r="L137" s="12"/>
      <c r="M137" s="12"/>
      <c r="N137" s="34"/>
      <c r="O137" s="12"/>
      <c r="P137" s="12"/>
    </row>
    <row r="138" spans="1:17" x14ac:dyDescent="0.25">
      <c r="B138" s="4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1:17" x14ac:dyDescent="0.25">
      <c r="A139" t="s">
        <v>125</v>
      </c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1:17" x14ac:dyDescent="0.25">
      <c r="B140" s="4" t="s">
        <v>126</v>
      </c>
      <c r="C140" t="s">
        <v>65</v>
      </c>
      <c r="D140" s="12">
        <f ca="1">D132*(1+D56)</f>
        <v>87.134861741642894</v>
      </c>
      <c r="E140" s="12">
        <f ca="1">D140*2.205</f>
        <v>192.13237014032259</v>
      </c>
      <c r="F140" s="12">
        <v>163.63800000000001</v>
      </c>
      <c r="G140" s="31">
        <f t="shared" ref="G140:G141" ca="1" si="24">(E140-F140)/F140</f>
        <v>0.1741305206634314</v>
      </c>
      <c r="H140" s="31"/>
      <c r="I140" s="12">
        <f ca="1">I132*(1+I56)</f>
        <v>244.81766827174104</v>
      </c>
      <c r="J140" s="12">
        <f ca="1">I140*2.205</f>
        <v>539.82295853918902</v>
      </c>
      <c r="K140" s="12">
        <v>422.23</v>
      </c>
      <c r="L140" s="31">
        <f t="shared" ref="L140:L141" ca="1" si="25">(J140-K140)/K140</f>
        <v>0.27850450829924212</v>
      </c>
      <c r="M140" s="31"/>
      <c r="N140" s="12">
        <f ca="1">N132*(1+N56)</f>
        <v>243.9425673011142</v>
      </c>
      <c r="O140" s="31"/>
      <c r="P140" s="31"/>
      <c r="Q140" s="37"/>
    </row>
    <row r="141" spans="1:17" x14ac:dyDescent="0.25">
      <c r="B141" s="4" t="s">
        <v>127</v>
      </c>
      <c r="C141" t="s">
        <v>65</v>
      </c>
      <c r="D141" s="12">
        <f ca="1">D140*(1+D57)</f>
        <v>88.210980545921842</v>
      </c>
      <c r="E141" s="12">
        <f ca="1">D141*2.205</f>
        <v>194.50521210375766</v>
      </c>
      <c r="F141" s="12">
        <v>165.667</v>
      </c>
      <c r="G141" s="31">
        <f t="shared" ca="1" si="24"/>
        <v>0.17407336466379941</v>
      </c>
      <c r="H141" s="31"/>
      <c r="I141" s="12">
        <f ca="1">I140*(1+I57)</f>
        <v>247.84172872484646</v>
      </c>
      <c r="J141" s="12">
        <f ca="1">I141*2.205</f>
        <v>546.49101183828645</v>
      </c>
      <c r="K141" s="12">
        <v>427.43799999999999</v>
      </c>
      <c r="L141" s="31">
        <f t="shared" ca="1" si="25"/>
        <v>0.27852697195449744</v>
      </c>
      <c r="M141" s="31"/>
      <c r="N141" s="12">
        <f ca="1">N140*(1+N57)</f>
        <v>246.95581824746944</v>
      </c>
      <c r="O141" s="31"/>
      <c r="P141" s="31"/>
      <c r="Q141" s="37"/>
    </row>
    <row r="142" spans="1:17" x14ac:dyDescent="0.25">
      <c r="B142" t="s">
        <v>128</v>
      </c>
      <c r="C142" t="s">
        <v>8</v>
      </c>
      <c r="D142" s="12">
        <f ca="1">((D132*D14*D134)+((D73*D56)*D12*D124))/(D140*D14)</f>
        <v>1491.5662198806638</v>
      </c>
      <c r="E142" s="12">
        <f ca="1">D142*1.8</f>
        <v>2684.819195785195</v>
      </c>
      <c r="F142" s="12">
        <v>2700.59</v>
      </c>
      <c r="G142" s="12">
        <f t="shared" ref="G142:G144" ca="1" si="26">E142-F142</f>
        <v>-15.770804214805139</v>
      </c>
      <c r="H142" s="12"/>
      <c r="I142" s="12">
        <f ca="1">((I132*I14*I134)+((I73*I56)*I12*I124))/(I140*I14)</f>
        <v>1614.9110451294466</v>
      </c>
      <c r="J142" s="12">
        <f ca="1">I142*1.8</f>
        <v>2906.8398812330038</v>
      </c>
      <c r="K142" s="12">
        <v>2553.88</v>
      </c>
      <c r="L142" s="12">
        <f t="shared" ref="L142:L144" ca="1" si="27">J142-K142</f>
        <v>352.95988123300367</v>
      </c>
      <c r="M142" s="12"/>
      <c r="N142" s="12">
        <f ca="1">((N132*N14*N134)+((N73*N56)*N12*N124))/(N140*N14)</f>
        <v>1614.9110451294466</v>
      </c>
      <c r="O142" s="12"/>
      <c r="P142" s="12"/>
    </row>
    <row r="143" spans="1:17" x14ac:dyDescent="0.25">
      <c r="B143" t="s">
        <v>129</v>
      </c>
      <c r="C143" t="s">
        <v>8</v>
      </c>
      <c r="D143" s="12">
        <f ca="1">D142-((D125*1000000)/(D47*D140*D14))</f>
        <v>1106.8534068650627</v>
      </c>
      <c r="E143" s="12">
        <f ca="1">D143*1.8</f>
        <v>1992.3361323571128</v>
      </c>
      <c r="F143" s="12">
        <v>1996.73</v>
      </c>
      <c r="G143" s="12">
        <f t="shared" ca="1" si="26"/>
        <v>-4.3938676428872441</v>
      </c>
      <c r="H143" s="12"/>
      <c r="I143" s="12">
        <f ca="1">I142-((I125*1000000)/(I47*I140*I14))</f>
        <v>1196.6614303810966</v>
      </c>
      <c r="J143" s="12">
        <f ca="1">I143*1.8</f>
        <v>2153.990574685974</v>
      </c>
      <c r="K143" s="12">
        <v>1888.94</v>
      </c>
      <c r="L143" s="12">
        <f t="shared" ca="1" si="27"/>
        <v>265.05057468597397</v>
      </c>
      <c r="M143" s="12"/>
      <c r="N143" s="12">
        <f ca="1">N142-((N125*1000000)/(N47*N140*N14))</f>
        <v>1196.6614303810966</v>
      </c>
      <c r="O143" s="12"/>
      <c r="P143" s="12"/>
    </row>
    <row r="144" spans="1:17" x14ac:dyDescent="0.25">
      <c r="B144" t="s">
        <v>130</v>
      </c>
      <c r="C144" t="s">
        <v>8</v>
      </c>
      <c r="D144" s="12">
        <f ca="1">((D140*D14*D143)+((D66*D57)*D12*D124))/(D141*D14)</f>
        <v>1102.8650349714414</v>
      </c>
      <c r="E144" s="12">
        <f ca="1">D144*1.8</f>
        <v>1985.1570629485946</v>
      </c>
      <c r="F144" s="12">
        <v>1992.34</v>
      </c>
      <c r="G144" s="12">
        <f t="shared" ca="1" si="26"/>
        <v>-7.1829370514053608</v>
      </c>
      <c r="H144" s="12"/>
      <c r="I144" s="12">
        <f ca="1">((I140*I14*I143)+((I71*I57)*I12*I124))/(I141*I14)</f>
        <v>1201.9479052751676</v>
      </c>
      <c r="J144" s="12">
        <f ca="1">I144*1.8</f>
        <v>2163.5062294953018</v>
      </c>
      <c r="K144" s="12">
        <v>1883.99</v>
      </c>
      <c r="L144" s="12">
        <f t="shared" ca="1" si="27"/>
        <v>279.51622949530179</v>
      </c>
      <c r="M144" s="12"/>
      <c r="N144" s="12">
        <f ca="1">((N140*N14*N143)+((N71*N57)*N12*N124))/(N141*N14)</f>
        <v>1202.0483288639002</v>
      </c>
      <c r="O144" s="12"/>
      <c r="P144" s="12"/>
    </row>
    <row r="145" spans="1:17" x14ac:dyDescent="0.25">
      <c r="B145" t="s">
        <v>131</v>
      </c>
      <c r="C145" t="s">
        <v>10</v>
      </c>
      <c r="D145" s="12">
        <f>D133</f>
        <v>921.00307604749366</v>
      </c>
      <c r="E145" s="27">
        <f>CONVERT(D145*1000,"Pa","psi")</f>
        <v>133.5802025924923</v>
      </c>
      <c r="F145" s="27">
        <v>159.32900000000001</v>
      </c>
      <c r="G145" s="31">
        <f t="shared" ref="G145:G147" si="28">(E145-F145)/F145</f>
        <v>-0.16160772619866884</v>
      </c>
      <c r="H145" s="31"/>
      <c r="I145" s="12">
        <f>I133</f>
        <v>2705.7425640004576</v>
      </c>
      <c r="J145" s="27">
        <f>CONVERT(I145*1000,"Pa","psi")</f>
        <v>392.43478036296216</v>
      </c>
      <c r="K145" s="27">
        <v>380.50200000000001</v>
      </c>
      <c r="L145" s="31">
        <f t="shared" ref="L145:L147" si="29">(J145-K145)/K145</f>
        <v>3.1360624551151239E-2</v>
      </c>
      <c r="M145" s="31"/>
      <c r="N145" s="12">
        <f>N133</f>
        <v>2705.7425640004576</v>
      </c>
      <c r="O145" s="31"/>
      <c r="P145" s="37"/>
      <c r="Q145" s="37"/>
    </row>
    <row r="146" spans="1:17" x14ac:dyDescent="0.25">
      <c r="B146" t="s">
        <v>132</v>
      </c>
      <c r="C146" t="s">
        <v>10</v>
      </c>
      <c r="D146" s="12">
        <f ca="1">D145*((D143/D142)^(D15/((D15-1)*D45)))</f>
        <v>223.45390045956307</v>
      </c>
      <c r="E146" s="12">
        <f ca="1">CONVERT(D146*1000,"Pa","psi")</f>
        <v>32.409248209646385</v>
      </c>
      <c r="F146" s="12">
        <v>38.75</v>
      </c>
      <c r="G146" s="31">
        <f t="shared" ca="1" si="28"/>
        <v>-0.16363230426719005</v>
      </c>
      <c r="H146" s="31"/>
      <c r="I146" s="12">
        <f ca="1">I145*((I143/I142)^(I15/((I15-1)*I45)))</f>
        <v>651.99852284401516</v>
      </c>
      <c r="J146" s="12">
        <f ca="1">CONVERT(I146*1000,"Pa","psi")</f>
        <v>94.564390756734085</v>
      </c>
      <c r="K146" s="12">
        <v>91.465999999999994</v>
      </c>
      <c r="L146" s="31">
        <f t="shared" ca="1" si="29"/>
        <v>3.3874781413138114E-2</v>
      </c>
      <c r="M146" s="31"/>
      <c r="N146" s="12">
        <f ca="1">N145*((N143/N142)^(N15/((N15-1)*N45)))</f>
        <v>651.99852284401516</v>
      </c>
      <c r="O146" s="31"/>
      <c r="P146" s="37"/>
      <c r="Q146" s="37"/>
    </row>
    <row r="147" spans="1:17" x14ac:dyDescent="0.25">
      <c r="B147" t="s">
        <v>133</v>
      </c>
      <c r="C147" t="s">
        <v>10</v>
      </c>
      <c r="D147" s="12">
        <f ca="1">D146</f>
        <v>223.45390045956307</v>
      </c>
      <c r="E147" s="12">
        <f ca="1">CONVERT(D147*1000,"Pa","psi")</f>
        <v>32.409248209646385</v>
      </c>
      <c r="F147" s="12">
        <v>38.75</v>
      </c>
      <c r="G147" s="31">
        <f t="shared" ca="1" si="28"/>
        <v>-0.16363230426719005</v>
      </c>
      <c r="H147" s="31"/>
      <c r="I147" s="12">
        <f ca="1">I146</f>
        <v>651.99852284401516</v>
      </c>
      <c r="J147" s="12">
        <f ca="1">CONVERT(I147*1000,"Pa","psi")</f>
        <v>94.564390756734085</v>
      </c>
      <c r="K147" s="12">
        <v>91.465999999999994</v>
      </c>
      <c r="L147" s="31">
        <f t="shared" ca="1" si="29"/>
        <v>3.3874781413138114E-2</v>
      </c>
      <c r="M147" s="31"/>
      <c r="N147" s="12">
        <f ca="1">N146</f>
        <v>651.99852284401516</v>
      </c>
      <c r="O147" s="31"/>
      <c r="P147" s="31"/>
      <c r="Q147" s="37"/>
    </row>
    <row r="148" spans="1:17" x14ac:dyDescent="0.25">
      <c r="B148" t="s">
        <v>134</v>
      </c>
      <c r="C148" s="7" t="s">
        <v>107</v>
      </c>
      <c r="D148" s="12">
        <f ca="1">(D140*D14*(D142-D143))/1000000</f>
        <v>39.205213880336132</v>
      </c>
      <c r="E148" s="12"/>
      <c r="F148" s="12"/>
      <c r="G148" s="37"/>
      <c r="H148" s="31"/>
      <c r="I148" s="12">
        <f ca="1">(I140*I14*(I142-I143))/1000000</f>
        <v>119.75496742973563</v>
      </c>
      <c r="J148" s="12"/>
      <c r="K148" s="12"/>
      <c r="L148" s="37"/>
      <c r="M148" s="31"/>
      <c r="N148" s="12">
        <f ca="1">(N140*N14*(N142-N143))/1000000</f>
        <v>119.32690319329815</v>
      </c>
      <c r="O148" s="31"/>
      <c r="P148" s="31"/>
      <c r="Q148" s="37"/>
    </row>
    <row r="149" spans="1:17" s="42" customFormat="1" x14ac:dyDescent="0.25">
      <c r="B149" s="42" t="s">
        <v>135</v>
      </c>
      <c r="D149" s="43">
        <f ca="1">D141*(SQRT(D143)/D147)</f>
        <v>13.133478363378437</v>
      </c>
      <c r="E149" s="43"/>
      <c r="F149" s="43"/>
      <c r="G149" s="43"/>
      <c r="H149" s="43"/>
      <c r="I149" s="43">
        <f ca="1">I141*(SQRT(I143)/I147)</f>
        <v>13.149627930972862</v>
      </c>
      <c r="J149" s="43"/>
      <c r="K149" s="56">
        <f ca="1">(I149-D149)/I149</f>
        <v>1.2281387488071989E-3</v>
      </c>
      <c r="L149" s="43"/>
      <c r="M149" s="43"/>
      <c r="N149" s="43">
        <f ca="1">N141*(SQRT(N143)/N147)</f>
        <v>13.102624574364615</v>
      </c>
      <c r="O149" s="43"/>
      <c r="P149" s="43"/>
      <c r="Q149" s="44"/>
    </row>
    <row r="150" spans="1:17" x14ac:dyDescent="0.25">
      <c r="B150" s="4" t="s">
        <v>124</v>
      </c>
      <c r="C150" t="s">
        <v>54</v>
      </c>
      <c r="D150" s="12"/>
      <c r="E150" s="12"/>
      <c r="F150" s="12"/>
      <c r="G150" s="12"/>
      <c r="H150" s="12"/>
      <c r="I150" s="34"/>
      <c r="J150" s="12"/>
      <c r="K150" s="12"/>
      <c r="L150" s="12"/>
      <c r="M150" s="12"/>
      <c r="N150" s="34"/>
      <c r="O150" s="12"/>
      <c r="P150" s="12"/>
    </row>
    <row r="151" spans="1:17" x14ac:dyDescent="0.25">
      <c r="B151" s="4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1:17" x14ac:dyDescent="0.25">
      <c r="A152" t="s">
        <v>58</v>
      </c>
      <c r="B152" s="4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1:17" x14ac:dyDescent="0.25">
      <c r="B153" s="4" t="s">
        <v>136</v>
      </c>
      <c r="C153" t="s">
        <v>65</v>
      </c>
      <c r="D153" s="12">
        <f ca="1">D141*(1+D58)</f>
        <v>89.006728653424247</v>
      </c>
      <c r="E153" s="12">
        <f ca="1">D153*2.205</f>
        <v>196.25983668080048</v>
      </c>
      <c r="F153" s="12">
        <v>166.28899999999999</v>
      </c>
      <c r="G153" s="31">
        <f ca="1">(E153-F153)/F153</f>
        <v>0.18023342903499626</v>
      </c>
      <c r="H153" s="12"/>
      <c r="I153" s="12">
        <f ca="1">I141*(1+I58)</f>
        <v>248.71112813186042</v>
      </c>
      <c r="J153" s="12">
        <f ca="1">I153*2.205</f>
        <v>548.40803753075227</v>
      </c>
      <c r="K153" s="12">
        <v>429.03300000000002</v>
      </c>
      <c r="L153" s="31">
        <f ca="1">(J153-K153)/K153</f>
        <v>0.27824208751017343</v>
      </c>
      <c r="M153" s="31"/>
      <c r="N153" s="12">
        <f ca="1">N141*(1+N58)</f>
        <v>247.82210998553813</v>
      </c>
      <c r="O153" s="31"/>
      <c r="P153" s="12"/>
    </row>
    <row r="154" spans="1:17" x14ac:dyDescent="0.25">
      <c r="B154" s="4" t="s">
        <v>137</v>
      </c>
      <c r="C154" t="s">
        <v>65</v>
      </c>
      <c r="D154" s="12">
        <f ca="1">D153*(1+D54)</f>
        <v>89.502374768762522</v>
      </c>
      <c r="E154" s="12">
        <f ca="1">D154*2.205</f>
        <v>197.35273636512136</v>
      </c>
      <c r="F154" s="12">
        <v>166.58699999999999</v>
      </c>
      <c r="G154" s="31">
        <f ca="1">(E154-F154)/F154</f>
        <v>0.18468269651966462</v>
      </c>
      <c r="H154" s="12"/>
      <c r="I154" s="12">
        <f ca="1">I153*(1+I54)</f>
        <v>250.09552242782388</v>
      </c>
      <c r="J154" s="12">
        <f ca="1">I154*2.205</f>
        <v>551.46062695335172</v>
      </c>
      <c r="K154" s="12">
        <v>429.79899999999998</v>
      </c>
      <c r="L154" s="31">
        <f ca="1">(J154-K154)/K154</f>
        <v>0.28306633322402275</v>
      </c>
      <c r="M154" s="31"/>
      <c r="N154" s="12">
        <f ca="1">N153*(1+N54)</f>
        <v>249.20155576287269</v>
      </c>
      <c r="O154" s="31"/>
      <c r="P154" s="12"/>
    </row>
    <row r="155" spans="1:17" x14ac:dyDescent="0.25">
      <c r="B155" t="s">
        <v>138</v>
      </c>
      <c r="C155" t="s">
        <v>8</v>
      </c>
      <c r="D155" s="12">
        <f ca="1">((D141*D14*D144)+((D66*D58)*D12*D124))/(D153*D14)</f>
        <v>1099.8927501279413</v>
      </c>
      <c r="E155" s="12">
        <f ca="1">D155*1.8</f>
        <v>1979.8069502302944</v>
      </c>
      <c r="F155" s="12">
        <v>1988.38</v>
      </c>
      <c r="G155" s="12">
        <f ca="1">E155-F155</f>
        <v>-8.5730497697056762</v>
      </c>
      <c r="H155" s="12"/>
      <c r="I155" s="12">
        <f ca="1">((I141*I14*I144)+((I71*I58)*I12*I124))/(I153*I14)</f>
        <v>1203.3744235405516</v>
      </c>
      <c r="J155" s="12">
        <f ca="1">I155*1.8</f>
        <v>2166.0739623729928</v>
      </c>
      <c r="K155" s="12">
        <v>1879.98</v>
      </c>
      <c r="L155" s="12">
        <f ca="1">J155-K155</f>
        <v>286.09396237299279</v>
      </c>
      <c r="M155" s="12"/>
      <c r="N155" s="12">
        <f ca="1">((N141*N14*N144)+((N71*N58)*N12*N124))/(N153*N14)</f>
        <v>1203.5029153062558</v>
      </c>
      <c r="O155" s="12"/>
      <c r="P155" s="12"/>
    </row>
    <row r="156" spans="1:17" x14ac:dyDescent="0.25">
      <c r="B156" t="s">
        <v>139</v>
      </c>
      <c r="C156" t="s">
        <v>8</v>
      </c>
      <c r="D156" s="12">
        <f ca="1">((D158/D157)^(((D15-1)*D46)/D15)*D155)</f>
        <v>948.60361395161272</v>
      </c>
      <c r="E156" s="12">
        <f ca="1">D156*1.8</f>
        <v>1707.4865051129029</v>
      </c>
      <c r="F156" s="12">
        <v>1657.15</v>
      </c>
      <c r="G156" s="12">
        <f ca="1">E156-F156</f>
        <v>50.336505112902842</v>
      </c>
      <c r="H156" s="12"/>
      <c r="I156" s="12">
        <f ca="1">((I158/I157)^(((I15-1)*I46)/I15)*I155)</f>
        <v>1038.432955256312</v>
      </c>
      <c r="J156" s="12">
        <f ca="1">I156*1.8</f>
        <v>1869.1793194613615</v>
      </c>
      <c r="K156" s="12">
        <v>1413.16</v>
      </c>
      <c r="L156" s="12">
        <f ca="1">J156-K156</f>
        <v>456.01931946136142</v>
      </c>
      <c r="M156" s="12"/>
      <c r="N156" s="12">
        <f ca="1">((N158/N157)^(((N15-1)*N46)/N15)*N155)</f>
        <v>1037.6800760972751</v>
      </c>
      <c r="O156" s="12"/>
      <c r="P156" s="12"/>
    </row>
    <row r="157" spans="1:17" x14ac:dyDescent="0.25">
      <c r="B157" t="s">
        <v>140</v>
      </c>
      <c r="C157" t="s">
        <v>10</v>
      </c>
      <c r="D157" s="12">
        <f ca="1">D147*D37</f>
        <v>218.98482245037181</v>
      </c>
      <c r="E157" s="27">
        <f ca="1">CONVERT(D157*1000,"Pa","psi")</f>
        <v>31.761063245453457</v>
      </c>
      <c r="F157" s="12">
        <v>38.362000000000002</v>
      </c>
      <c r="G157" s="31">
        <f t="shared" ref="G157:G158" ca="1" si="30">(E157-F157)/F157</f>
        <v>-0.17206967192916284</v>
      </c>
      <c r="H157" s="31"/>
      <c r="I157" s="12">
        <f ca="1">I147*I37</f>
        <v>638.95855238713489</v>
      </c>
      <c r="J157" s="27">
        <f ca="1">CONVERT(I157*1000,"Pa","psi")</f>
        <v>92.67310294159941</v>
      </c>
      <c r="K157" s="12">
        <v>80.099000000000004</v>
      </c>
      <c r="L157" s="31">
        <f t="shared" ref="L157:L158" ca="1" si="31">(J157-K157)/K157</f>
        <v>0.1569820215183636</v>
      </c>
      <c r="M157" s="31"/>
      <c r="N157" s="12">
        <f ca="1">N147*N37</f>
        <v>638.95855238713489</v>
      </c>
      <c r="O157" s="31"/>
      <c r="P157" s="31"/>
      <c r="Q157" s="37"/>
    </row>
    <row r="158" spans="1:17" s="52" customFormat="1" x14ac:dyDescent="0.25">
      <c r="B158" s="52" t="s">
        <v>141</v>
      </c>
      <c r="C158" s="52" t="s">
        <v>10</v>
      </c>
      <c r="D158" s="18">
        <f ca="1">((D36*D37*D33*D28)/(D31*D29*D30*(D147/D145)))*D157</f>
        <v>116.73282478838219</v>
      </c>
      <c r="E158" s="53">
        <f ca="1">CONVERT(D158*1000,"Pa","psi")</f>
        <v>16.930664826163841</v>
      </c>
      <c r="F158" s="53">
        <v>16.994</v>
      </c>
      <c r="G158" s="54">
        <f t="shared" ca="1" si="30"/>
        <v>-3.7269138423065952E-3</v>
      </c>
      <c r="H158" s="54"/>
      <c r="I158" s="18">
        <f ca="1">(((I36*I37*I33*I28)/(I31*I29*I30*(I147/I145)))*I157)*0+I159</f>
        <v>341.41754037093358</v>
      </c>
      <c r="J158" s="53">
        <f ca="1">CONVERT(I158*1000,"Pa","psi")</f>
        <v>49.518427676812578</v>
      </c>
      <c r="K158" s="53">
        <v>22.475999999999999</v>
      </c>
      <c r="L158" s="54">
        <f t="shared" ca="1" si="31"/>
        <v>1.203169054850177</v>
      </c>
      <c r="M158" s="54"/>
      <c r="N158" s="18">
        <f ca="1">(((N36*N37*N33*N28)/(N31*N29*N30*(N147/N145)))*N157)*0+N159</f>
        <v>340.21194334293335</v>
      </c>
      <c r="O158" s="54"/>
      <c r="P158" s="59"/>
      <c r="Q158" s="55"/>
    </row>
    <row r="159" spans="1:17" x14ac:dyDescent="0.25">
      <c r="D159" s="12"/>
      <c r="E159" s="27"/>
      <c r="F159" s="27"/>
      <c r="G159" s="31"/>
      <c r="H159" s="31"/>
      <c r="I159" s="12">
        <f ca="1">((SQRT(I155-((I117+I108)*1000000)/(I48*I154*I14))*I154)/D161)</f>
        <v>341.41754037093352</v>
      </c>
      <c r="J159" s="27">
        <f ca="1">I155-((I117+I108)*1000000)/(I48*I154*I14)</f>
        <v>1039.2684129821316</v>
      </c>
      <c r="K159" s="27"/>
      <c r="L159" s="31"/>
      <c r="M159" s="31"/>
      <c r="N159" s="12">
        <f ca="1">((SQRT(N155-((N117+N108)*1000000)/(N48*N154*N14))*N154)/I161)</f>
        <v>340.21194334293347</v>
      </c>
      <c r="O159" s="31"/>
      <c r="P159" s="31"/>
      <c r="Q159" s="37"/>
    </row>
    <row r="160" spans="1:17" x14ac:dyDescent="0.25">
      <c r="B160" t="s">
        <v>134</v>
      </c>
      <c r="C160" s="7" t="s">
        <v>107</v>
      </c>
      <c r="D160" s="12">
        <f ca="1">(D153*D14*(D155-D156))/1000000</f>
        <v>15.748739978887681</v>
      </c>
      <c r="E160" s="27"/>
      <c r="F160" s="12"/>
      <c r="G160" s="37"/>
      <c r="H160" s="31"/>
      <c r="I160" s="12">
        <f ca="1">(I153*I14*(I155-I156))/1000000</f>
        <v>47.977797139253433</v>
      </c>
      <c r="J160" s="27"/>
      <c r="K160" s="12"/>
      <c r="L160" s="37"/>
      <c r="M160" s="31"/>
      <c r="N160" s="12">
        <f ca="1">(N153*N14*(N155-N156))/1000000</f>
        <v>48.061755221479608</v>
      </c>
      <c r="O160" s="31"/>
      <c r="P160" s="31"/>
      <c r="Q160" s="37"/>
    </row>
    <row r="161" spans="1:18" s="42" customFormat="1" x14ac:dyDescent="0.25">
      <c r="B161" s="42" t="s">
        <v>142</v>
      </c>
      <c r="D161" s="43">
        <f ca="1">D154*SQRT(D156)/D158</f>
        <v>23.614782558997209</v>
      </c>
      <c r="E161" s="43"/>
      <c r="F161" s="43"/>
      <c r="G161" s="43"/>
      <c r="H161" s="43"/>
      <c r="I161" s="43">
        <f ca="1">I154*SQRT(I156)/I158</f>
        <v>23.60528880411216</v>
      </c>
      <c r="J161" s="43"/>
      <c r="K161" s="56">
        <f ca="1">(I161-D161)/I161</f>
        <v>-4.0218761836947724E-4</v>
      </c>
      <c r="L161" s="43"/>
      <c r="M161" s="43"/>
      <c r="N161" s="43">
        <f ca="1">N154*SQRT(N156)/N158</f>
        <v>23.595703631186794</v>
      </c>
      <c r="O161" s="43"/>
      <c r="P161" s="43"/>
      <c r="Q161" s="44"/>
    </row>
    <row r="162" spans="1:18" x14ac:dyDescent="0.25">
      <c r="B162" s="4" t="s">
        <v>124</v>
      </c>
      <c r="D162" s="12"/>
      <c r="E162" s="12"/>
      <c r="F162" s="12"/>
      <c r="G162" s="12"/>
      <c r="H162" s="12"/>
      <c r="I162" s="34"/>
      <c r="J162" s="12"/>
      <c r="K162" s="12"/>
      <c r="L162" s="12"/>
      <c r="M162" s="12"/>
      <c r="N162" s="34"/>
      <c r="O162" s="12"/>
      <c r="P162" s="12"/>
    </row>
    <row r="163" spans="1:18" x14ac:dyDescent="0.25">
      <c r="B163" s="4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1:18" x14ac:dyDescent="0.25">
      <c r="A164" t="s">
        <v>38</v>
      </c>
      <c r="B164" s="4"/>
      <c r="D164" s="12"/>
      <c r="E164" s="12"/>
      <c r="F164" s="12"/>
      <c r="G164" s="12"/>
      <c r="H164" s="12"/>
      <c r="I164" s="12">
        <f ca="1">((I28/(I30*I31*(I158/I157)*(I147/I145)))*I185*(I108/I161)*SQRT(I171/I173))*(1-I54-I55)*(1+I130)+I54+I55</f>
        <v>1.9120007159311092</v>
      </c>
      <c r="J164" s="12"/>
      <c r="K164" s="12"/>
      <c r="L164" s="12"/>
      <c r="M164" s="12"/>
      <c r="N164" s="12">
        <f ca="1">((N28/(N30*N31*(N158/N157)*(N147/N145)))*N185*(N108/N161)*SQRT(N171/N173))*(1-N54-N55)*(1+N130)+N54+N55</f>
        <v>1.9472636116014568</v>
      </c>
      <c r="O164" s="12"/>
      <c r="P164" s="12"/>
    </row>
    <row r="165" spans="1:18" x14ac:dyDescent="0.25">
      <c r="B165" t="s">
        <v>143</v>
      </c>
      <c r="D165" s="12">
        <f ca="1">((D154*D48*D14*(D155-D156))-(D112*D12*(D116-D115)))/(D112*D12*(D104-D103))</f>
        <v>1.5498218259013192</v>
      </c>
      <c r="E165" s="27">
        <f ca="1">D165</f>
        <v>1.5498218259013192</v>
      </c>
      <c r="F165" s="27">
        <v>1.9921</v>
      </c>
      <c r="G165" s="31">
        <f t="shared" ref="G165:G168" ca="1" si="32">(E165-F165)/F165</f>
        <v>-0.22201605044861239</v>
      </c>
      <c r="H165" s="31"/>
      <c r="I165" s="12">
        <f ca="1">((I154*I48*I14*(I155-I156))-(I112*I12*(I116-I115)))/(I112*I12*(I104-I103))</f>
        <v>1.1854478487084652</v>
      </c>
      <c r="J165" s="27">
        <f ca="1">I165</f>
        <v>1.1854478487084652</v>
      </c>
      <c r="K165" s="27">
        <v>1.9921</v>
      </c>
      <c r="L165" s="31">
        <f t="shared" ref="L165:L168" ca="1" si="33">(J165-K165)/K165</f>
        <v>-0.40492553149517335</v>
      </c>
      <c r="M165" s="31"/>
      <c r="N165" s="12">
        <f ca="1">((N154*N48*N14*(N155-N156))-(N112*N12*(N116-N115)))/(N112*N12*(N104-N103))</f>
        <v>1.1964833754211439</v>
      </c>
      <c r="O165" s="31"/>
      <c r="P165" s="31"/>
      <c r="Q165" s="37"/>
    </row>
    <row r="166" spans="1:18" x14ac:dyDescent="0.25">
      <c r="B166" t="s">
        <v>137</v>
      </c>
      <c r="C166" t="s">
        <v>65</v>
      </c>
      <c r="D166" s="12">
        <f ca="1">D154</f>
        <v>89.502374768762522</v>
      </c>
      <c r="E166" s="12">
        <f ca="1">D166*2.205</f>
        <v>197.35273636512136</v>
      </c>
      <c r="F166" s="12">
        <v>166.58699999999999</v>
      </c>
      <c r="G166" s="31">
        <f t="shared" ca="1" si="32"/>
        <v>0.18468269651966462</v>
      </c>
      <c r="H166" s="31"/>
      <c r="I166" s="12">
        <f ca="1">I154</f>
        <v>250.09552242782388</v>
      </c>
      <c r="J166" s="12">
        <f ca="1">I166*2.205</f>
        <v>551.46062695335172</v>
      </c>
      <c r="K166" s="12">
        <v>429.79899999999998</v>
      </c>
      <c r="L166" s="31">
        <f t="shared" ca="1" si="33"/>
        <v>0.28306633322402275</v>
      </c>
      <c r="M166" s="31"/>
      <c r="N166" s="12">
        <f ca="1">N154</f>
        <v>249.20155576287269</v>
      </c>
      <c r="O166" s="31"/>
      <c r="P166" s="31"/>
      <c r="Q166" s="37"/>
    </row>
    <row r="167" spans="1:18" x14ac:dyDescent="0.25">
      <c r="B167" t="s">
        <v>144</v>
      </c>
      <c r="C167" t="s">
        <v>65</v>
      </c>
      <c r="D167" s="12">
        <f ca="1">D99</f>
        <v>136.26291545483113</v>
      </c>
      <c r="E167" s="12">
        <f ca="1">D167*2.205</f>
        <v>300.45972857790264</v>
      </c>
      <c r="F167" s="12">
        <v>329.11599999999999</v>
      </c>
      <c r="G167" s="31">
        <f t="shared" ca="1" si="32"/>
        <v>-8.7070429338279964E-2</v>
      </c>
      <c r="H167" s="31"/>
      <c r="I167" s="12">
        <f ca="1">I99</f>
        <v>289.84539763948499</v>
      </c>
      <c r="J167" s="12">
        <f ca="1">I167*2.205</f>
        <v>639.10910179506436</v>
      </c>
      <c r="K167" s="12">
        <v>844.43399999999997</v>
      </c>
      <c r="L167" s="31">
        <f t="shared" ca="1" si="33"/>
        <v>-0.24315091316187601</v>
      </c>
      <c r="M167" s="31"/>
      <c r="N167" s="12">
        <f ca="1">N99</f>
        <v>291.49791814794253</v>
      </c>
      <c r="O167" s="31"/>
      <c r="P167" s="31"/>
      <c r="Q167" s="37"/>
    </row>
    <row r="168" spans="1:18" x14ac:dyDescent="0.25">
      <c r="B168" t="s">
        <v>145</v>
      </c>
      <c r="C168" t="s">
        <v>65</v>
      </c>
      <c r="D168" s="12">
        <f ca="1">D167+D166</f>
        <v>225.76529022359364</v>
      </c>
      <c r="E168" s="12">
        <f ca="1">D168*2.205</f>
        <v>497.812464943024</v>
      </c>
      <c r="F168" s="12">
        <v>495.70400000000001</v>
      </c>
      <c r="G168" s="31">
        <f t="shared" ca="1" si="32"/>
        <v>4.2534757496893094E-3</v>
      </c>
      <c r="H168" s="31"/>
      <c r="I168" s="12">
        <f ca="1">I167+I166</f>
        <v>539.94092006730887</v>
      </c>
      <c r="J168" s="12">
        <f ca="1">I168*2.205</f>
        <v>1190.5697287484161</v>
      </c>
      <c r="K168" s="12">
        <v>1274.2329999999999</v>
      </c>
      <c r="L168" s="31">
        <f t="shared" ca="1" si="33"/>
        <v>-6.5657749604337567E-2</v>
      </c>
      <c r="M168" s="31"/>
      <c r="N168" s="12">
        <f ca="1">N167+N166</f>
        <v>540.69947391081519</v>
      </c>
      <c r="O168" s="31"/>
      <c r="P168" s="31"/>
      <c r="Q168" s="37"/>
    </row>
    <row r="169" spans="1:18" x14ac:dyDescent="0.25">
      <c r="B169" t="s">
        <v>146</v>
      </c>
      <c r="C169" t="s">
        <v>8</v>
      </c>
      <c r="D169" s="12">
        <f ca="1">D170/(1+(D15-1)/2*(D180^2))</f>
        <v>919.36864266152122</v>
      </c>
      <c r="E169" s="12"/>
      <c r="F169" s="12"/>
      <c r="G169" s="31"/>
      <c r="H169" s="31"/>
      <c r="I169" s="12">
        <f ca="1">I170/(1+(I15-1)/2*(I180^2))</f>
        <v>1006.429537614735</v>
      </c>
      <c r="J169" s="12">
        <f ca="1">I169*1.8</f>
        <v>1811.573167706523</v>
      </c>
      <c r="K169" s="12"/>
      <c r="L169" s="12"/>
      <c r="M169" s="31"/>
      <c r="N169" s="12">
        <f ca="1">N170/(1+(N15-1)/2*(N180^2))</f>
        <v>1005.6998614039846</v>
      </c>
      <c r="O169" s="31"/>
      <c r="P169" s="31"/>
      <c r="Q169" s="37"/>
    </row>
    <row r="170" spans="1:18" x14ac:dyDescent="0.25">
      <c r="B170" t="s">
        <v>139</v>
      </c>
      <c r="C170" t="s">
        <v>8</v>
      </c>
      <c r="D170" s="12">
        <f ca="1">D156</f>
        <v>948.60361395161272</v>
      </c>
      <c r="E170" s="12">
        <f ca="1">D170*1.8</f>
        <v>1707.4865051129029</v>
      </c>
      <c r="F170" s="12">
        <v>1657.15</v>
      </c>
      <c r="G170" s="12">
        <f ca="1">E170-F170</f>
        <v>50.336505112902842</v>
      </c>
      <c r="H170" s="12"/>
      <c r="I170" s="12">
        <f ca="1">I156</f>
        <v>1038.432955256312</v>
      </c>
      <c r="J170" s="12">
        <f ca="1">I170*1.8</f>
        <v>1869.1793194613615</v>
      </c>
      <c r="K170" s="12">
        <v>1413.59</v>
      </c>
      <c r="L170" s="12">
        <f ca="1">J170-K170</f>
        <v>455.58931946136158</v>
      </c>
      <c r="M170" s="12"/>
      <c r="N170" s="12">
        <f ca="1">N156</f>
        <v>1037.6800760972751</v>
      </c>
      <c r="O170" s="12"/>
      <c r="P170" s="12"/>
    </row>
    <row r="171" spans="1:18" x14ac:dyDescent="0.25">
      <c r="B171" t="s">
        <v>147</v>
      </c>
      <c r="C171" t="s">
        <v>8</v>
      </c>
      <c r="D171" s="12">
        <f ca="1">D170</f>
        <v>948.60361395161272</v>
      </c>
      <c r="E171" s="12">
        <f ca="1">D171*1.8</f>
        <v>1707.4865051129029</v>
      </c>
      <c r="F171" s="12">
        <v>1657.15</v>
      </c>
      <c r="G171" s="12">
        <f ca="1">E171-F171</f>
        <v>50.336505112902842</v>
      </c>
      <c r="H171" s="12"/>
      <c r="I171" s="12">
        <f ca="1">I170</f>
        <v>1038.432955256312</v>
      </c>
      <c r="J171" s="12">
        <f ca="1">I171*1.8</f>
        <v>1869.1793194613615</v>
      </c>
      <c r="K171" s="12">
        <v>1413.16</v>
      </c>
      <c r="L171" s="12">
        <f ca="1">J171-K171</f>
        <v>456.01931946136142</v>
      </c>
      <c r="M171" s="12"/>
      <c r="N171" s="12">
        <f ca="1">N170</f>
        <v>1037.6800760972751</v>
      </c>
      <c r="O171" s="12"/>
      <c r="P171" s="12"/>
      <c r="R171" s="12"/>
    </row>
    <row r="172" spans="1:18" x14ac:dyDescent="0.25">
      <c r="B172" t="s">
        <v>148</v>
      </c>
      <c r="C172" t="s">
        <v>8</v>
      </c>
      <c r="D172" s="12">
        <f>D173/(1+(D13-1)/2*(D181^2))</f>
        <v>457.02520816933281</v>
      </c>
      <c r="E172" s="12"/>
      <c r="F172" s="12"/>
      <c r="G172" s="12"/>
      <c r="H172" s="12"/>
      <c r="I172" s="12">
        <f>I173/(1+(I13-1)/2*(I181^2))</f>
        <v>383.57185743697124</v>
      </c>
      <c r="J172" s="12">
        <f>I172*1.8</f>
        <v>690.42934338654823</v>
      </c>
      <c r="K172" s="12"/>
      <c r="L172" s="12"/>
      <c r="M172" s="12"/>
      <c r="N172" s="12">
        <f>N173/(1+(N13-1)/2*(N181^2))</f>
        <v>383.57185743697124</v>
      </c>
      <c r="O172" s="12"/>
      <c r="P172" s="12"/>
      <c r="R172" s="12"/>
    </row>
    <row r="173" spans="1:18" x14ac:dyDescent="0.25">
      <c r="B173" t="s">
        <v>101</v>
      </c>
      <c r="C173" t="s">
        <v>8</v>
      </c>
      <c r="D173" s="12">
        <f>D105</f>
        <v>473.8000528583234</v>
      </c>
      <c r="E173" s="12">
        <f t="shared" ref="E173:E174" si="34">D173*1.8</f>
        <v>852.84009514498212</v>
      </c>
      <c r="F173" s="12">
        <v>852.84</v>
      </c>
      <c r="G173" s="12">
        <f t="shared" ref="G173:G174" si="35">E173-F173</f>
        <v>9.5144982083184004E-5</v>
      </c>
      <c r="H173" s="31"/>
      <c r="I173" s="12">
        <f>I105</f>
        <v>397.65063957099488</v>
      </c>
      <c r="J173" s="12">
        <f t="shared" ref="J173:J174" si="36">I173*1.8</f>
        <v>715.77115122779082</v>
      </c>
      <c r="K173" s="12">
        <v>735.72</v>
      </c>
      <c r="L173" s="12">
        <f t="shared" ref="L173:L174" si="37">J173-K173</f>
        <v>-19.948848772209203</v>
      </c>
      <c r="M173" s="31"/>
      <c r="N173" s="12">
        <f>N105</f>
        <v>397.65063957099488</v>
      </c>
      <c r="O173" s="31"/>
      <c r="P173" s="31"/>
      <c r="Q173" s="37"/>
    </row>
    <row r="174" spans="1:18" x14ac:dyDescent="0.25">
      <c r="B174" t="s">
        <v>149</v>
      </c>
      <c r="C174" t="s">
        <v>8</v>
      </c>
      <c r="D174" s="12">
        <f ca="1">((D166*D14*D171)+(D167*D12*D173))/(D168*D183)</f>
        <v>679.43431690517332</v>
      </c>
      <c r="E174" s="12">
        <f t="shared" ca="1" si="34"/>
        <v>1222.9817704293121</v>
      </c>
      <c r="F174" s="12">
        <v>1136.32</v>
      </c>
      <c r="G174" s="12">
        <f t="shared" ca="1" si="35"/>
        <v>86.661770429312128</v>
      </c>
      <c r="H174" s="31"/>
      <c r="I174" s="12">
        <f ca="1">((I166*I14*I171)+(I167*I12*I173))/(I168*I183)</f>
        <v>718.61449007275496</v>
      </c>
      <c r="J174" s="12">
        <f t="shared" ca="1" si="36"/>
        <v>1293.5060821309589</v>
      </c>
      <c r="K174" s="12">
        <v>973.17</v>
      </c>
      <c r="L174" s="12">
        <f t="shared" ca="1" si="37"/>
        <v>320.33608213095897</v>
      </c>
      <c r="M174" s="31"/>
      <c r="N174" s="12">
        <f ca="1">((N166*N14*N171)+(N167*N12*N173))/(N168*N183)</f>
        <v>716.75473659733166</v>
      </c>
      <c r="O174" s="31"/>
      <c r="P174" s="31"/>
      <c r="Q174" s="37"/>
    </row>
    <row r="175" spans="1:18" x14ac:dyDescent="0.25">
      <c r="B175" t="s">
        <v>141</v>
      </c>
      <c r="C175" t="s">
        <v>10</v>
      </c>
      <c r="D175" s="12">
        <f ca="1">D158</f>
        <v>116.73282478838219</v>
      </c>
      <c r="E175" s="27">
        <f ca="1">CONVERT(D175*1000,"Pa","psi")</f>
        <v>16.930664826163841</v>
      </c>
      <c r="F175" s="27">
        <v>16.994</v>
      </c>
      <c r="G175" s="31">
        <f t="shared" ref="G175" ca="1" si="38">(E175-F175)/F175</f>
        <v>-3.7269138423065952E-3</v>
      </c>
      <c r="H175" s="31"/>
      <c r="I175" s="12">
        <f ca="1">I158</f>
        <v>341.41754037093358</v>
      </c>
      <c r="J175" s="27">
        <f ca="1">CONVERT(I175*1000,"Pa","psi")</f>
        <v>49.518427676812578</v>
      </c>
      <c r="K175" s="27">
        <v>22.475999999999999</v>
      </c>
      <c r="L175" s="31">
        <f t="shared" ref="L175" ca="1" si="39">(J175-K175)/K175</f>
        <v>1.203169054850177</v>
      </c>
      <c r="M175" s="31"/>
      <c r="N175" s="12">
        <f ca="1">N158</f>
        <v>340.21194334293335</v>
      </c>
      <c r="O175" s="31"/>
      <c r="P175" s="31"/>
      <c r="Q175" s="37"/>
      <c r="R175" s="12"/>
    </row>
    <row r="176" spans="1:18" x14ac:dyDescent="0.25">
      <c r="B176" t="s">
        <v>150</v>
      </c>
      <c r="C176" t="s">
        <v>10</v>
      </c>
      <c r="D176" s="12">
        <f ca="1">D177/(1+(D15-1)/2*(D180^2))^(D15/(D15-1))</f>
        <v>101.86718777503576</v>
      </c>
      <c r="E176" s="27"/>
      <c r="F176" s="27"/>
      <c r="G176" s="31"/>
      <c r="H176" s="31"/>
      <c r="I176" s="12">
        <f ca="1">I177/(1+(I15-1)/2*(I180^2))^(I15/(I15-1))</f>
        <v>297.93992214359878</v>
      </c>
      <c r="J176" s="27">
        <f ca="1">CONVERT(I176*1000,"Pa","psi")</f>
        <v>43.212532287222231</v>
      </c>
      <c r="K176" s="27"/>
      <c r="L176" s="31"/>
      <c r="M176" s="31"/>
      <c r="N176" s="12">
        <f ca="1">N177/(1+(N15-1)/2*(N180^2))^(N15/(N15-1))</f>
        <v>296.88785116836794</v>
      </c>
      <c r="O176" s="31"/>
      <c r="P176" s="31"/>
      <c r="Q176" s="37"/>
      <c r="R176" s="12"/>
    </row>
    <row r="177" spans="1:17" x14ac:dyDescent="0.25">
      <c r="B177" t="s">
        <v>151</v>
      </c>
      <c r="C177" t="s">
        <v>10</v>
      </c>
      <c r="D177" s="12">
        <f ca="1">D34*D175</f>
        <v>115.56508439683077</v>
      </c>
      <c r="E177" s="27">
        <f ca="1">CONVERT(D177*1000,"Pa","psi")</f>
        <v>16.761298401517035</v>
      </c>
      <c r="F177" s="27">
        <v>16.824000000000002</v>
      </c>
      <c r="G177" s="31">
        <f ca="1">(E177-F177)/F177</f>
        <v>-3.7269138423066364E-3</v>
      </c>
      <c r="H177" s="31"/>
      <c r="I177" s="12">
        <f ca="1">I34*I175</f>
        <v>338.00336496722423</v>
      </c>
      <c r="J177" s="27">
        <f ca="1">CONVERT(I177*1000,"Pa","psi")</f>
        <v>49.02324340004445</v>
      </c>
      <c r="K177" s="27">
        <v>14.454000000000001</v>
      </c>
      <c r="L177" s="31">
        <f ca="1">(J177-K177)/K177</f>
        <v>2.3916731285488062</v>
      </c>
      <c r="M177" s="31"/>
      <c r="N177" s="12">
        <f ca="1">N34*N175</f>
        <v>336.80982390950402</v>
      </c>
      <c r="O177" s="31"/>
      <c r="P177" s="31"/>
      <c r="Q177" s="37"/>
    </row>
    <row r="178" spans="1:17" x14ac:dyDescent="0.25">
      <c r="B178" t="s">
        <v>98</v>
      </c>
      <c r="C178" t="s">
        <v>10</v>
      </c>
      <c r="D178" s="12">
        <f>D102</f>
        <v>126.55773459090588</v>
      </c>
      <c r="E178" s="27">
        <f>CONVERT(D178*1000,"Pa","psi")</f>
        <v>18.355647517325231</v>
      </c>
      <c r="F178" s="12">
        <v>18.391999999999999</v>
      </c>
      <c r="G178" s="31">
        <f t="shared" ref="G178" si="40">(E178-F178)/F178</f>
        <v>-1.9765377704854576E-3</v>
      </c>
      <c r="H178" s="31"/>
      <c r="I178" s="12">
        <f>I102</f>
        <v>212.69737166831806</v>
      </c>
      <c r="J178" s="27">
        <f>CONVERT(I178*1000,"Pa","psi")</f>
        <v>30.849145607934343</v>
      </c>
      <c r="K178" s="12">
        <v>33.470999999999997</v>
      </c>
      <c r="L178" s="31">
        <f t="shared" ref="L178:L179" si="41">(J178-K178)/K178</f>
        <v>-7.8332120105932115E-2</v>
      </c>
      <c r="M178" s="31"/>
      <c r="N178" s="12">
        <f>N102</f>
        <v>212.69737166831806</v>
      </c>
      <c r="O178" s="31"/>
      <c r="P178" s="31"/>
      <c r="Q178" s="37"/>
    </row>
    <row r="179" spans="1:17" x14ac:dyDescent="0.25">
      <c r="B179" t="s">
        <v>152</v>
      </c>
      <c r="C179" t="s">
        <v>10</v>
      </c>
      <c r="D179" s="12">
        <f ca="1">(D186/(1+D184*D182^2))*D177</f>
        <v>113.41693319585475</v>
      </c>
      <c r="E179" s="27">
        <f ca="1">CONVERT(D179*1000,"Pa","psi")</f>
        <v>16.449735411025042</v>
      </c>
      <c r="F179" s="12">
        <v>17.387</v>
      </c>
      <c r="G179" s="31">
        <f t="shared" ref="G179" ca="1" si="42">(E179-F179)/F179</f>
        <v>-5.3906055614824776E-2</v>
      </c>
      <c r="H179" s="31"/>
      <c r="I179" s="12">
        <f ca="1">(I186/(1+I184*I182^2))*I177</f>
        <v>327.55581296370417</v>
      </c>
      <c r="J179" s="27">
        <f ca="1">CONVERT(I179*1000,"Pa","psi")</f>
        <v>47.507954092635188</v>
      </c>
      <c r="K179" s="12">
        <v>22.312999999999999</v>
      </c>
      <c r="L179" s="31">
        <f t="shared" ca="1" si="41"/>
        <v>1.1291603142847304</v>
      </c>
      <c r="M179" s="31"/>
      <c r="N179" s="12">
        <f ca="1">(N186/(1+N184*N182^2))*N177</f>
        <v>326.39429433971947</v>
      </c>
      <c r="O179" s="31"/>
      <c r="P179" s="31"/>
      <c r="Q179" s="37"/>
    </row>
    <row r="180" spans="1:17" x14ac:dyDescent="0.25">
      <c r="B180" t="s">
        <v>153</v>
      </c>
      <c r="D180" s="12">
        <f>D67</f>
        <v>0.439</v>
      </c>
      <c r="I180">
        <f>I67</f>
        <v>0.439</v>
      </c>
      <c r="N180">
        <f>N67</f>
        <v>0.439</v>
      </c>
    </row>
    <row r="181" spans="1:17" x14ac:dyDescent="0.25">
      <c r="B181" t="s">
        <v>102</v>
      </c>
      <c r="D181" s="12">
        <f>D106</f>
        <v>0.42839478813973891</v>
      </c>
      <c r="I181">
        <f>I106</f>
        <v>0.42839478813973891</v>
      </c>
      <c r="N181">
        <f>N106</f>
        <v>0.42839478813973891</v>
      </c>
    </row>
    <row r="182" spans="1:17" x14ac:dyDescent="0.25">
      <c r="B182" t="s">
        <v>154</v>
      </c>
      <c r="D182" s="12">
        <f ca="1">SQRT((D188-2*D184-SQRT(((D188-2*D184)^2)-4*((D184^2)-D188*(D184-1)/2)))/(2*D184^2-D188*(D184-1)))</f>
        <v>0.45263335595831772</v>
      </c>
      <c r="I182">
        <f ca="1">SQRT((I188-2*I184-SQRT(((I188-2*I184)^2)-4*((I184^2)-I188*(I184-1)/2)))/(2*I184^2-I188*(I184-1)))</f>
        <v>0.46634784689343484</v>
      </c>
      <c r="N182">
        <f ca="1">SQRT((N188-2*N184-SQRT(((N188-2*N184)^2)-4*((N184^2)-N188*(N184-1)/2)))/(2*N184^2-N188*(N184-1)))</f>
        <v>0.46633651249318342</v>
      </c>
    </row>
    <row r="183" spans="1:17" x14ac:dyDescent="0.25">
      <c r="B183" t="s">
        <v>155</v>
      </c>
      <c r="C183" t="s">
        <v>14</v>
      </c>
      <c r="D183" s="46">
        <f ca="1">(D166*D14+D12*D167)/D168</f>
        <v>1070.5602206182884</v>
      </c>
      <c r="I183">
        <f ca="1">(I166*I14+I12*I167)/I168</f>
        <v>1081.5069145549655</v>
      </c>
      <c r="N183">
        <f ca="1">(N166*N14+N12*N167)/N168</f>
        <v>1081.129209032373</v>
      </c>
    </row>
    <row r="184" spans="1:17" x14ac:dyDescent="0.25">
      <c r="B184" t="s">
        <v>156</v>
      </c>
      <c r="D184" s="13">
        <f ca="1">(D166*D14+D12*D167)/((D166*(D14/D15))+(D167*(D12/D13)))</f>
        <v>1.3687990647336128</v>
      </c>
      <c r="I184">
        <f ca="1">(I166*I14+I12*I167)/((I166*(I14/I15))+(I167*(I12/I13)))</f>
        <v>1.3640400463138913</v>
      </c>
      <c r="N184">
        <f ca="1">(N166*N14+N12*N167)/((N166*(N14/N15))+(N167*(N12/N13)))</f>
        <v>1.3642021005023151</v>
      </c>
    </row>
    <row r="185" spans="1:17" x14ac:dyDescent="0.25">
      <c r="B185" t="s">
        <v>157</v>
      </c>
      <c r="D185" s="12">
        <f ca="1">(D165/(1+D130))*(D15/D13)*(SQRT((D13-1)*D12*D172)/SQRT((D15-1)*D14*D169))*(D180/D181)</f>
        <v>1.0634995092708452</v>
      </c>
      <c r="I185">
        <f ca="1">(I165/(1+I130))*(I15/I13)*(SQRT((I13-1)*I12*I172)/SQRT((I15-1)*I14*I169))*(I180/I181)</f>
        <v>0.70913682733005856</v>
      </c>
      <c r="N185">
        <f ca="1">(N165/(1+N130))*(N15/N13)*(SQRT((N13-1)*N12*N172)/SQRT((N15-1)*N14*N169))*(N180/N181)</f>
        <v>0.71599789888629906</v>
      </c>
    </row>
    <row r="186" spans="1:17" x14ac:dyDescent="0.25">
      <c r="B186" t="s">
        <v>158</v>
      </c>
      <c r="D186" s="27">
        <f ca="1">((1+D15*D180^2)+(D185*(1+D13*D181^2)))/(1+D185)</f>
        <v>1.2566343476439961</v>
      </c>
      <c r="I186">
        <f ca="1">((1+I15*I180^2)+(I185*(1+I13*I181^2)))/(1+I185)</f>
        <v>1.256572855471416</v>
      </c>
      <c r="N186">
        <f ca="1">((1+N15*N180^2)+(N185*(1+N13*N181^2)))/(1+N185)</f>
        <v>1.2565742871694363</v>
      </c>
    </row>
    <row r="187" spans="1:17" x14ac:dyDescent="0.25">
      <c r="B187" t="s">
        <v>159</v>
      </c>
      <c r="D187" s="27">
        <f ca="1">(((D15/D184)*(D180/SQRT((D15-1)*D14*D169)))+((D13/D184)*((D181*D185)/SQRT((D13-1)*D12*D172))))*(SQRT((D184-1)*D183*D174)/(1+D185))</f>
        <v>0.45253304545657907</v>
      </c>
      <c r="I187">
        <f ca="1">(((I15/I184)*(I180/SQRT((I15-1)*I14*I169)))+((I13/I184)*((I181*I185)/SQRT((I13-1)*I12*I172))))*(SQRT((I184-1)*I183*I174)/(1+I185))</f>
        <v>0.46079146535497467</v>
      </c>
      <c r="N187">
        <f ca="1">(((N15/N184)*(N180/SQRT((N15-1)*N14*N169)))+((N13/N184)*((N181*N185)/SQRT((N13-1)*N12*N172))))*(SQRT((N184-1)*N183*N174)/(1+N185))</f>
        <v>0.46077687035493659</v>
      </c>
    </row>
    <row r="188" spans="1:17" x14ac:dyDescent="0.25">
      <c r="B188" t="s">
        <v>160</v>
      </c>
      <c r="D188" s="27">
        <f ca="1">(D186/D187)^2</f>
        <v>7.7111163422218256</v>
      </c>
      <c r="I188">
        <f ca="1">(I186/I187)^2</f>
        <v>7.4364642498348541</v>
      </c>
      <c r="N188">
        <f ca="1">(N186/N187)^2</f>
        <v>7.4369523006531617</v>
      </c>
    </row>
    <row r="189" spans="1:17" x14ac:dyDescent="0.25">
      <c r="D189" s="27"/>
      <c r="E189" s="27"/>
      <c r="F189" s="27"/>
      <c r="G189" s="27"/>
      <c r="H189" s="27"/>
      <c r="I189" s="27"/>
      <c r="J189" s="27"/>
      <c r="K189" s="27"/>
      <c r="L189" s="27"/>
      <c r="M189" s="31"/>
      <c r="N189" s="27"/>
      <c r="O189" s="31"/>
      <c r="P189" s="27"/>
    </row>
    <row r="190" spans="1:17" x14ac:dyDescent="0.25">
      <c r="A190" t="s">
        <v>39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1:17" x14ac:dyDescent="0.25">
      <c r="B191" t="s">
        <v>161</v>
      </c>
      <c r="D191" s="30"/>
      <c r="E191" s="12"/>
      <c r="F191" s="12"/>
      <c r="G191" s="12"/>
      <c r="H191" s="12"/>
      <c r="I191" s="30"/>
      <c r="J191" s="12"/>
      <c r="K191" s="12"/>
      <c r="L191" s="12"/>
      <c r="M191" s="12"/>
      <c r="N191" s="30"/>
      <c r="O191" s="12"/>
      <c r="P191" s="12"/>
    </row>
    <row r="192" spans="1:17" x14ac:dyDescent="0.25">
      <c r="B192" t="s">
        <v>162</v>
      </c>
      <c r="C192" t="s">
        <v>65</v>
      </c>
      <c r="D192" s="30">
        <f ca="1">D168</f>
        <v>225.76529022359364</v>
      </c>
      <c r="E192" s="12">
        <f ca="1">D192*2.205</f>
        <v>497.812464943024</v>
      </c>
      <c r="F192" s="12">
        <v>495.70400000000001</v>
      </c>
      <c r="G192" s="31">
        <f t="shared" ref="G192:G193" ca="1" si="43">(E192-F192)/F192</f>
        <v>4.2534757496893094E-3</v>
      </c>
      <c r="H192" s="12"/>
      <c r="I192" s="30">
        <f ca="1">I168</f>
        <v>539.94092006730887</v>
      </c>
      <c r="J192" s="12">
        <f ca="1">I192*2.205</f>
        <v>1190.5697287484161</v>
      </c>
      <c r="K192" s="12">
        <v>1274.2329999999999</v>
      </c>
      <c r="L192" s="31">
        <f t="shared" ref="L192:L193" ca="1" si="44">(J192-K192)/K192</f>
        <v>-6.5657749604337567E-2</v>
      </c>
      <c r="M192" s="37">
        <f>1150*0.3048</f>
        <v>350.52000000000004</v>
      </c>
      <c r="N192" s="30">
        <f ca="1">N168</f>
        <v>540.69947391081519</v>
      </c>
      <c r="O192" s="37"/>
      <c r="P192" s="12"/>
    </row>
    <row r="193" spans="2:21" x14ac:dyDescent="0.25">
      <c r="B193" t="s">
        <v>163</v>
      </c>
      <c r="C193" t="s">
        <v>65</v>
      </c>
      <c r="D193" s="30">
        <f ca="1">D192</f>
        <v>225.76529022359364</v>
      </c>
      <c r="E193" s="12">
        <f ca="1">D193*2.205</f>
        <v>497.812464943024</v>
      </c>
      <c r="F193" s="12">
        <v>495.70400000000001</v>
      </c>
      <c r="G193" s="31">
        <f t="shared" ca="1" si="43"/>
        <v>4.2534757496893094E-3</v>
      </c>
      <c r="H193" s="12"/>
      <c r="I193" s="30">
        <f ca="1">I192</f>
        <v>539.94092006730887</v>
      </c>
      <c r="J193" s="12">
        <f ca="1">I193*2.205</f>
        <v>1190.5697287484161</v>
      </c>
      <c r="K193" s="12">
        <v>1274.2329999999999</v>
      </c>
      <c r="L193" s="31">
        <f t="shared" ca="1" si="44"/>
        <v>-6.5657749604337567E-2</v>
      </c>
      <c r="M193" s="31"/>
      <c r="N193" s="30">
        <f ca="1">N192</f>
        <v>540.69947391081519</v>
      </c>
      <c r="O193" s="31"/>
      <c r="P193" s="12"/>
    </row>
    <row r="194" spans="2:21" x14ac:dyDescent="0.25">
      <c r="B194" t="s">
        <v>164</v>
      </c>
      <c r="C194" t="s">
        <v>10</v>
      </c>
      <c r="D194" s="12">
        <f ca="1">D179</f>
        <v>113.41693319585475</v>
      </c>
      <c r="E194" s="27">
        <f ca="1">CONVERT(D194*1000,"Pa","psi")</f>
        <v>16.449735411025042</v>
      </c>
      <c r="F194" s="27">
        <v>17.387</v>
      </c>
      <c r="G194" s="31">
        <f t="shared" ref="G194:G195" ca="1" si="45">(E194-F194)/F194</f>
        <v>-5.3906055614824776E-2</v>
      </c>
      <c r="H194" s="31"/>
      <c r="I194" s="12">
        <f ca="1">I179</f>
        <v>327.55581296370417</v>
      </c>
      <c r="J194" s="27">
        <f ca="1">CONVERT(I194*1000,"Pa","psi")</f>
        <v>47.507954092635188</v>
      </c>
      <c r="K194" s="27">
        <v>22.312999999999999</v>
      </c>
      <c r="L194" s="31">
        <f t="shared" ref="L194:L195" ca="1" si="46">(J194-K194)/K194</f>
        <v>1.1291603142847304</v>
      </c>
      <c r="M194" s="31"/>
      <c r="N194" s="12">
        <f ca="1">N179</f>
        <v>326.39429433971947</v>
      </c>
      <c r="O194" s="31"/>
      <c r="P194" s="31"/>
      <c r="Q194" s="37"/>
    </row>
    <row r="195" spans="2:21" x14ac:dyDescent="0.25">
      <c r="B195" t="s">
        <v>165</v>
      </c>
      <c r="C195" t="s">
        <v>10</v>
      </c>
      <c r="D195" s="12">
        <f ca="1">D194*D35</f>
        <v>112.28276386389621</v>
      </c>
      <c r="E195" s="27">
        <f ca="1">CONVERT(D195*1000,"Pa","psi")</f>
        <v>16.285238056914789</v>
      </c>
      <c r="F195" s="27">
        <v>17.387</v>
      </c>
      <c r="G195" s="31">
        <f t="shared" ca="1" si="45"/>
        <v>-6.3366995058676684E-2</v>
      </c>
      <c r="H195" s="31"/>
      <c r="I195" s="12">
        <f ca="1">I194*I35</f>
        <v>324.28025483406714</v>
      </c>
      <c r="J195" s="27">
        <f ca="1">CONVERT(I195*1000,"Pa","psi")</f>
        <v>47.032874551708836</v>
      </c>
      <c r="K195" s="27">
        <v>22.312999999999999</v>
      </c>
      <c r="L195" s="31">
        <f t="shared" ca="1" si="46"/>
        <v>1.1078687111418832</v>
      </c>
      <c r="M195" s="31"/>
      <c r="N195" s="12">
        <f ca="1">N194*N35</f>
        <v>323.13035139632228</v>
      </c>
      <c r="O195" s="31"/>
      <c r="P195" s="31"/>
      <c r="Q195" s="37"/>
    </row>
    <row r="196" spans="2:21" x14ac:dyDescent="0.25">
      <c r="B196" t="s">
        <v>166</v>
      </c>
      <c r="C196" t="s">
        <v>8</v>
      </c>
      <c r="D196" s="12">
        <f ca="1">D174</f>
        <v>679.43431690517332</v>
      </c>
      <c r="E196" s="12">
        <f ca="1">D196*1.8</f>
        <v>1222.9817704293121</v>
      </c>
      <c r="F196" s="12">
        <v>1136.32</v>
      </c>
      <c r="G196" s="12">
        <f ca="1">E196-F196</f>
        <v>86.661770429312128</v>
      </c>
      <c r="H196" s="12"/>
      <c r="I196" s="12">
        <f ca="1">I174</f>
        <v>718.61449007275496</v>
      </c>
      <c r="J196" s="12">
        <f ca="1">I196*1.8</f>
        <v>1293.5060821309589</v>
      </c>
      <c r="K196" s="12">
        <v>973.17</v>
      </c>
      <c r="L196" s="12">
        <f ca="1">J196-K196</f>
        <v>320.33608213095897</v>
      </c>
      <c r="M196" s="12"/>
      <c r="N196" s="12">
        <f ca="1">N174</f>
        <v>716.75473659733166</v>
      </c>
      <c r="O196" s="12"/>
      <c r="P196" s="12"/>
    </row>
    <row r="197" spans="2:21" x14ac:dyDescent="0.25">
      <c r="B197" t="s">
        <v>167</v>
      </c>
      <c r="C197" t="s">
        <v>8</v>
      </c>
      <c r="D197" s="12">
        <f ca="1">D196</f>
        <v>679.43431690517332</v>
      </c>
      <c r="E197" s="12">
        <f ca="1">D197*1.8</f>
        <v>1222.9817704293121</v>
      </c>
      <c r="F197" s="12">
        <v>1136.32</v>
      </c>
      <c r="G197" s="12">
        <f ca="1">E197-F197</f>
        <v>86.661770429312128</v>
      </c>
      <c r="H197" s="12"/>
      <c r="I197" s="12">
        <f ca="1">I196</f>
        <v>718.61449007275496</v>
      </c>
      <c r="J197" s="12">
        <f ca="1">I197*1.8</f>
        <v>1293.5060821309589</v>
      </c>
      <c r="K197" s="12">
        <v>973.17</v>
      </c>
      <c r="L197" s="12">
        <f ca="1">J197-K197</f>
        <v>320.33608213095897</v>
      </c>
      <c r="M197" s="12"/>
      <c r="N197" s="12">
        <f ca="1">N196</f>
        <v>716.75473659733166</v>
      </c>
      <c r="O197" s="12"/>
      <c r="P197" s="12"/>
    </row>
    <row r="198" spans="2:21" x14ac:dyDescent="0.25">
      <c r="B198" t="s">
        <v>168</v>
      </c>
      <c r="C198" t="s">
        <v>10</v>
      </c>
      <c r="D198" s="12">
        <f ca="1">D195/(1+(D15-1)/2)^((D15/(D15-1)))</f>
        <v>60.673565392763557</v>
      </c>
      <c r="E198" s="27">
        <f ca="1">CONVERT(D198*1000,"Pa","psi")</f>
        <v>8.7999566645923384</v>
      </c>
      <c r="F198" s="27">
        <v>9.8835200000000007</v>
      </c>
      <c r="G198" s="31">
        <f t="shared" ref="G198:G199" ca="1" si="47">(E198-F198)/F198</f>
        <v>-0.10963334271673071</v>
      </c>
      <c r="H198" s="31"/>
      <c r="I198" s="12">
        <f ca="1">I195/(1+(I15-1)/2)^((I15/(I15-1)))</f>
        <v>175.22938134214604</v>
      </c>
      <c r="J198" s="27">
        <f ca="1">CONVERT(I198*1000,"Pa","psi")</f>
        <v>25.414873053728993</v>
      </c>
      <c r="K198" s="27"/>
      <c r="L198" s="31" t="e">
        <f t="shared" ref="L198:L199" ca="1" si="48">(J198-K198)/K198</f>
        <v>#DIV/0!</v>
      </c>
      <c r="M198" s="31"/>
      <c r="N198" s="12">
        <f ca="1">N195/(1+(N15-1)/2)^((N15/(N15-1)))</f>
        <v>174.60801490063284</v>
      </c>
      <c r="O198" s="31"/>
      <c r="P198" s="31"/>
      <c r="Q198" s="37"/>
    </row>
    <row r="199" spans="2:21" x14ac:dyDescent="0.25">
      <c r="B199" t="s">
        <v>168</v>
      </c>
      <c r="C199" t="s">
        <v>10</v>
      </c>
      <c r="D199" s="12">
        <f>D8</f>
        <v>10.038766618853135</v>
      </c>
      <c r="E199" s="27">
        <f>CONVERT(D199*1000,"Pa","psi")</f>
        <v>1.456</v>
      </c>
      <c r="F199" s="27">
        <v>1.456</v>
      </c>
      <c r="G199" s="31">
        <f t="shared" si="47"/>
        <v>0</v>
      </c>
      <c r="H199" s="31"/>
      <c r="I199" s="12">
        <f>I8</f>
        <v>101.32535318040225</v>
      </c>
      <c r="J199" s="27">
        <f>CONVERT(I199*1000,"Pa","psi")</f>
        <v>14.696000000000002</v>
      </c>
      <c r="K199" s="27"/>
      <c r="L199" s="31" t="e">
        <f t="shared" si="48"/>
        <v>#DIV/0!</v>
      </c>
      <c r="M199" s="31"/>
      <c r="N199" s="12">
        <f>N8</f>
        <v>101.32535318040225</v>
      </c>
      <c r="O199" s="31"/>
      <c r="P199" s="31"/>
      <c r="Q199" s="37"/>
    </row>
    <row r="200" spans="2:21" x14ac:dyDescent="0.25">
      <c r="B200" t="s">
        <v>169</v>
      </c>
      <c r="D200" s="12">
        <f ca="1">IF(D198&lt;D8,SQRT(((((D195/D199)^((D17-1)/D17))-1)*2)/(D17-1)),1)</f>
        <v>1</v>
      </c>
      <c r="E200" s="12"/>
      <c r="F200" s="12"/>
      <c r="G200" s="12"/>
      <c r="H200" s="12"/>
      <c r="I200" s="12">
        <f ca="1">IF(I198&lt;I8,SQRT(((((I195/I199)^((I17-1)/I17))-1)*2)/(I17-1)),1)</f>
        <v>1</v>
      </c>
      <c r="J200" s="12"/>
      <c r="K200" s="12"/>
      <c r="L200" s="12"/>
      <c r="M200" s="12"/>
      <c r="N200" s="12">
        <f ca="1">IF(N198&lt;N8,SQRT(((((N195/N199)^((N17-1)/N17))-1)*2)/(N17-1)),1)</f>
        <v>1</v>
      </c>
      <c r="O200" s="12"/>
      <c r="P200" s="12"/>
    </row>
    <row r="201" spans="2:21" x14ac:dyDescent="0.25">
      <c r="B201" t="s">
        <v>170</v>
      </c>
      <c r="D201" s="35">
        <v>1.3815</v>
      </c>
      <c r="E201" s="35"/>
      <c r="F201" s="35"/>
      <c r="G201" s="34" t="e">
        <f>(D201-F201)/F201</f>
        <v>#DIV/0!</v>
      </c>
      <c r="H201" s="34"/>
      <c r="I201" s="35">
        <v>2.6217637499999999</v>
      </c>
      <c r="J201" s="35"/>
      <c r="K201" s="35">
        <v>0.8</v>
      </c>
      <c r="L201" s="34">
        <f>(I201-K201)/K201</f>
        <v>2.2772046874999998</v>
      </c>
      <c r="M201" s="34"/>
      <c r="N201" s="35">
        <v>2.5354936000000001</v>
      </c>
      <c r="O201" s="34"/>
      <c r="P201" s="34"/>
      <c r="Q201" s="37"/>
    </row>
    <row r="202" spans="2:21" x14ac:dyDescent="0.25">
      <c r="B202" t="s">
        <v>67</v>
      </c>
      <c r="D202" s="12">
        <f>(((1+((D15-1)/2)*(D201^2))/((D15+1)/2))^((D15+1)/(2*(D15-1))))/D201</f>
        <v>1.1097799841962666</v>
      </c>
      <c r="E202" s="12"/>
      <c r="F202" s="12"/>
      <c r="G202" s="12"/>
      <c r="H202" s="12"/>
      <c r="I202" s="12">
        <f>(((1+((I15-1)/2)*(I201^2))/((I15+1)/2))^((I15+1)/(2*(I15-1))))/I201</f>
        <v>3.2323671117511124</v>
      </c>
      <c r="J202" s="12"/>
      <c r="K202" s="12"/>
      <c r="L202" s="12"/>
      <c r="M202" s="12"/>
      <c r="N202" s="12">
        <f>(((1+((N15-1)/2)*(N201^2))/((N15+1)/2))^((N15+1)/(2*(N15-1))))/N201</f>
        <v>2.953819740028663</v>
      </c>
      <c r="O202" s="12"/>
      <c r="P202" s="12"/>
      <c r="Q202" s="12"/>
    </row>
    <row r="203" spans="2:21" x14ac:dyDescent="0.25">
      <c r="B203" t="s">
        <v>171</v>
      </c>
      <c r="D203" s="12">
        <f ca="1">D202/D211</f>
        <v>0.75338786857222317</v>
      </c>
      <c r="E203" s="17">
        <f ca="1">D203*1550</f>
        <v>1167.751196286946</v>
      </c>
      <c r="F203" s="12">
        <v>1913.99</v>
      </c>
      <c r="G203" s="31">
        <f ca="1">(E203-F203)/F203</f>
        <v>-0.3898864694763578</v>
      </c>
      <c r="H203" s="12"/>
      <c r="I203" s="12">
        <f ca="1">I202/I211</f>
        <v>0.88463215052206878</v>
      </c>
      <c r="J203" s="17">
        <f ca="1">I203*1550</f>
        <v>1371.1798333092065</v>
      </c>
      <c r="K203" s="12">
        <v>1913.99</v>
      </c>
      <c r="L203" s="31">
        <f ca="1">(J203-K203)/K203</f>
        <v>-0.28360135982465606</v>
      </c>
      <c r="M203" s="31"/>
      <c r="N203" s="12">
        <f ca="1">N202/N211</f>
        <v>0.88139982662180527</v>
      </c>
      <c r="O203" s="31"/>
      <c r="P203" s="12"/>
    </row>
    <row r="204" spans="2:21" x14ac:dyDescent="0.25">
      <c r="B204" t="s">
        <v>172</v>
      </c>
      <c r="D204" s="12">
        <f ca="1">D195/D199</f>
        <v>11.184916247881036</v>
      </c>
      <c r="E204" s="12">
        <f ca="1">E195/E199</f>
        <v>11.184916247881036</v>
      </c>
      <c r="F204" s="12">
        <v>11.94014</v>
      </c>
      <c r="G204" s="34">
        <f ca="1">(D204-F204)/F204</f>
        <v>-6.3250828894716782E-2</v>
      </c>
      <c r="H204" s="12"/>
      <c r="I204" s="12">
        <f ca="1">I195/I199</f>
        <v>3.2003861289948854</v>
      </c>
      <c r="J204" s="12">
        <f ca="1">J195/J199</f>
        <v>3.2003861289948849</v>
      </c>
      <c r="K204" s="12">
        <v>11.94014</v>
      </c>
      <c r="L204" s="34">
        <f ca="1">(I204-K204)/K204</f>
        <v>-0.73196410352015251</v>
      </c>
      <c r="M204" s="34"/>
      <c r="N204" s="12">
        <f ca="1">N195/N199</f>
        <v>3.1890375039800034</v>
      </c>
      <c r="O204" s="34"/>
      <c r="P204" s="12"/>
    </row>
    <row r="205" spans="2:21" x14ac:dyDescent="0.25">
      <c r="B205" t="s">
        <v>173</v>
      </c>
      <c r="D205" s="12">
        <f ca="1">D195/((1+((D15-1)*0.5*(D201^2)))^(D15/(D15-1)))</f>
        <v>37.250042733860525</v>
      </c>
      <c r="E205" s="27">
        <f ca="1">CONVERT(D205*1000,"Pa","psi")</f>
        <v>5.4026619284727477</v>
      </c>
      <c r="F205" s="27">
        <v>2.1688000000000001</v>
      </c>
      <c r="G205" s="31">
        <f ca="1">(E205-F205)/F205</f>
        <v>1.491083515525981</v>
      </c>
      <c r="H205" s="31"/>
      <c r="I205" s="12">
        <f ca="1">I195/((1+((I15-1)*0.5*(I201^2)))^(I15/(I15-1)))</f>
        <v>15.27717447464431</v>
      </c>
      <c r="J205" s="27">
        <f ca="1">CONVERT(I205*1000,"Pa","psi")</f>
        <v>2.2157668247121083</v>
      </c>
      <c r="K205" s="27">
        <v>2.1688000000000001</v>
      </c>
      <c r="L205" s="31">
        <f ca="1">(J205-K205)/K205</f>
        <v>2.1655673511669228E-2</v>
      </c>
      <c r="M205" s="31"/>
      <c r="N205" s="12">
        <f ca="1">N195/((1+((N15-1)*0.5*(N201^2)))^(N15/(N15-1)))</f>
        <v>17.529479498971781</v>
      </c>
      <c r="O205" s="31"/>
      <c r="P205" s="31"/>
      <c r="Q205" s="37"/>
    </row>
    <row r="206" spans="2:21" x14ac:dyDescent="0.25">
      <c r="B206" t="s">
        <v>174</v>
      </c>
      <c r="C206" t="s">
        <v>8</v>
      </c>
      <c r="D206" s="12">
        <f ca="1">D197/(1+((D15-1)*0.5*(D201^2)))</f>
        <v>516.71566123809168</v>
      </c>
      <c r="E206" s="12">
        <f ca="1">D206*1.8</f>
        <v>930.08819022856505</v>
      </c>
      <c r="F206" s="12">
        <v>904.03499999999997</v>
      </c>
      <c r="G206" s="12">
        <f ca="1">E206-F206</f>
        <v>26.053190228565086</v>
      </c>
      <c r="H206" s="12"/>
      <c r="I206" s="12">
        <f ca="1">I197/(1+((I15-1)*0.5*(I201^2)))</f>
        <v>336.72141194858335</v>
      </c>
      <c r="J206" s="12">
        <f ca="1">I206*1.8</f>
        <v>606.09854150745002</v>
      </c>
      <c r="K206" s="12">
        <v>904.03499999999997</v>
      </c>
      <c r="L206" s="12">
        <f ca="1">J206-K206</f>
        <v>-297.93645849254995</v>
      </c>
      <c r="M206" s="12"/>
      <c r="N206" s="12">
        <f ca="1">N197/(1+((N15-1)*0.5*(N201^2)))</f>
        <v>347.81423497755935</v>
      </c>
      <c r="O206" s="12"/>
      <c r="P206" s="12"/>
    </row>
    <row r="207" spans="2:21" x14ac:dyDescent="0.25">
      <c r="B207" t="s">
        <v>175</v>
      </c>
      <c r="C207" t="s">
        <v>84</v>
      </c>
      <c r="D207" s="12">
        <f ca="1">SQRT((D15-1)*D14*D206)</f>
        <v>446.57087717483324</v>
      </c>
      <c r="E207" s="12">
        <f t="shared" ref="E207:E208" ca="1" si="49">CONVERT(D207,"m","ft")</f>
        <v>1465.1275497861982</v>
      </c>
      <c r="F207" s="12"/>
      <c r="G207" s="31"/>
      <c r="H207" s="31"/>
      <c r="I207" s="12">
        <f ca="1">SQRT((I15-1)*I14*I206)</f>
        <v>360.49558636749009</v>
      </c>
      <c r="J207" s="12">
        <f t="shared" ref="J207:J208" ca="1" si="50">CONVERT(I207,"m","ft")</f>
        <v>1182.7283017306106</v>
      </c>
      <c r="K207" s="12"/>
      <c r="L207" s="31"/>
      <c r="M207" s="31"/>
      <c r="N207" s="12">
        <f ca="1">SQRT((N15-1)*N14*N206)</f>
        <v>366.38548600091048</v>
      </c>
      <c r="O207" s="31"/>
      <c r="P207" s="31"/>
      <c r="Q207" s="37"/>
    </row>
    <row r="208" spans="2:21" x14ac:dyDescent="0.25">
      <c r="B208" t="s">
        <v>176</v>
      </c>
      <c r="C208" t="s">
        <v>84</v>
      </c>
      <c r="D208" s="12">
        <f ca="1">D207*D201</f>
        <v>616.9376668170321</v>
      </c>
      <c r="E208" s="12">
        <f t="shared" ca="1" si="49"/>
        <v>2024.073710029633</v>
      </c>
      <c r="F208" s="12">
        <v>2993.21</v>
      </c>
      <c r="G208" s="31">
        <f ca="1">(E208-F208)/F208</f>
        <v>-0.32377824809163641</v>
      </c>
      <c r="H208" s="31"/>
      <c r="I208" s="12">
        <f ca="1">I207*I201</f>
        <v>945.13426037327963</v>
      </c>
      <c r="J208" s="12">
        <f t="shared" ca="1" si="50"/>
        <v>3100.8341875763767</v>
      </c>
      <c r="K208" s="12">
        <v>2993.21</v>
      </c>
      <c r="L208" s="31">
        <f ca="1">(J208-K208)/K208</f>
        <v>3.5956109854095336E-2</v>
      </c>
      <c r="M208" s="31"/>
      <c r="N208" s="12">
        <f ca="1">N207*N201</f>
        <v>928.96805488819814</v>
      </c>
      <c r="O208" s="31"/>
      <c r="P208" s="31"/>
      <c r="Q208" s="37"/>
      <c r="U208" s="3"/>
    </row>
    <row r="209" spans="1:21" x14ac:dyDescent="0.25">
      <c r="B209" t="s">
        <v>177</v>
      </c>
      <c r="C209" t="s">
        <v>87</v>
      </c>
      <c r="D209" s="30">
        <f>((D15-1)/D15)*D14/1000</f>
        <v>0.29018671690639142</v>
      </c>
      <c r="E209" s="12">
        <f>D209*0.2388</f>
        <v>6.9296587997246278E-2</v>
      </c>
      <c r="F209" s="12">
        <v>6.8606E-2</v>
      </c>
      <c r="G209" s="31">
        <f>(E209-F209)/F209</f>
        <v>1.006600001816573E-2</v>
      </c>
      <c r="H209" s="31"/>
      <c r="I209" s="30">
        <f>((I15-1)/I15)*I14/1000</f>
        <v>0.29018671690639142</v>
      </c>
      <c r="J209" s="12">
        <f>I209*0.2388</f>
        <v>6.9296587997246278E-2</v>
      </c>
      <c r="K209" s="12">
        <v>6.8606E-2</v>
      </c>
      <c r="L209" s="31">
        <f>(J209-K209)/K209</f>
        <v>1.006600001816573E-2</v>
      </c>
      <c r="M209" s="31"/>
      <c r="N209" s="30">
        <f>((N15-1)/N15)*N14/1000</f>
        <v>0.29018671690639142</v>
      </c>
      <c r="O209" s="31"/>
      <c r="P209" s="31"/>
      <c r="Q209" s="37"/>
      <c r="U209" s="32"/>
    </row>
    <row r="210" spans="1:21" x14ac:dyDescent="0.25">
      <c r="B210" t="s">
        <v>178</v>
      </c>
      <c r="C210" t="s">
        <v>179</v>
      </c>
      <c r="D210" s="12">
        <f ca="1">D205/(D209*D206)</f>
        <v>0.24842632876403409</v>
      </c>
      <c r="E210" s="12">
        <f ca="1">D210*0.062428</f>
        <v>1.550875885208112E-2</v>
      </c>
      <c r="F210" s="12">
        <v>6.4275199999999999E-3</v>
      </c>
      <c r="G210" s="31">
        <f ca="1">(E210-F210)/F210</f>
        <v>1.4128682372176391</v>
      </c>
      <c r="H210" s="31"/>
      <c r="I210" s="12">
        <f ca="1">I205/(I209*I206)</f>
        <v>0.1563488804167337</v>
      </c>
      <c r="J210" s="12">
        <f ca="1">I210*0.062428</f>
        <v>9.7605479066558507E-3</v>
      </c>
      <c r="K210" s="12">
        <v>6.4275199999999999E-3</v>
      </c>
      <c r="L210" s="31">
        <f ca="1">(J210-K210)/K210</f>
        <v>0.51855582038731129</v>
      </c>
      <c r="M210" s="31"/>
      <c r="N210" s="12">
        <f ca="1">N205/(N209*N206)</f>
        <v>0.173677732094424</v>
      </c>
      <c r="O210" s="31"/>
      <c r="P210" s="31"/>
      <c r="Q210" s="37"/>
      <c r="U210" s="3"/>
    </row>
    <row r="211" spans="1:21" x14ac:dyDescent="0.25">
      <c r="B211" t="s">
        <v>180</v>
      </c>
      <c r="C211" t="s">
        <v>95</v>
      </c>
      <c r="D211" s="17">
        <f ca="1">D193/(D210*D208)</f>
        <v>1.4730526339632428</v>
      </c>
      <c r="E211" s="17">
        <f ca="1">D211*1550</f>
        <v>2283.2315826430263</v>
      </c>
      <c r="F211" s="17">
        <f>1913.99*2.14433</f>
        <v>4104.2261767</v>
      </c>
      <c r="G211" s="31">
        <f ca="1">(E211-F211)/F211</f>
        <v>-0.44368768085806204</v>
      </c>
      <c r="H211" s="31"/>
      <c r="I211" s="17">
        <f ca="1">I193/(I210*I208)</f>
        <v>3.6539109615714436</v>
      </c>
      <c r="J211" s="17">
        <f ca="1">I211*1550</f>
        <v>5663.5619904357372</v>
      </c>
      <c r="K211" s="17">
        <f>1913.99*2.14433</f>
        <v>4104.2261767</v>
      </c>
      <c r="L211" s="31">
        <f ca="1">(J211-K211)/K211</f>
        <v>0.37993418164627568</v>
      </c>
      <c r="M211" s="31"/>
      <c r="N211" s="17">
        <f ca="1">N193/(N210*N208)</f>
        <v>3.3512824155524843</v>
      </c>
      <c r="O211" s="31"/>
      <c r="P211" s="31"/>
      <c r="Q211" s="37"/>
      <c r="U211" s="3"/>
    </row>
    <row r="212" spans="1:21" s="49" customFormat="1" x14ac:dyDescent="0.25">
      <c r="B212" s="49" t="s">
        <v>181</v>
      </c>
      <c r="I212" s="50"/>
      <c r="N212" s="50"/>
    </row>
    <row r="214" spans="1:21" x14ac:dyDescent="0.25">
      <c r="A214" t="s">
        <v>182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 spans="1:21" x14ac:dyDescent="0.25">
      <c r="B215" t="s">
        <v>183</v>
      </c>
      <c r="C215" t="s">
        <v>184</v>
      </c>
      <c r="D215" s="28">
        <f ca="1">(D193*(D208-D87)+D211*1000*(D205-D8))</f>
        <v>44599.403988987789</v>
      </c>
      <c r="E215" s="28">
        <f ca="1">D215*0.225</f>
        <v>10034.865897522253</v>
      </c>
      <c r="H215" s="31"/>
      <c r="I215" s="28">
        <f ca="1">(I193*(I208-I87)+I211*1000*(I205-I8))</f>
        <v>139460.00347302633</v>
      </c>
      <c r="J215" s="28">
        <f ca="1">I215*0.225</f>
        <v>31378.500781430925</v>
      </c>
      <c r="M215" s="31"/>
      <c r="N215" s="28">
        <f ca="1">(N193*(N208-N87)+N211*1000*(N205-N8))</f>
        <v>164945.32772447262</v>
      </c>
      <c r="P215" s="31"/>
      <c r="Q215" s="37"/>
      <c r="U215" s="3"/>
    </row>
    <row r="216" spans="1:21" x14ac:dyDescent="0.25">
      <c r="D216" s="28">
        <v>44600</v>
      </c>
      <c r="E216" s="28">
        <v>10031</v>
      </c>
      <c r="G216" s="12"/>
      <c r="H216" s="12"/>
      <c r="I216" s="46">
        <v>139460</v>
      </c>
      <c r="J216" s="28">
        <f>I216*0.225</f>
        <v>31378.5</v>
      </c>
      <c r="L216" s="12"/>
      <c r="M216" s="12"/>
      <c r="N216">
        <v>164945</v>
      </c>
      <c r="O216" s="12"/>
      <c r="P216" s="12"/>
      <c r="U216" s="47"/>
    </row>
    <row r="217" spans="1:21" x14ac:dyDescent="0.25">
      <c r="D217" s="31">
        <f ca="1">(D215-D216)/D216</f>
        <v>-1.3363475610101137E-5</v>
      </c>
      <c r="E217" s="31">
        <f ca="1">(E215-E216)/E216</f>
        <v>3.8539502763965333E-4</v>
      </c>
      <c r="G217" s="13"/>
      <c r="H217" s="13"/>
      <c r="I217" s="31">
        <f ca="1">(I215-I216)/I216</f>
        <v>2.4903386840098611E-8</v>
      </c>
      <c r="J217" s="31">
        <f ca="1">(J215-J216)/J216</f>
        <v>2.4903386863286327E-8</v>
      </c>
      <c r="L217" s="13"/>
      <c r="M217" s="13"/>
      <c r="N217" s="31">
        <f ca="1">(N215-N216)/N216</f>
        <v>1.9868712153723551E-6</v>
      </c>
      <c r="O217" s="13"/>
      <c r="P217" s="13"/>
      <c r="U217" s="47"/>
    </row>
    <row r="218" spans="1:21" x14ac:dyDescent="0.25">
      <c r="B218" t="s">
        <v>185</v>
      </c>
      <c r="C218" t="s">
        <v>186</v>
      </c>
      <c r="D218" s="12">
        <f ca="1">D215/D192</f>
        <v>197.54765643920459</v>
      </c>
      <c r="E218" s="12"/>
      <c r="F218" s="12"/>
      <c r="I218" s="12">
        <f ca="1">I215/I192</f>
        <v>258.28752422698631</v>
      </c>
      <c r="J218" s="12"/>
      <c r="K218" s="12"/>
      <c r="N218" s="12">
        <f ca="1">N215/N192</f>
        <v>305.0591607412573</v>
      </c>
    </row>
    <row r="219" spans="1:21" x14ac:dyDescent="0.25">
      <c r="B219" t="s">
        <v>187</v>
      </c>
      <c r="C219" t="s">
        <v>188</v>
      </c>
      <c r="D219" s="12">
        <f ca="1">1000000*D131/D215</f>
        <v>38.79920619423212</v>
      </c>
      <c r="E219" s="13"/>
      <c r="F219" s="13">
        <f>1197.67/1550</f>
        <v>0.77269032258064518</v>
      </c>
      <c r="G219" s="15"/>
      <c r="H219" s="15"/>
      <c r="I219" s="12">
        <f ca="1">1000000*I131/I215</f>
        <v>42.119428224716245</v>
      </c>
      <c r="J219" s="13"/>
      <c r="K219" s="13">
        <f>1197.67/1550</f>
        <v>0.77269032258064518</v>
      </c>
      <c r="L219" s="15"/>
      <c r="M219" s="15"/>
      <c r="N219" s="12">
        <f ca="1">1000000*N131/N215</f>
        <v>35.484358097759447</v>
      </c>
      <c r="O219" s="15"/>
      <c r="P219" s="15"/>
      <c r="Q219" s="37"/>
    </row>
    <row r="220" spans="1:21" x14ac:dyDescent="0.25">
      <c r="D220" s="12">
        <f ca="1">D131</f>
        <v>1.7304214715085959</v>
      </c>
      <c r="G220" s="15"/>
      <c r="H220" s="15"/>
      <c r="I220" s="12">
        <f ca="1">I131</f>
        <v>5.8739756065008111</v>
      </c>
      <c r="L220" s="15"/>
      <c r="M220" s="15"/>
      <c r="N220" s="12">
        <f ca="1">N131</f>
        <v>5.8529790755274762</v>
      </c>
      <c r="O220" s="15"/>
      <c r="P220" s="15"/>
      <c r="Q220" s="37"/>
    </row>
    <row r="221" spans="1:21" x14ac:dyDescent="0.25">
      <c r="D221" s="60"/>
      <c r="I221" s="60"/>
      <c r="N221" s="60"/>
    </row>
  </sheetData>
  <mergeCells count="1">
    <mergeCell ref="A4:B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81"/>
  <sheetViews>
    <sheetView topLeftCell="A37" zoomScale="70" zoomScaleNormal="70" workbookViewId="0">
      <selection activeCell="E191" sqref="E191"/>
    </sheetView>
  </sheetViews>
  <sheetFormatPr defaultColWidth="9.140625" defaultRowHeight="15" x14ac:dyDescent="0.25"/>
  <cols>
    <col min="2" max="2" width="23.85546875" bestFit="1" customWidth="1"/>
    <col min="4" max="4" width="13" bestFit="1" customWidth="1"/>
    <col min="5" max="7" width="13.7109375" customWidth="1"/>
    <col min="8" max="8" width="3" customWidth="1"/>
    <col min="9" max="10" width="12.42578125" customWidth="1"/>
    <col min="11" max="11" width="13.7109375" customWidth="1"/>
    <col min="12" max="12" width="16.42578125" bestFit="1" customWidth="1"/>
    <col min="13" max="13" width="13.7109375" customWidth="1"/>
    <col min="14" max="14" width="14.85546875" bestFit="1" customWidth="1"/>
    <col min="15" max="15" width="13.7109375" customWidth="1"/>
    <col min="17" max="17" width="29.140625" bestFit="1" customWidth="1"/>
    <col min="19" max="19" width="8.85546875" bestFit="1" customWidth="1"/>
    <col min="28" max="28" width="11" bestFit="1" customWidth="1"/>
  </cols>
  <sheetData>
    <row r="1" spans="1:14" x14ac:dyDescent="0.25">
      <c r="A1" t="s">
        <v>0</v>
      </c>
    </row>
    <row r="4" spans="1:14" s="26" customFormat="1" ht="30" x14ac:dyDescent="0.25">
      <c r="A4" s="61" t="s">
        <v>1</v>
      </c>
      <c r="B4" s="61"/>
      <c r="D4" s="26" t="s">
        <v>2</v>
      </c>
      <c r="E4" s="26" t="s">
        <v>189</v>
      </c>
      <c r="F4" s="26" t="s">
        <v>190</v>
      </c>
      <c r="I4" s="26" t="s">
        <v>191</v>
      </c>
      <c r="J4" s="26" t="s">
        <v>192</v>
      </c>
      <c r="K4" s="26" t="s">
        <v>189</v>
      </c>
      <c r="L4" s="26" t="s">
        <v>190</v>
      </c>
    </row>
    <row r="5" spans="1:14" x14ac:dyDescent="0.25">
      <c r="A5" t="s">
        <v>3</v>
      </c>
      <c r="B5" t="s">
        <v>4</v>
      </c>
      <c r="C5" t="s">
        <v>5</v>
      </c>
      <c r="D5">
        <v>16130</v>
      </c>
      <c r="I5">
        <v>0</v>
      </c>
      <c r="J5">
        <v>0</v>
      </c>
    </row>
    <row r="6" spans="1:14" x14ac:dyDescent="0.25">
      <c r="B6" t="s">
        <v>6</v>
      </c>
      <c r="C6" t="s">
        <v>7</v>
      </c>
      <c r="D6">
        <v>-56.499999999999972</v>
      </c>
      <c r="I6">
        <v>15.15</v>
      </c>
      <c r="J6">
        <v>15.15</v>
      </c>
    </row>
    <row r="7" spans="1:14" x14ac:dyDescent="0.25">
      <c r="B7" t="s">
        <v>6</v>
      </c>
      <c r="C7" t="s">
        <v>8</v>
      </c>
      <c r="D7">
        <f>CONVERT(D6,"C","K")</f>
        <v>216.65</v>
      </c>
      <c r="I7">
        <v>288.14999999999998</v>
      </c>
      <c r="J7">
        <v>288.14999999999998</v>
      </c>
    </row>
    <row r="8" spans="1:14" x14ac:dyDescent="0.25">
      <c r="B8" t="s">
        <v>9</v>
      </c>
      <c r="C8" t="s">
        <v>10</v>
      </c>
      <c r="D8" s="36">
        <v>10.038766618853135</v>
      </c>
      <c r="E8" s="13"/>
      <c r="F8" s="13"/>
      <c r="G8" s="13"/>
      <c r="H8" s="13"/>
      <c r="I8" s="36">
        <v>101.0958156351939</v>
      </c>
      <c r="J8" s="36">
        <v>101.0958156351939</v>
      </c>
      <c r="K8" s="13"/>
      <c r="L8" s="13"/>
      <c r="M8" s="13"/>
      <c r="N8" s="13"/>
    </row>
    <row r="9" spans="1:14" x14ac:dyDescent="0.25">
      <c r="B9" t="s">
        <v>11</v>
      </c>
      <c r="D9" s="40">
        <v>2.0005414685899909</v>
      </c>
      <c r="I9" s="40">
        <v>0.30744203186731728</v>
      </c>
      <c r="J9" s="40">
        <v>0.30744203186731728</v>
      </c>
    </row>
    <row r="10" spans="1:14" x14ac:dyDescent="0.25">
      <c r="M10">
        <f>164945-139460</f>
        <v>25485</v>
      </c>
    </row>
    <row r="11" spans="1:14" x14ac:dyDescent="0.25">
      <c r="A11" s="2" t="s">
        <v>12</v>
      </c>
      <c r="B11" s="2"/>
      <c r="M11">
        <f>M10/139460</f>
        <v>0.1827405707729815</v>
      </c>
    </row>
    <row r="12" spans="1:14" x14ac:dyDescent="0.25">
      <c r="B12" t="s">
        <v>13</v>
      </c>
      <c r="C12" t="s">
        <v>14</v>
      </c>
      <c r="D12" s="23">
        <v>1005.5464824120608</v>
      </c>
      <c r="I12" s="23">
        <v>1005.5464824120608</v>
      </c>
      <c r="J12" s="23">
        <v>1005.5464824120608</v>
      </c>
    </row>
    <row r="13" spans="1:14" x14ac:dyDescent="0.25">
      <c r="B13" t="s">
        <v>15</v>
      </c>
      <c r="D13">
        <v>1.4</v>
      </c>
      <c r="I13">
        <v>1.4</v>
      </c>
      <c r="J13">
        <v>1.4</v>
      </c>
    </row>
    <row r="14" spans="1:14" x14ac:dyDescent="0.25">
      <c r="B14" t="s">
        <v>16</v>
      </c>
      <c r="C14" t="s">
        <v>17</v>
      </c>
      <c r="D14" s="13">
        <v>1086.3668466453832</v>
      </c>
      <c r="I14" s="13">
        <v>1086.3668466453832</v>
      </c>
      <c r="J14" s="13">
        <v>1086.3668466453832</v>
      </c>
    </row>
    <row r="15" spans="1:14" x14ac:dyDescent="0.25">
      <c r="B15" t="s">
        <v>18</v>
      </c>
      <c r="D15">
        <v>1.33</v>
      </c>
      <c r="I15">
        <v>1.33</v>
      </c>
      <c r="J15">
        <v>1.33</v>
      </c>
    </row>
    <row r="16" spans="1:14" x14ac:dyDescent="0.25">
      <c r="B16" t="s">
        <v>19</v>
      </c>
      <c r="C16" t="s">
        <v>17</v>
      </c>
      <c r="D16">
        <f>1.2351*1000</f>
        <v>1235.1000000000001</v>
      </c>
      <c r="I16">
        <f>1.2351*1000</f>
        <v>1235.1000000000001</v>
      </c>
      <c r="J16">
        <f>1.2351*1000</f>
        <v>1235.1000000000001</v>
      </c>
    </row>
    <row r="17" spans="1:14" x14ac:dyDescent="0.25">
      <c r="B17" t="s">
        <v>20</v>
      </c>
      <c r="D17">
        <v>1.3</v>
      </c>
      <c r="I17">
        <v>1.3</v>
      </c>
      <c r="J17">
        <v>1.3</v>
      </c>
    </row>
    <row r="18" spans="1:14" x14ac:dyDescent="0.25">
      <c r="B18" t="s">
        <v>21</v>
      </c>
      <c r="C18" t="s">
        <v>22</v>
      </c>
      <c r="D18">
        <v>43152.88</v>
      </c>
      <c r="I18">
        <v>43152.88</v>
      </c>
      <c r="J18">
        <v>43152.88</v>
      </c>
    </row>
    <row r="20" spans="1:14" x14ac:dyDescent="0.25">
      <c r="A20" t="s">
        <v>23</v>
      </c>
    </row>
    <row r="21" spans="1:14" x14ac:dyDescent="0.25">
      <c r="A21" t="s">
        <v>24</v>
      </c>
    </row>
    <row r="22" spans="1:14" x14ac:dyDescent="0.25">
      <c r="B22" t="s">
        <v>25</v>
      </c>
      <c r="C22" t="s">
        <v>26</v>
      </c>
      <c r="D22">
        <v>8382</v>
      </c>
      <c r="I22">
        <v>8382</v>
      </c>
      <c r="J22">
        <v>8382</v>
      </c>
    </row>
    <row r="23" spans="1:14" x14ac:dyDescent="0.25">
      <c r="B23" t="s">
        <v>27</v>
      </c>
      <c r="C23" t="s">
        <v>26</v>
      </c>
      <c r="D23">
        <v>5819</v>
      </c>
      <c r="I23">
        <v>5819</v>
      </c>
      <c r="J23">
        <v>5819</v>
      </c>
    </row>
    <row r="25" spans="1:14" x14ac:dyDescent="0.25">
      <c r="A25" s="9" t="s">
        <v>28</v>
      </c>
      <c r="B25" s="9"/>
      <c r="D25" s="41">
        <f>D26*D27*D34</f>
        <v>11.029520699999999</v>
      </c>
      <c r="I25" s="41">
        <f>I26*I27*I34</f>
        <v>18.285634925053646</v>
      </c>
      <c r="J25" s="41">
        <f>J26*J27*J34</f>
        <v>18.285634925053646</v>
      </c>
    </row>
    <row r="26" spans="1:14" x14ac:dyDescent="0.25">
      <c r="B26" t="s">
        <v>29</v>
      </c>
      <c r="C26" t="s">
        <v>30</v>
      </c>
      <c r="D26" s="12">
        <v>0.93700000000000006</v>
      </c>
      <c r="E26" s="12"/>
      <c r="F26" s="12"/>
      <c r="G26" s="12"/>
      <c r="H26" s="12"/>
      <c r="I26" s="12">
        <v>0.93700000000000006</v>
      </c>
      <c r="J26" s="12">
        <f>I26</f>
        <v>0.93700000000000006</v>
      </c>
      <c r="K26" s="12"/>
      <c r="L26" s="12"/>
      <c r="M26" s="12"/>
      <c r="N26" s="12"/>
    </row>
    <row r="27" spans="1:14" x14ac:dyDescent="0.25">
      <c r="B27" t="s">
        <v>31</v>
      </c>
      <c r="C27" t="s">
        <v>30</v>
      </c>
      <c r="D27" s="13">
        <f>D28*D29</f>
        <v>11.889999999999999</v>
      </c>
      <c r="E27" s="13"/>
      <c r="F27" s="13"/>
      <c r="G27" s="13"/>
      <c r="H27" s="13"/>
      <c r="I27" s="13">
        <f>I28*I29</f>
        <v>19.744800000000001</v>
      </c>
      <c r="J27" s="13">
        <f>J28*J29</f>
        <v>19.744800000000001</v>
      </c>
      <c r="K27" s="13"/>
      <c r="L27" s="13"/>
      <c r="M27" s="13"/>
      <c r="N27" s="13"/>
    </row>
    <row r="28" spans="1:14" x14ac:dyDescent="0.25">
      <c r="B28" s="2" t="s">
        <v>33</v>
      </c>
      <c r="C28" t="s">
        <v>30</v>
      </c>
      <c r="D28" s="12">
        <v>4.0999999999999996</v>
      </c>
      <c r="E28" s="12">
        <f>D28*D29</f>
        <v>11.889999999999999</v>
      </c>
      <c r="F28" s="12"/>
      <c r="G28" s="12"/>
      <c r="H28" s="12"/>
      <c r="I28" s="12">
        <v>5.7</v>
      </c>
      <c r="J28" s="12">
        <v>5.7</v>
      </c>
      <c r="K28" s="12">
        <f>J28*J29</f>
        <v>19.744800000000001</v>
      </c>
      <c r="L28" s="12"/>
      <c r="M28" s="12"/>
      <c r="N28" s="12"/>
    </row>
    <row r="29" spans="1:14" x14ac:dyDescent="0.25">
      <c r="B29" s="2" t="s">
        <v>34</v>
      </c>
      <c r="C29" t="s">
        <v>30</v>
      </c>
      <c r="D29" s="12">
        <v>2.9</v>
      </c>
      <c r="E29" s="12">
        <f>E28*0.99</f>
        <v>11.771099999999999</v>
      </c>
      <c r="F29" s="12"/>
      <c r="G29" s="12"/>
      <c r="H29" s="12"/>
      <c r="I29" s="12">
        <v>3.464</v>
      </c>
      <c r="J29" s="12">
        <v>3.464</v>
      </c>
      <c r="K29" s="12">
        <f ca="1">1/(((D114/D126)/((I110/I118)*SQRT(I112/I120))))</f>
        <v>2.4940531470351197</v>
      </c>
      <c r="L29" s="12"/>
      <c r="M29" s="12"/>
      <c r="N29" s="12"/>
    </row>
    <row r="30" spans="1:14" x14ac:dyDescent="0.25">
      <c r="B30" t="s">
        <v>35</v>
      </c>
      <c r="C30" t="s">
        <v>30</v>
      </c>
      <c r="D30" s="13">
        <v>0.96</v>
      </c>
      <c r="E30" s="13"/>
      <c r="F30" s="13"/>
      <c r="G30" s="13"/>
      <c r="H30" s="13"/>
      <c r="I30" s="12">
        <v>0.96500959283734822</v>
      </c>
      <c r="J30" s="12">
        <v>0.96500959283734822</v>
      </c>
      <c r="K30" s="13"/>
      <c r="L30" s="13"/>
      <c r="M30" s="13"/>
      <c r="N30" s="13"/>
    </row>
    <row r="31" spans="1:14" x14ac:dyDescent="0.25">
      <c r="B31" t="s">
        <v>36</v>
      </c>
      <c r="C31" t="s">
        <v>30</v>
      </c>
      <c r="D31" s="13">
        <v>0.99</v>
      </c>
      <c r="E31" s="13"/>
      <c r="F31" s="13"/>
      <c r="G31" s="13"/>
      <c r="H31" s="13"/>
      <c r="I31" s="12">
        <v>0.99</v>
      </c>
      <c r="J31" s="12">
        <v>0.96923784460512552</v>
      </c>
      <c r="K31" s="13"/>
      <c r="L31" s="13"/>
      <c r="M31" s="13"/>
      <c r="N31" s="13"/>
    </row>
    <row r="32" spans="1:14" x14ac:dyDescent="0.25">
      <c r="B32" t="s">
        <v>38</v>
      </c>
      <c r="C32" t="s">
        <v>30</v>
      </c>
      <c r="D32" s="13">
        <v>0.98</v>
      </c>
      <c r="E32" s="13"/>
      <c r="F32" s="13"/>
      <c r="G32" s="13"/>
      <c r="H32" s="13"/>
      <c r="I32" s="12">
        <v>0.98383686908842904</v>
      </c>
      <c r="J32" s="12">
        <v>0.98383686908842904</v>
      </c>
      <c r="K32" s="13"/>
      <c r="L32" s="13"/>
      <c r="M32" s="13"/>
      <c r="N32" s="13"/>
    </row>
    <row r="33" spans="1:15" x14ac:dyDescent="0.25">
      <c r="B33" t="s">
        <v>39</v>
      </c>
      <c r="C33" t="s">
        <v>30</v>
      </c>
      <c r="D33" s="13">
        <v>0.98</v>
      </c>
      <c r="E33" s="13"/>
      <c r="F33" s="13"/>
      <c r="G33" s="13"/>
      <c r="H33" s="13"/>
      <c r="I33" s="12">
        <v>0.98</v>
      </c>
      <c r="J33" s="12">
        <v>1</v>
      </c>
      <c r="K33" s="13"/>
      <c r="L33" s="13"/>
      <c r="M33" s="13"/>
      <c r="N33" s="13"/>
    </row>
    <row r="34" spans="1:15" x14ac:dyDescent="0.25">
      <c r="B34" t="s">
        <v>40</v>
      </c>
      <c r="D34" s="13">
        <v>0.99</v>
      </c>
      <c r="E34" s="13"/>
      <c r="F34" s="13"/>
      <c r="G34" s="13"/>
      <c r="H34" s="13"/>
      <c r="I34" s="12">
        <v>0.98836581271440027</v>
      </c>
      <c r="J34" s="12">
        <v>0.98836581271440027</v>
      </c>
      <c r="K34" s="13"/>
      <c r="L34" s="13"/>
      <c r="M34" s="13"/>
      <c r="N34" s="13"/>
    </row>
    <row r="35" spans="1:15" x14ac:dyDescent="0.25">
      <c r="B35" t="s">
        <v>41</v>
      </c>
      <c r="D35" s="13">
        <v>0.98</v>
      </c>
      <c r="E35" s="13"/>
      <c r="F35" s="13"/>
      <c r="G35" s="13"/>
      <c r="H35" s="13"/>
      <c r="I35" s="12">
        <v>0.98</v>
      </c>
      <c r="J35" s="12">
        <v>0.98</v>
      </c>
      <c r="K35" s="13"/>
      <c r="L35" s="13"/>
      <c r="M35" s="13"/>
      <c r="N35" s="13"/>
    </row>
    <row r="36" spans="1:15" x14ac:dyDescent="0.25"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5" x14ac:dyDescent="0.25"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5" x14ac:dyDescent="0.2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40" spans="1:15" x14ac:dyDescent="0.25">
      <c r="A40" s="10" t="s">
        <v>42</v>
      </c>
      <c r="B40" s="10"/>
    </row>
    <row r="41" spans="1:15" x14ac:dyDescent="0.25">
      <c r="B41" t="s">
        <v>44</v>
      </c>
      <c r="C41" t="s">
        <v>30</v>
      </c>
      <c r="D41" s="29">
        <v>0.8999928597724669</v>
      </c>
      <c r="E41" s="29"/>
      <c r="F41" s="29"/>
      <c r="G41" s="29"/>
      <c r="H41" s="29"/>
      <c r="I41" s="29">
        <v>0.8999928597724669</v>
      </c>
      <c r="J41" s="29">
        <v>0.8999928597724669</v>
      </c>
      <c r="K41" s="29"/>
      <c r="L41" s="29"/>
      <c r="M41" s="29"/>
      <c r="N41" s="29"/>
      <c r="O41" s="37"/>
    </row>
    <row r="42" spans="1:15" x14ac:dyDescent="0.25">
      <c r="B42" t="s">
        <v>45</v>
      </c>
      <c r="C42" t="s">
        <v>30</v>
      </c>
      <c r="D42" s="29">
        <v>0.90464787861829532</v>
      </c>
      <c r="E42" s="29"/>
      <c r="F42" s="29"/>
      <c r="G42" s="29"/>
      <c r="H42" s="29"/>
      <c r="I42" s="29">
        <v>0.90464787861829532</v>
      </c>
      <c r="J42" s="29">
        <v>0.90464787861829532</v>
      </c>
      <c r="K42" s="29"/>
      <c r="L42" s="29"/>
      <c r="M42" s="29"/>
      <c r="N42" s="29"/>
      <c r="O42" s="37"/>
    </row>
    <row r="43" spans="1:15" x14ac:dyDescent="0.25">
      <c r="B43" t="s">
        <v>35</v>
      </c>
      <c r="C43" t="s">
        <v>30</v>
      </c>
      <c r="D43" s="29">
        <v>0.99</v>
      </c>
      <c r="E43" s="29"/>
      <c r="F43" s="29"/>
      <c r="G43" s="29"/>
      <c r="H43" s="29"/>
      <c r="I43" s="29">
        <v>0.99</v>
      </c>
      <c r="J43" s="29">
        <v>0.99</v>
      </c>
      <c r="K43" s="29"/>
      <c r="L43" s="29"/>
      <c r="M43" s="29"/>
      <c r="N43" s="29"/>
      <c r="O43" s="37"/>
    </row>
    <row r="44" spans="1:15" x14ac:dyDescent="0.25">
      <c r="B44" t="s">
        <v>36</v>
      </c>
      <c r="C44" t="s">
        <v>30</v>
      </c>
      <c r="D44" s="29">
        <v>0.99</v>
      </c>
      <c r="E44" s="29"/>
      <c r="F44" s="29"/>
      <c r="G44" s="29"/>
      <c r="H44" s="29"/>
      <c r="I44" s="29">
        <v>0.99</v>
      </c>
      <c r="J44" s="29">
        <v>0.99</v>
      </c>
      <c r="K44" s="29"/>
      <c r="L44" s="29"/>
      <c r="M44" s="29"/>
      <c r="N44" s="29"/>
      <c r="O44" s="37"/>
    </row>
    <row r="45" spans="1:15" x14ac:dyDescent="0.25">
      <c r="B45" t="s">
        <v>46</v>
      </c>
      <c r="C45" t="s">
        <v>30</v>
      </c>
      <c r="D45" s="29">
        <v>0.89216688005100142</v>
      </c>
      <c r="E45" s="29"/>
      <c r="F45" s="29"/>
      <c r="G45" s="29"/>
      <c r="H45" s="29"/>
      <c r="I45" s="29">
        <v>0.89216688005100142</v>
      </c>
      <c r="J45" s="29">
        <v>0.89216688005100142</v>
      </c>
      <c r="K45" s="29"/>
      <c r="L45" s="29"/>
      <c r="M45" s="29"/>
      <c r="N45" s="29"/>
      <c r="O45" s="37"/>
    </row>
    <row r="46" spans="1:15" x14ac:dyDescent="0.25">
      <c r="B46" t="s">
        <v>47</v>
      </c>
      <c r="C46" t="s">
        <v>30</v>
      </c>
      <c r="D46" s="29">
        <v>0.94687651311859256</v>
      </c>
      <c r="E46" s="29"/>
      <c r="F46" s="29"/>
      <c r="G46" s="29"/>
      <c r="H46" s="29"/>
      <c r="I46" s="29">
        <v>0.94687651311859256</v>
      </c>
      <c r="J46" s="29">
        <v>0.94687651311859256</v>
      </c>
      <c r="K46" s="29"/>
      <c r="L46" s="29"/>
      <c r="M46" s="29"/>
      <c r="N46" s="29"/>
      <c r="O46" s="37"/>
    </row>
    <row r="47" spans="1:15" x14ac:dyDescent="0.25">
      <c r="B47" t="s">
        <v>48</v>
      </c>
      <c r="C47" t="s">
        <v>30</v>
      </c>
      <c r="D47" s="29">
        <v>0.98399999999999999</v>
      </c>
      <c r="E47" s="29"/>
      <c r="F47" s="29"/>
      <c r="G47" s="29"/>
      <c r="H47" s="29"/>
      <c r="I47" s="29">
        <v>0.98399999999999999</v>
      </c>
      <c r="J47" s="29">
        <v>0.98399999999999999</v>
      </c>
      <c r="K47" s="29"/>
      <c r="L47" s="29"/>
      <c r="M47" s="29"/>
      <c r="N47" s="29"/>
      <c r="O47" s="37"/>
    </row>
    <row r="48" spans="1:15" x14ac:dyDescent="0.25">
      <c r="B48" t="s">
        <v>49</v>
      </c>
      <c r="C48" t="s">
        <v>30</v>
      </c>
      <c r="D48" s="29">
        <v>0.98399999999999999</v>
      </c>
      <c r="E48" s="29"/>
      <c r="F48" s="29"/>
      <c r="G48" s="29"/>
      <c r="H48" s="29"/>
      <c r="I48" s="29">
        <v>0.98399999999999999</v>
      </c>
      <c r="J48" s="29">
        <v>0.98399999999999999</v>
      </c>
      <c r="K48" s="29"/>
      <c r="L48" s="29"/>
      <c r="M48" s="29"/>
      <c r="N48" s="29"/>
      <c r="O48" s="37"/>
    </row>
    <row r="50" spans="1:36" x14ac:dyDescent="0.25">
      <c r="B50" t="s">
        <v>50</v>
      </c>
      <c r="C50" t="s">
        <v>30</v>
      </c>
      <c r="D50" s="12">
        <f>(D28^((D13-1)/D13)-1)/(D28^((D13-1)/(D13*D41))-1)</f>
        <v>0.87866583584140145</v>
      </c>
      <c r="E50" s="12"/>
      <c r="F50" s="12"/>
      <c r="G50" s="12"/>
      <c r="H50" s="12"/>
      <c r="I50" s="12">
        <f>(I28^((I13-1)/I13)-1)/(I28^((I13-1)/(I13*I41))-1)</f>
        <v>0.87336378938209569</v>
      </c>
      <c r="J50" s="12">
        <f>(J28^((J13-1)/J13)-1)/(J28^((J13-1)/(J13*J41))-1)</f>
        <v>0.87336378938209569</v>
      </c>
      <c r="K50" s="12"/>
      <c r="L50" s="12"/>
      <c r="M50" s="12"/>
      <c r="N50" s="12"/>
      <c r="AJ50">
        <f>3.70745/0.014397</f>
        <v>257.51545460859904</v>
      </c>
    </row>
    <row r="51" spans="1:36" x14ac:dyDescent="0.25">
      <c r="B51" t="s">
        <v>51</v>
      </c>
      <c r="C51" t="s">
        <v>30</v>
      </c>
      <c r="D51" s="12">
        <f>(D29^((D13-1)/D13)-1)/(D29^((D13-1)/(D13*D41))-1)</f>
        <v>0.88411075911111214</v>
      </c>
      <c r="E51" s="12"/>
      <c r="F51" s="12"/>
      <c r="G51" s="12"/>
      <c r="H51" s="12"/>
      <c r="I51" s="12">
        <f>(I29^((I13-1)/I13)-1)/(I29^((I13-1)/(I13*I41))-1)</f>
        <v>0.88133292751448966</v>
      </c>
      <c r="J51" s="12">
        <f>(J29^((J13-1)/J13)-1)/(J29^((J13-1)/(J13*J41))-1)</f>
        <v>0.88133292751448966</v>
      </c>
      <c r="K51" s="12"/>
      <c r="L51" s="12"/>
      <c r="M51" s="12"/>
      <c r="N51" s="12"/>
    </row>
    <row r="52" spans="1:36" x14ac:dyDescent="0.25"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  <row r="53" spans="1:36" x14ac:dyDescent="0.25">
      <c r="A53" s="33" t="s">
        <v>52</v>
      </c>
      <c r="B53" s="33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</row>
    <row r="54" spans="1:36" x14ac:dyDescent="0.25">
      <c r="B54" t="s">
        <v>53</v>
      </c>
      <c r="C54" t="s">
        <v>54</v>
      </c>
      <c r="D54" s="12">
        <v>0</v>
      </c>
      <c r="E54" s="12"/>
      <c r="F54" s="12"/>
      <c r="G54" s="12"/>
      <c r="H54" s="12"/>
      <c r="I54" s="12">
        <v>0</v>
      </c>
      <c r="J54" s="12">
        <v>0</v>
      </c>
      <c r="K54" s="12"/>
      <c r="L54" s="12"/>
      <c r="M54" s="12"/>
      <c r="N54" s="12"/>
    </row>
    <row r="55" spans="1:36" x14ac:dyDescent="0.25">
      <c r="B55" t="s">
        <v>55</v>
      </c>
      <c r="C55" t="s">
        <v>54</v>
      </c>
      <c r="D55" s="12">
        <f>(289.345-257.517)/289.345</f>
        <v>0.11000017280409211</v>
      </c>
      <c r="E55" s="12"/>
      <c r="F55" s="12"/>
      <c r="G55" s="12"/>
      <c r="H55" s="12"/>
      <c r="I55" s="12">
        <f>(289.345-257.517)/289.345</f>
        <v>0.11000017280409211</v>
      </c>
      <c r="J55" s="12">
        <f>(289.345-257.517)/289.345</f>
        <v>0.11000017280409211</v>
      </c>
      <c r="K55" s="12"/>
      <c r="L55" s="12"/>
      <c r="M55" s="12"/>
      <c r="N55" s="12"/>
    </row>
    <row r="56" spans="1:36" x14ac:dyDescent="0.25">
      <c r="B56" t="s">
        <v>56</v>
      </c>
      <c r="C56" t="s">
        <v>54</v>
      </c>
      <c r="D56" s="12">
        <f>(275.692-261.224)/(289.345)</f>
        <v>5.0002592061380073E-2</v>
      </c>
      <c r="E56" s="12"/>
      <c r="F56" s="12"/>
      <c r="G56" s="12"/>
      <c r="H56" s="12"/>
      <c r="I56" s="12">
        <v>4.7480695841514854E-2</v>
      </c>
      <c r="J56" s="12">
        <v>4.7480695841514854E-2</v>
      </c>
      <c r="K56" s="12"/>
      <c r="L56" s="12"/>
      <c r="M56" s="12"/>
      <c r="N56" s="12"/>
    </row>
    <row r="57" spans="1:36" x14ac:dyDescent="0.25">
      <c r="B57" t="s">
        <v>58</v>
      </c>
      <c r="C57" t="s">
        <v>54</v>
      </c>
      <c r="D57" s="12">
        <f>D55-D56</f>
        <v>5.9997580742712033E-2</v>
      </c>
      <c r="E57" s="12"/>
      <c r="F57" s="12"/>
      <c r="G57" s="12"/>
      <c r="H57" s="12"/>
      <c r="I57" s="12">
        <f>I55-I56</f>
        <v>6.2519476962577258E-2</v>
      </c>
      <c r="J57" s="12">
        <f>J55-J56</f>
        <v>6.2519476962577258E-2</v>
      </c>
      <c r="K57" s="12"/>
      <c r="L57" s="12"/>
      <c r="M57" s="12"/>
      <c r="N57" s="12"/>
    </row>
    <row r="58" spans="1:36" x14ac:dyDescent="0.25">
      <c r="B58" t="s">
        <v>59</v>
      </c>
      <c r="C58" t="s">
        <v>54</v>
      </c>
      <c r="D58" s="12">
        <v>0</v>
      </c>
      <c r="E58" s="12"/>
      <c r="F58" s="12"/>
      <c r="G58" s="12"/>
      <c r="H58" s="12"/>
      <c r="I58" s="12">
        <f>(545.725-249.007)/542.651</f>
        <v>0.54679342708296874</v>
      </c>
      <c r="J58" s="12">
        <f>(545.725-249.007)/542.651</f>
        <v>0.54679342708296874</v>
      </c>
      <c r="K58" s="12"/>
      <c r="L58" s="12"/>
      <c r="M58" s="12"/>
      <c r="N58" s="12"/>
    </row>
    <row r="60" spans="1:36" x14ac:dyDescent="0.25">
      <c r="D60" s="12">
        <f>(D62*D14)/(D7*D12)</f>
        <v>6.7320824691515542</v>
      </c>
      <c r="E60" s="12"/>
      <c r="F60" s="12"/>
      <c r="G60" s="12"/>
      <c r="H60" s="12"/>
      <c r="I60" s="12">
        <f>(I62*I14)/(I7*I12)</f>
        <v>5.0694931581978304</v>
      </c>
      <c r="J60" s="12">
        <f>(J62*J14)/(J7*J12)</f>
        <v>5.0694931581978304</v>
      </c>
      <c r="K60" s="12"/>
      <c r="L60" s="12"/>
      <c r="M60" s="12"/>
      <c r="N60" s="12"/>
    </row>
    <row r="61" spans="1:36" x14ac:dyDescent="0.25">
      <c r="B61" t="s">
        <v>60</v>
      </c>
    </row>
    <row r="62" spans="1:36" x14ac:dyDescent="0.25">
      <c r="B62" t="s">
        <v>61</v>
      </c>
      <c r="C62" t="s">
        <v>8</v>
      </c>
      <c r="D62" s="14">
        <v>1350</v>
      </c>
      <c r="E62" s="14"/>
      <c r="F62" s="14"/>
      <c r="G62" s="14"/>
      <c r="H62" s="14"/>
      <c r="I62" s="14">
        <v>1352.1000000000001</v>
      </c>
      <c r="J62" s="14">
        <v>1352.1000000000001</v>
      </c>
      <c r="K62" s="14"/>
      <c r="L62" s="14"/>
      <c r="M62" s="14"/>
      <c r="N62" s="14"/>
      <c r="O62" s="5"/>
    </row>
    <row r="63" spans="1:36" x14ac:dyDescent="0.25">
      <c r="B63" t="s">
        <v>62</v>
      </c>
      <c r="D63" s="14"/>
      <c r="E63" s="14"/>
      <c r="F63" s="14"/>
      <c r="G63" s="14"/>
      <c r="H63" s="14"/>
      <c r="I63" s="14"/>
      <c r="J63" s="14">
        <v>1100</v>
      </c>
      <c r="K63" s="14"/>
      <c r="L63" s="14"/>
      <c r="M63" s="14"/>
      <c r="N63" s="14"/>
      <c r="O63" s="5"/>
    </row>
    <row r="64" spans="1:36" x14ac:dyDescent="0.25">
      <c r="B64" t="s">
        <v>64</v>
      </c>
      <c r="C64" t="s">
        <v>65</v>
      </c>
      <c r="D64" s="12">
        <f t="shared" ref="D64" si="0">D68</f>
        <v>131.22222222222223</v>
      </c>
      <c r="E64" s="12"/>
      <c r="F64" s="12"/>
      <c r="G64" s="12"/>
      <c r="H64" s="12"/>
      <c r="I64" s="12">
        <f ca="1">((D114/(SQRT(I119)/I111))*(1+I55))-I109</f>
        <v>299.16454392063309</v>
      </c>
      <c r="J64" s="12">
        <f ca="1">((I114/(SQRT(J119)/J111))*(1+J55))-J109</f>
        <v>299.01580856319708</v>
      </c>
      <c r="K64" s="12"/>
      <c r="L64" s="12"/>
      <c r="M64" s="12"/>
      <c r="N64" s="12"/>
    </row>
    <row r="65" spans="1:15" x14ac:dyDescent="0.25">
      <c r="B65" t="s">
        <v>67</v>
      </c>
      <c r="D65">
        <v>1.8</v>
      </c>
      <c r="I65">
        <v>1.05</v>
      </c>
      <c r="J65">
        <v>1.05</v>
      </c>
    </row>
    <row r="67" spans="1:15" x14ac:dyDescent="0.25">
      <c r="A67" t="s">
        <v>68</v>
      </c>
    </row>
    <row r="68" spans="1:15" x14ac:dyDescent="0.25">
      <c r="B68" t="s">
        <v>193</v>
      </c>
      <c r="C68" t="s">
        <v>65</v>
      </c>
      <c r="D68" s="13">
        <f>289.345/2.205</f>
        <v>131.22222222222223</v>
      </c>
      <c r="E68" s="12">
        <f>D68*2.205</f>
        <v>289.34500000000003</v>
      </c>
      <c r="F68" s="12">
        <v>289.34500000000003</v>
      </c>
      <c r="G68" s="31">
        <f t="shared" ref="G68:G69" si="1">(E68-F68)/F68</f>
        <v>0</v>
      </c>
      <c r="H68" s="12"/>
      <c r="I68" s="13">
        <f ca="1">I64</f>
        <v>299.16454392063309</v>
      </c>
      <c r="J68" s="13">
        <f ca="1">J64</f>
        <v>299.01580856319708</v>
      </c>
      <c r="K68" s="12">
        <f ca="1">J68*2.205</f>
        <v>659.32985788184953</v>
      </c>
      <c r="L68" s="12">
        <v>542.65099999999995</v>
      </c>
      <c r="M68" s="31">
        <f t="shared" ref="M68:M69" ca="1" si="2">(K68-L68)/L68</f>
        <v>0.21501638784752924</v>
      </c>
      <c r="N68" s="12"/>
    </row>
    <row r="69" spans="1:15" x14ac:dyDescent="0.25">
      <c r="B69" t="s">
        <v>72</v>
      </c>
      <c r="C69" t="s">
        <v>65</v>
      </c>
      <c r="D69" s="13">
        <f>D109</f>
        <v>1.719366538083511</v>
      </c>
      <c r="E69" s="12">
        <f t="shared" ref="E69" si="3">D69*2.205</f>
        <v>3.791203216474142</v>
      </c>
      <c r="F69" s="12">
        <v>3.7074500000000001</v>
      </c>
      <c r="G69" s="31">
        <f t="shared" si="1"/>
        <v>2.2590518138920795E-2</v>
      </c>
      <c r="H69" s="12"/>
      <c r="I69" s="13">
        <f ca="1">I109</f>
        <v>4.5785051798631322</v>
      </c>
      <c r="J69" s="13">
        <f ca="1">J109</f>
        <v>4.5762288887106948</v>
      </c>
      <c r="K69" s="12">
        <f t="shared" ref="K69" ca="1" si="4">J69*2.205</f>
        <v>10.090584699607083</v>
      </c>
      <c r="L69" s="12">
        <v>8.5005000000000006</v>
      </c>
      <c r="M69" s="31">
        <f t="shared" ca="1" si="2"/>
        <v>0.18705778478996324</v>
      </c>
      <c r="N69" s="12"/>
    </row>
    <row r="70" spans="1:15" x14ac:dyDescent="0.25">
      <c r="B70" t="s">
        <v>73</v>
      </c>
      <c r="C70" t="s">
        <v>65</v>
      </c>
      <c r="D70" s="12"/>
      <c r="E70" s="12"/>
      <c r="G70" s="31"/>
      <c r="I70" s="12"/>
      <c r="J70" s="12"/>
      <c r="K70" s="12"/>
      <c r="M70" s="31"/>
    </row>
    <row r="71" spans="1:15" x14ac:dyDescent="0.25">
      <c r="B71" t="s">
        <v>74</v>
      </c>
      <c r="C71" t="s">
        <v>65</v>
      </c>
    </row>
    <row r="72" spans="1:15" x14ac:dyDescent="0.25">
      <c r="B72" t="s">
        <v>75</v>
      </c>
      <c r="C72" t="s">
        <v>65</v>
      </c>
      <c r="D72" s="12">
        <f>D68+D69-D130</f>
        <v>1.0431378013718415</v>
      </c>
      <c r="E72" s="12">
        <f>D72*2.205</f>
        <v>2.3001188520249105</v>
      </c>
      <c r="F72">
        <v>2.8929999999999998</v>
      </c>
      <c r="G72" s="31">
        <f>(E72-F72)/F72</f>
        <v>-0.20493644935191474</v>
      </c>
      <c r="I72" s="12">
        <f ca="1">I68+I69-I130</f>
        <v>2.3123011939814546</v>
      </c>
      <c r="J72" s="12">
        <f ca="1">J68+J69-J130</f>
        <v>2.311151589352221</v>
      </c>
      <c r="K72" s="12">
        <f ca="1">J72*2.205</f>
        <v>5.0960892545216474</v>
      </c>
      <c r="L72">
        <v>5.4269999999999996</v>
      </c>
      <c r="M72" s="31">
        <f ca="1">(K72-L72)/L72</f>
        <v>-6.0974893215100835E-2</v>
      </c>
    </row>
    <row r="73" spans="1:15" x14ac:dyDescent="0.25">
      <c r="D73" s="12"/>
      <c r="E73" s="12"/>
      <c r="G73" s="31"/>
      <c r="I73" s="12"/>
      <c r="J73" s="12"/>
      <c r="K73" s="12"/>
      <c r="M73" s="31"/>
    </row>
    <row r="74" spans="1:15" x14ac:dyDescent="0.25">
      <c r="A74" t="s">
        <v>76</v>
      </c>
    </row>
    <row r="75" spans="1:15" x14ac:dyDescent="0.25">
      <c r="A75" t="s">
        <v>77</v>
      </c>
    </row>
    <row r="76" spans="1:15" x14ac:dyDescent="0.25">
      <c r="B76" t="s">
        <v>79</v>
      </c>
      <c r="C76" t="s">
        <v>10</v>
      </c>
      <c r="D76" s="27">
        <f>D8</f>
        <v>10.038766618853135</v>
      </c>
      <c r="E76" s="27">
        <f>CONVERT(D76*1000,"Pa","psi")</f>
        <v>1.456</v>
      </c>
      <c r="F76" s="27">
        <v>1.456</v>
      </c>
      <c r="G76" s="31">
        <f>(E76-F76)/F76</f>
        <v>0</v>
      </c>
      <c r="H76" s="31"/>
      <c r="I76" s="27">
        <f>I8</f>
        <v>101.0958156351939</v>
      </c>
      <c r="J76" s="27">
        <f>J8</f>
        <v>101.0958156351939</v>
      </c>
      <c r="K76" s="27">
        <f>CONVERT(J76*1000,"Pa","psi")</f>
        <v>14.662708393718836</v>
      </c>
      <c r="L76" s="27">
        <v>14.696</v>
      </c>
      <c r="M76" s="31">
        <f>(K76-L76)/L76</f>
        <v>-2.2653515433562958E-3</v>
      </c>
      <c r="N76" s="31"/>
      <c r="O76" s="37"/>
    </row>
    <row r="77" spans="1:15" x14ac:dyDescent="0.25">
      <c r="B77" t="s">
        <v>80</v>
      </c>
      <c r="C77" t="s">
        <v>10</v>
      </c>
      <c r="D77" s="27">
        <f>((((D9^2)*((D13-1)/2))+1)^(D13/(D13-1)))*D76</f>
        <v>78.614006576467645</v>
      </c>
      <c r="E77" s="27">
        <f>CONVERT(D77*1000,"Pa","psi")</f>
        <v>11.401997667758655</v>
      </c>
      <c r="F77" s="27">
        <v>11.401999999999999</v>
      </c>
      <c r="G77" s="31">
        <f>(E77-F77)/F77</f>
        <v>-2.0454668865546701E-7</v>
      </c>
      <c r="H77" s="31"/>
      <c r="I77" s="27">
        <f>((((I9^2)*((I13-1)/2))+1)^(I13/(I13-1)))*I76</f>
        <v>107.94432018184386</v>
      </c>
      <c r="J77" s="27">
        <f>((((J9^2)*((J13-1)/2))+1)^(J13/(J13-1)))*J76</f>
        <v>107.94432018184386</v>
      </c>
      <c r="K77" s="27">
        <f>CONVERT(J77*1000,"Pa","psi")</f>
        <v>15.655999999999999</v>
      </c>
      <c r="L77" s="27">
        <v>15.656000000000001</v>
      </c>
      <c r="M77" s="31">
        <f>(K77-L77)/L77</f>
        <v>-1.1346172964999044E-16</v>
      </c>
      <c r="N77" s="31"/>
      <c r="O77" s="37"/>
    </row>
    <row r="78" spans="1:15" x14ac:dyDescent="0.25">
      <c r="B78" t="s">
        <v>81</v>
      </c>
      <c r="C78" t="s">
        <v>8</v>
      </c>
      <c r="D78" s="12">
        <f>D7</f>
        <v>216.65</v>
      </c>
      <c r="E78" s="12">
        <f>D78*1.8</f>
        <v>389.97</v>
      </c>
      <c r="F78" s="12">
        <v>389.97</v>
      </c>
      <c r="G78" s="12">
        <f>E78-F78</f>
        <v>0</v>
      </c>
      <c r="H78" s="12"/>
      <c r="I78" s="12">
        <f>I7</f>
        <v>288.14999999999998</v>
      </c>
      <c r="J78" s="12">
        <f>J7</f>
        <v>288.14999999999998</v>
      </c>
      <c r="K78" s="12">
        <f>J78*1.8</f>
        <v>518.66999999999996</v>
      </c>
      <c r="L78" s="12">
        <v>518.66999999999996</v>
      </c>
      <c r="M78" s="12">
        <f>K78-L78</f>
        <v>0</v>
      </c>
      <c r="N78" s="12"/>
    </row>
    <row r="79" spans="1:15" x14ac:dyDescent="0.25">
      <c r="B79" t="s">
        <v>82</v>
      </c>
      <c r="C79" t="s">
        <v>8</v>
      </c>
      <c r="D79" s="12">
        <f>((((D9^2)*((D13-1)/2))+1))*D78</f>
        <v>390.06386003986336</v>
      </c>
      <c r="E79" s="12">
        <f>D79*1.8</f>
        <v>702.11494807175404</v>
      </c>
      <c r="F79" s="12">
        <v>701.78399999999999</v>
      </c>
      <c r="G79" s="12">
        <f>E79-F79</f>
        <v>0.33094807175405094</v>
      </c>
      <c r="H79" s="12"/>
      <c r="I79" s="12">
        <f>((((I9^2)*((I13-1)/2))+1))*I78</f>
        <v>293.59722234851012</v>
      </c>
      <c r="J79" s="12">
        <f>((((J9^2)*((J13-1)/2))+1))*J78</f>
        <v>293.59722234851012</v>
      </c>
      <c r="K79" s="12">
        <f>J79*1.8</f>
        <v>528.47500022731822</v>
      </c>
      <c r="L79" s="12">
        <v>528.14</v>
      </c>
      <c r="M79" s="12">
        <f>K79-L79</f>
        <v>0.33500022731823265</v>
      </c>
      <c r="N79" s="12"/>
    </row>
    <row r="80" spans="1:15" x14ac:dyDescent="0.25">
      <c r="B80" t="s">
        <v>83</v>
      </c>
      <c r="C80" t="s">
        <v>84</v>
      </c>
      <c r="D80" s="12">
        <f>SQRT((D13-1)*D12*D78)</f>
        <v>295.19596570046343</v>
      </c>
      <c r="E80" s="12">
        <f>CONVERT(D80,"m","ft")</f>
        <v>968.49070111700598</v>
      </c>
      <c r="F80" s="12"/>
      <c r="G80" s="31"/>
      <c r="H80" s="31"/>
      <c r="I80" s="12">
        <f>SQRT((I13-1)*I12*I78)</f>
        <v>340.43984426446633</v>
      </c>
      <c r="J80" s="12">
        <f>SQRT((J13-1)*J12*J78)</f>
        <v>340.43984426446633</v>
      </c>
      <c r="K80" s="12">
        <f>CONVERT(J80,"m","ft")</f>
        <v>1116.9286229149156</v>
      </c>
      <c r="L80" s="12"/>
      <c r="M80" s="31"/>
      <c r="N80" s="31"/>
      <c r="O80" s="37"/>
    </row>
    <row r="81" spans="1:15" x14ac:dyDescent="0.25">
      <c r="B81" t="s">
        <v>85</v>
      </c>
      <c r="C81" t="s">
        <v>84</v>
      </c>
      <c r="D81" s="12">
        <f>D9*D80</f>
        <v>590.55177074424569</v>
      </c>
      <c r="E81" s="12">
        <f>CONVERT(D81,"m","ft")</f>
        <v>1937.5058095283653</v>
      </c>
      <c r="F81" s="12"/>
      <c r="G81" s="31"/>
      <c r="H81" s="31"/>
      <c r="I81" s="12">
        <f>I9*I80</f>
        <v>104.66551744926059</v>
      </c>
      <c r="J81" s="12">
        <f>J9*J80</f>
        <v>104.66551744926059</v>
      </c>
      <c r="K81" s="12">
        <f>CONVERT(J81,"m","ft")</f>
        <v>343.39080527972635</v>
      </c>
      <c r="L81" s="12"/>
      <c r="M81" s="31"/>
      <c r="N81" s="31"/>
      <c r="O81" s="37"/>
    </row>
    <row r="82" spans="1:15" x14ac:dyDescent="0.25">
      <c r="B82" t="s">
        <v>86</v>
      </c>
      <c r="C82" t="s">
        <v>87</v>
      </c>
      <c r="D82" s="12">
        <f>((D13-1)/D13)*D12/1000</f>
        <v>0.28729899497487438</v>
      </c>
      <c r="E82" s="32">
        <f>D82*0.2388</f>
        <v>6.8607000000000001E-2</v>
      </c>
      <c r="F82" s="32">
        <v>6.8607000000000001E-2</v>
      </c>
      <c r="G82" s="31">
        <f>(E82-F82)/F82</f>
        <v>0</v>
      </c>
      <c r="H82" s="31"/>
      <c r="I82" s="12">
        <f>((I13-1)/I13)*I12/1000</f>
        <v>0.28729899497487438</v>
      </c>
      <c r="J82" s="12">
        <f>((J13-1)/J13)*J12/1000</f>
        <v>0.28729899497487438</v>
      </c>
      <c r="K82" s="32">
        <f>J82*0.2388</f>
        <v>6.8607000000000001E-2</v>
      </c>
      <c r="L82" s="32">
        <v>6.8607000000000001E-2</v>
      </c>
      <c r="M82" s="31">
        <f>(K82-L82)/L82</f>
        <v>0</v>
      </c>
      <c r="N82" s="31"/>
      <c r="O82" s="37"/>
    </row>
    <row r="83" spans="1:15" x14ac:dyDescent="0.25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</row>
    <row r="84" spans="1:15" x14ac:dyDescent="0.25">
      <c r="A84" t="s">
        <v>88</v>
      </c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</row>
    <row r="85" spans="1:15" x14ac:dyDescent="0.25">
      <c r="B85" t="s">
        <v>90</v>
      </c>
      <c r="C85" t="s">
        <v>10</v>
      </c>
      <c r="D85" s="12">
        <f>D77</f>
        <v>78.614006576467645</v>
      </c>
      <c r="E85" s="27">
        <f>CONVERT(D85*1000,"Pa","psi")</f>
        <v>11.401997667758655</v>
      </c>
      <c r="F85">
        <v>11.401999999999999</v>
      </c>
      <c r="G85" s="31">
        <f t="shared" ref="G85:G86" si="5">(E85-F85)/F85</f>
        <v>-2.0454668865546701E-7</v>
      </c>
      <c r="H85" s="31"/>
      <c r="I85" s="12">
        <f>I77</f>
        <v>107.94432018184386</v>
      </c>
      <c r="J85" s="12">
        <f>J77</f>
        <v>107.94432018184386</v>
      </c>
      <c r="K85" s="27">
        <f>CONVERT(J85*1000,"Pa","psi")</f>
        <v>15.655999999999999</v>
      </c>
      <c r="L85">
        <v>15.656000000000001</v>
      </c>
      <c r="M85" s="31">
        <f t="shared" ref="M85:M86" si="6">(K85-L85)/L85</f>
        <v>-1.1346172964999044E-16</v>
      </c>
      <c r="N85" s="31"/>
      <c r="O85" s="37"/>
    </row>
    <row r="86" spans="1:15" x14ac:dyDescent="0.25">
      <c r="B86" t="s">
        <v>91</v>
      </c>
      <c r="C86" t="s">
        <v>10</v>
      </c>
      <c r="D86" s="12">
        <f>D85*D26</f>
        <v>73.661324162150194</v>
      </c>
      <c r="E86" s="27">
        <f>CONVERT(D86*1000,"Pa","psi")</f>
        <v>10.683671814689863</v>
      </c>
      <c r="F86" s="27">
        <v>10.683999999999999</v>
      </c>
      <c r="G86" s="31">
        <f t="shared" si="5"/>
        <v>-3.0717456957756923E-5</v>
      </c>
      <c r="H86" s="31"/>
      <c r="I86" s="12">
        <f>I85*I26</f>
        <v>101.14382801038771</v>
      </c>
      <c r="J86" s="12">
        <f>J85*J26</f>
        <v>101.14382801038771</v>
      </c>
      <c r="K86" s="27">
        <f>CONVERT(J86*1000,"Pa","psi")</f>
        <v>14.669672</v>
      </c>
      <c r="L86" s="27">
        <v>14.67</v>
      </c>
      <c r="M86" s="31">
        <f t="shared" si="6"/>
        <v>-2.2358554873869249E-5</v>
      </c>
      <c r="N86" s="31"/>
      <c r="O86" s="37"/>
    </row>
    <row r="87" spans="1:15" x14ac:dyDescent="0.25">
      <c r="B87" t="s">
        <v>92</v>
      </c>
      <c r="C87" t="s">
        <v>8</v>
      </c>
      <c r="D87" s="12">
        <f>D79</f>
        <v>390.06386003986336</v>
      </c>
      <c r="E87" s="12">
        <f>D87*1.8</f>
        <v>702.11494807175404</v>
      </c>
      <c r="F87" s="12">
        <v>701.78</v>
      </c>
      <c r="G87" s="12">
        <f>E87-F87</f>
        <v>0.33494807175407004</v>
      </c>
      <c r="H87" s="12"/>
      <c r="I87" s="12">
        <f>I79</f>
        <v>293.59722234851012</v>
      </c>
      <c r="J87" s="12">
        <f>J79</f>
        <v>293.59722234851012</v>
      </c>
      <c r="K87" s="12">
        <f>J87*1.8</f>
        <v>528.47500022731822</v>
      </c>
      <c r="L87" s="12">
        <v>528.14</v>
      </c>
      <c r="M87" s="12">
        <f>K87-L87</f>
        <v>0.33500022731823265</v>
      </c>
      <c r="N87" s="12"/>
    </row>
    <row r="88" spans="1:15" x14ac:dyDescent="0.25">
      <c r="B88" t="s">
        <v>93</v>
      </c>
      <c r="C88" t="s">
        <v>8</v>
      </c>
      <c r="D88" s="12">
        <f>D87</f>
        <v>390.06386003986336</v>
      </c>
      <c r="E88" s="12">
        <f>D88*1.8</f>
        <v>702.11494807175404</v>
      </c>
      <c r="F88" s="12">
        <v>701.78</v>
      </c>
      <c r="G88" s="12">
        <f>E88-F88</f>
        <v>0.33494807175407004</v>
      </c>
      <c r="H88" s="12"/>
      <c r="I88" s="12">
        <f>I87</f>
        <v>293.59722234851012</v>
      </c>
      <c r="J88" s="12">
        <f>J87</f>
        <v>293.59722234851012</v>
      </c>
      <c r="K88" s="12">
        <f>J88*1.8</f>
        <v>528.47500022731822</v>
      </c>
      <c r="L88" s="12">
        <v>528.14</v>
      </c>
      <c r="M88" s="12">
        <f>K88-L88</f>
        <v>0.33500022731823265</v>
      </c>
      <c r="N88" s="12"/>
    </row>
    <row r="90" spans="1:15" x14ac:dyDescent="0.25">
      <c r="A90" t="s">
        <v>53</v>
      </c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</row>
    <row r="91" spans="1:15" x14ac:dyDescent="0.25">
      <c r="B91" t="s">
        <v>91</v>
      </c>
      <c r="C91" t="s">
        <v>10</v>
      </c>
      <c r="D91" s="12">
        <f>D86</f>
        <v>73.661324162150194</v>
      </c>
      <c r="E91" s="27">
        <f>CONVERT(D91*1000,"Pa","psi")</f>
        <v>10.683671814689863</v>
      </c>
      <c r="F91" s="27">
        <v>10.683999999999999</v>
      </c>
      <c r="G91" s="31">
        <f t="shared" ref="G91" si="7">(E91-F91)/F91</f>
        <v>-3.0717456957756923E-5</v>
      </c>
      <c r="H91" s="31"/>
      <c r="I91" s="12">
        <f>I86</f>
        <v>101.14382801038771</v>
      </c>
      <c r="J91" s="12">
        <f>J86</f>
        <v>101.14382801038771</v>
      </c>
      <c r="K91" s="27">
        <f>CONVERT(J91*1000,"Pa","psi")</f>
        <v>14.669672</v>
      </c>
      <c r="L91" s="27">
        <v>14.67</v>
      </c>
      <c r="M91" s="31">
        <f t="shared" ref="M91" si="8">(K91-L91)/L91</f>
        <v>-2.2358554873869249E-5</v>
      </c>
      <c r="N91" s="31"/>
      <c r="O91" s="37"/>
    </row>
    <row r="92" spans="1:15" x14ac:dyDescent="0.25">
      <c r="B92" t="s">
        <v>194</v>
      </c>
      <c r="C92" t="s">
        <v>10</v>
      </c>
      <c r="D92" s="12">
        <f>D91*D28</f>
        <v>302.01142906481579</v>
      </c>
      <c r="E92" s="27">
        <f>CONVERT(D92*1000,"Pa","psi")</f>
        <v>43.803054440228436</v>
      </c>
      <c r="F92" s="27">
        <v>43.802999999999997</v>
      </c>
      <c r="G92" s="31">
        <f>(E92-F92)/F92</f>
        <v>1.2428424637361459E-6</v>
      </c>
      <c r="H92" s="31"/>
      <c r="I92" s="12">
        <f>I91*I28</f>
        <v>576.51981965920993</v>
      </c>
      <c r="J92" s="12">
        <f>J91*J28</f>
        <v>576.51981965920993</v>
      </c>
      <c r="K92" s="27">
        <f>CONVERT(J92*1000,"Pa","psi")</f>
        <v>83.617130399999994</v>
      </c>
      <c r="L92" s="27">
        <v>68.504999999999995</v>
      </c>
      <c r="M92" s="31">
        <f>(K92-L92)/L92</f>
        <v>0.22059894022334134</v>
      </c>
      <c r="N92" s="31"/>
      <c r="O92" s="37"/>
    </row>
    <row r="93" spans="1:15" x14ac:dyDescent="0.25">
      <c r="B93" t="s">
        <v>93</v>
      </c>
      <c r="C93" t="s">
        <v>8</v>
      </c>
      <c r="D93" s="12">
        <f>D88</f>
        <v>390.06386003986336</v>
      </c>
      <c r="E93" s="12">
        <f>D93*1.8</f>
        <v>702.11494807175404</v>
      </c>
      <c r="F93" s="12">
        <v>701.78</v>
      </c>
      <c r="G93" s="12">
        <f>E93-F93</f>
        <v>0.33494807175407004</v>
      </c>
      <c r="H93" s="12"/>
      <c r="I93" s="12">
        <f>I88</f>
        <v>293.59722234851012</v>
      </c>
      <c r="J93" s="12">
        <f>J88</f>
        <v>293.59722234851012</v>
      </c>
      <c r="K93" s="12">
        <f>J93*1.8</f>
        <v>528.47500022731822</v>
      </c>
      <c r="L93" s="12">
        <v>528.14</v>
      </c>
      <c r="M93" s="12">
        <f>K93-L93</f>
        <v>0.33500022731823265</v>
      </c>
      <c r="N93" s="12"/>
    </row>
    <row r="94" spans="1:15" x14ac:dyDescent="0.25">
      <c r="B94" t="s">
        <v>195</v>
      </c>
      <c r="C94" t="s">
        <v>8</v>
      </c>
      <c r="D94" s="12">
        <f>D93*(D92/D91)^((D13-1)/(D13*D41))</f>
        <v>610.48052670676088</v>
      </c>
      <c r="E94" s="12">
        <f>D94*1.8</f>
        <v>1098.8649480721697</v>
      </c>
      <c r="F94" s="12">
        <v>1098.53</v>
      </c>
      <c r="G94" s="12">
        <f t="shared" ref="G94" si="9">E94-F94</f>
        <v>0.33494807216970912</v>
      </c>
      <c r="H94" s="12"/>
      <c r="I94" s="12">
        <f>I93*(I92/I91)^((I13-1)/(I13*I41))</f>
        <v>510.1690615359276</v>
      </c>
      <c r="J94" s="12">
        <f>J93*(J92/J91)^((J13-1)/(J13*J41))</f>
        <v>510.1690615359276</v>
      </c>
      <c r="K94" s="12">
        <f>J94*1.8</f>
        <v>918.30431076466971</v>
      </c>
      <c r="L94" s="12">
        <v>888.91</v>
      </c>
      <c r="M94" s="12">
        <f t="shared" ref="M94" si="10">K94-L94</f>
        <v>29.39431076466974</v>
      </c>
      <c r="N94" s="12"/>
    </row>
    <row r="95" spans="1:15" x14ac:dyDescent="0.25">
      <c r="B95" t="s">
        <v>103</v>
      </c>
      <c r="C95" s="7" t="s">
        <v>107</v>
      </c>
      <c r="D95" s="12">
        <f>(D68*D12*(D94-D93))/1000000</f>
        <v>29.083988858384743</v>
      </c>
      <c r="E95" s="12"/>
      <c r="F95" s="12"/>
      <c r="G95" s="31"/>
      <c r="H95" s="31"/>
      <c r="I95" s="12">
        <f ca="1">(I68*I12*(I94-I93))/1000000</f>
        <v>65.149975505874679</v>
      </c>
      <c r="J95" s="12">
        <f ca="1">(J68*J12*(J94-J93))/1000000</f>
        <v>65.117584953281721</v>
      </c>
      <c r="K95" s="12"/>
      <c r="L95" s="12"/>
      <c r="M95" s="31"/>
      <c r="N95" s="31"/>
      <c r="O95" s="37"/>
    </row>
    <row r="96" spans="1:15" x14ac:dyDescent="0.25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</row>
    <row r="97" spans="1:15" x14ac:dyDescent="0.25">
      <c r="A97" t="s">
        <v>108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</row>
    <row r="98" spans="1:15" x14ac:dyDescent="0.25">
      <c r="B98" t="s">
        <v>110</v>
      </c>
      <c r="C98" t="s">
        <v>10</v>
      </c>
      <c r="D98" s="12">
        <f>D92*D34</f>
        <v>298.99131477416762</v>
      </c>
      <c r="E98" s="27">
        <f>CONVERT(D98*1000,"Pa","psi")</f>
        <v>43.365023895826148</v>
      </c>
      <c r="F98" s="27">
        <v>43.365000000000002</v>
      </c>
      <c r="G98" s="31">
        <f t="shared" ref="G98:G99" si="11">(E98-F98)/F98</f>
        <v>5.5103945915504471E-7</v>
      </c>
      <c r="H98" s="31"/>
      <c r="I98" s="12">
        <f>I92*I34</f>
        <v>569.8124801034345</v>
      </c>
      <c r="J98" s="12">
        <f>J92*J34</f>
        <v>569.8124801034345</v>
      </c>
      <c r="K98" s="27">
        <f>CONVERT(J98*1000,"Pa","psi")</f>
        <v>82.64431304464199</v>
      </c>
      <c r="L98" s="27">
        <v>67.707999999999998</v>
      </c>
      <c r="M98" s="31">
        <f t="shared" ref="M98:M99" si="12">(K98-L98)/L98</f>
        <v>0.22059894022334128</v>
      </c>
      <c r="N98" s="31"/>
      <c r="O98" s="37"/>
    </row>
    <row r="99" spans="1:15" x14ac:dyDescent="0.25">
      <c r="B99" t="s">
        <v>111</v>
      </c>
      <c r="C99" t="s">
        <v>10</v>
      </c>
      <c r="D99" s="12">
        <f>D98*D29</f>
        <v>867.07481284508606</v>
      </c>
      <c r="E99" s="27">
        <f>CONVERT(D99*1000,"Pa","psi")</f>
        <v>125.75856929789583</v>
      </c>
      <c r="F99" s="27">
        <v>125.75700000000001</v>
      </c>
      <c r="G99" s="31">
        <f t="shared" si="11"/>
        <v>1.2478811484267664E-5</v>
      </c>
      <c r="H99" s="31"/>
      <c r="I99" s="12">
        <f>I98*I29</f>
        <v>1973.8304310782971</v>
      </c>
      <c r="J99" s="12">
        <f>J98*J29</f>
        <v>1973.8304310782971</v>
      </c>
      <c r="K99" s="27">
        <f>CONVERT(J99*1000,"Pa","psi")</f>
        <v>286.27990038663984</v>
      </c>
      <c r="L99" s="27">
        <v>234.55</v>
      </c>
      <c r="M99" s="31">
        <f t="shared" si="12"/>
        <v>0.22054956464139766</v>
      </c>
      <c r="N99" s="31"/>
      <c r="O99" s="37"/>
    </row>
    <row r="100" spans="1:15" x14ac:dyDescent="0.25">
      <c r="B100" t="s">
        <v>112</v>
      </c>
      <c r="C100" t="s">
        <v>8</v>
      </c>
      <c r="D100" s="12">
        <f>D94</f>
        <v>610.48052670676088</v>
      </c>
      <c r="E100" s="12">
        <f>D100*1.8</f>
        <v>1098.8649480721697</v>
      </c>
      <c r="F100" s="12">
        <v>1098.53</v>
      </c>
      <c r="G100" s="12">
        <f>E100-F100</f>
        <v>0.33494807216970912</v>
      </c>
      <c r="H100" s="12"/>
      <c r="I100" s="12">
        <f>I94</f>
        <v>510.1690615359276</v>
      </c>
      <c r="J100" s="12">
        <f>J94</f>
        <v>510.1690615359276</v>
      </c>
      <c r="K100" s="12">
        <f>J100*1.8</f>
        <v>918.30431076466971</v>
      </c>
      <c r="L100" s="12">
        <v>888.91</v>
      </c>
      <c r="M100" s="12">
        <f>K100-L100</f>
        <v>29.39431076466974</v>
      </c>
      <c r="N100" s="12"/>
    </row>
    <row r="101" spans="1:15" x14ac:dyDescent="0.25">
      <c r="B101" t="s">
        <v>113</v>
      </c>
      <c r="C101" t="s">
        <v>8</v>
      </c>
      <c r="D101" s="12">
        <f>D100*(D99/D98)^((D13-1)/(D13*D42))</f>
        <v>854.49719365331259</v>
      </c>
      <c r="E101" s="12">
        <f>D101*1.8</f>
        <v>1538.0949485759627</v>
      </c>
      <c r="F101" s="12">
        <v>1537.76</v>
      </c>
      <c r="G101" s="12">
        <f>E101-F101</f>
        <v>0.33494857596269867</v>
      </c>
      <c r="H101" s="12"/>
      <c r="I101" s="12">
        <f>I100*(I99/I98)^((I13-1)/(I13*I42))</f>
        <v>755.31587185741421</v>
      </c>
      <c r="J101" s="12">
        <f>J100*(J99/J98)^((J13-1)/(J13*J42))</f>
        <v>755.31587185741421</v>
      </c>
      <c r="K101" s="12">
        <f>J101*1.8</f>
        <v>1359.5685693433456</v>
      </c>
      <c r="L101" s="12">
        <v>1330.38</v>
      </c>
      <c r="M101" s="12">
        <f>K101-L101</f>
        <v>29.188569343345534</v>
      </c>
      <c r="N101" s="12"/>
    </row>
    <row r="102" spans="1:15" x14ac:dyDescent="0.25">
      <c r="B102" t="s">
        <v>114</v>
      </c>
      <c r="C102" s="7" t="s">
        <v>107</v>
      </c>
      <c r="D102" s="12">
        <f>(D68*D12*(D101-D100))/1000000</f>
        <v>32.198009932973569</v>
      </c>
      <c r="E102" s="12"/>
      <c r="F102" s="12"/>
      <c r="G102" s="31"/>
      <c r="H102" s="31"/>
      <c r="I102" s="12">
        <f ca="1">(I68*I12*(I101-I100))/1000000</f>
        <v>73.746008473275538</v>
      </c>
      <c r="J102" s="12">
        <f ca="1">(J68*J12*(J101-J100))/1000000</f>
        <v>73.70934423898494</v>
      </c>
      <c r="K102" s="12"/>
      <c r="L102" s="12"/>
      <c r="M102" s="31"/>
      <c r="N102" s="31"/>
      <c r="O102" s="37"/>
    </row>
    <row r="103" spans="1:15" x14ac:dyDescent="0.25"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</row>
    <row r="104" spans="1:15" x14ac:dyDescent="0.25">
      <c r="A104" t="s">
        <v>35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</row>
    <row r="106" spans="1:15" x14ac:dyDescent="0.25">
      <c r="B106" t="s">
        <v>115</v>
      </c>
      <c r="C106" t="s">
        <v>65</v>
      </c>
      <c r="D106" s="12">
        <f>D68</f>
        <v>131.22222222222223</v>
      </c>
      <c r="E106" s="12">
        <f>D106*2.205</f>
        <v>289.34500000000003</v>
      </c>
      <c r="F106">
        <v>289.34500000000003</v>
      </c>
      <c r="G106" s="31">
        <f>(E106-F106)/F106</f>
        <v>0</v>
      </c>
      <c r="H106" s="31"/>
      <c r="I106" s="12">
        <f ca="1">I68</f>
        <v>299.16454392063309</v>
      </c>
      <c r="J106" s="12">
        <f ca="1">J68</f>
        <v>299.01580856319708</v>
      </c>
      <c r="K106" s="12">
        <f ca="1">J106*2.205</f>
        <v>659.32985788184953</v>
      </c>
      <c r="L106">
        <v>542.65099999999995</v>
      </c>
      <c r="M106" s="31">
        <f ca="1">(K106-L106)/L106</f>
        <v>0.21501638784752924</v>
      </c>
      <c r="N106" s="31"/>
      <c r="O106" s="37"/>
    </row>
    <row r="107" spans="1:15" x14ac:dyDescent="0.25">
      <c r="B107" t="s">
        <v>116</v>
      </c>
      <c r="C107" t="s">
        <v>65</v>
      </c>
      <c r="D107" s="12">
        <f>D106*(1-D55)</f>
        <v>116.7877551020408</v>
      </c>
      <c r="E107" s="12">
        <f>D107*2.205</f>
        <v>257.517</v>
      </c>
      <c r="F107" s="12">
        <v>257.517</v>
      </c>
      <c r="G107" s="31">
        <f>(E107-F107)/F107</f>
        <v>0</v>
      </c>
      <c r="H107" s="31"/>
      <c r="I107" s="12">
        <f ca="1">I106*(1-I55)</f>
        <v>266.25639239250603</v>
      </c>
      <c r="J107" s="12">
        <f ca="1">J106*(1-J55)</f>
        <v>266.12401795009009</v>
      </c>
      <c r="K107" s="12">
        <f ca="1">J107*2.205</f>
        <v>586.80345957994871</v>
      </c>
      <c r="L107" s="12">
        <v>482.959</v>
      </c>
      <c r="M107" s="31">
        <f ca="1">(K107-L107)/L107</f>
        <v>0.21501713308986622</v>
      </c>
      <c r="N107" s="31"/>
      <c r="O107" s="37"/>
    </row>
    <row r="108" spans="1:15" x14ac:dyDescent="0.25">
      <c r="B108" t="s">
        <v>117</v>
      </c>
      <c r="C108" t="s">
        <v>30</v>
      </c>
      <c r="D108" s="32">
        <f>D109/D107</f>
        <v>1.4722147339686863E-2</v>
      </c>
      <c r="E108" s="30"/>
      <c r="F108" s="32">
        <f>F109/F107</f>
        <v>1.4395166144371026E-2</v>
      </c>
      <c r="G108" s="31">
        <f>(D108-F108)/F108</f>
        <v>2.2714652407377533E-2</v>
      </c>
      <c r="H108" s="31"/>
      <c r="I108" s="32">
        <f ca="1">I109/I107</f>
        <v>1.7195850731401997E-2</v>
      </c>
      <c r="J108" s="32">
        <f ca="1">J109/J107</f>
        <v>1.7195850731401997E-2</v>
      </c>
      <c r="K108" s="30"/>
      <c r="L108" s="32">
        <f>L109/L107</f>
        <v>1.7601908236516924E-2</v>
      </c>
      <c r="M108" s="31">
        <f ca="1">(J108-L108)/L108</f>
        <v>-2.3068947960569405E-2</v>
      </c>
      <c r="N108" s="31"/>
      <c r="O108" s="37"/>
    </row>
    <row r="109" spans="1:15" x14ac:dyDescent="0.25">
      <c r="B109" t="s">
        <v>118</v>
      </c>
      <c r="C109" t="s">
        <v>65</v>
      </c>
      <c r="D109" s="38">
        <f>((D107*(D14*D112-D12*D101))/((D43*D18*1000)-(D14*D112)))</f>
        <v>1.719366538083511</v>
      </c>
      <c r="E109" s="12">
        <f>D109*2.205</f>
        <v>3.791203216474142</v>
      </c>
      <c r="F109" s="12">
        <f>261.224-F107</f>
        <v>3.7069999999999936</v>
      </c>
      <c r="G109" s="31">
        <f t="shared" ref="G109:G110" si="13">(E109-F109)/F109</f>
        <v>2.2714652407377543E-2</v>
      </c>
      <c r="H109" s="31"/>
      <c r="I109" s="38">
        <f ca="1">((I107*(I14*I112-I12*I101))/((I43*I18*1000)-(I14*I112)))</f>
        <v>4.5785051798631322</v>
      </c>
      <c r="J109" s="38">
        <f ca="1">((J107*(J14*J112-J12*J101))/((J43*J18*1000)-(J14*J112)))</f>
        <v>4.5762288887106948</v>
      </c>
      <c r="K109" s="12">
        <f ca="1">J109*2.205</f>
        <v>10.090584699607083</v>
      </c>
      <c r="L109" s="12">
        <f>491.46-L107</f>
        <v>8.5009999999999764</v>
      </c>
      <c r="M109" s="31">
        <f t="shared" ref="M109:M110" ca="1" si="14">(K109-L109)/L109</f>
        <v>0.18698796607541598</v>
      </c>
      <c r="N109" s="37"/>
      <c r="O109" s="37"/>
    </row>
    <row r="110" spans="1:15" x14ac:dyDescent="0.25">
      <c r="B110" t="s">
        <v>119</v>
      </c>
      <c r="C110" t="s">
        <v>65</v>
      </c>
      <c r="D110" s="12">
        <f>D107+D109</f>
        <v>118.50712164012431</v>
      </c>
      <c r="E110" s="12">
        <f>D110*2.205</f>
        <v>261.30820321647411</v>
      </c>
      <c r="F110" s="12">
        <f>F107+F109</f>
        <v>261.22399999999999</v>
      </c>
      <c r="G110" s="31">
        <f t="shared" si="13"/>
        <v>3.2234104245445539E-4</v>
      </c>
      <c r="H110" s="31"/>
      <c r="I110" s="12">
        <f ca="1">I107+I109</f>
        <v>270.83489757236919</v>
      </c>
      <c r="J110" s="12">
        <f ca="1">J107+J109</f>
        <v>270.70024683880081</v>
      </c>
      <c r="K110" s="12">
        <f ca="1">J110*2.205</f>
        <v>596.89404427955583</v>
      </c>
      <c r="L110" s="12">
        <v>491.46</v>
      </c>
      <c r="M110" s="31">
        <f t="shared" ca="1" si="14"/>
        <v>0.21453230024733622</v>
      </c>
      <c r="N110" s="31"/>
      <c r="O110" s="37"/>
    </row>
    <row r="111" spans="1:15" x14ac:dyDescent="0.25">
      <c r="B111" t="s">
        <v>120</v>
      </c>
      <c r="C111" t="s">
        <v>10</v>
      </c>
      <c r="D111" s="12">
        <f>D99*D30</f>
        <v>832.39182033128259</v>
      </c>
      <c r="E111" s="27">
        <f>CONVERT(D111*1000,"Pa","psi")</f>
        <v>120.72822652597999</v>
      </c>
      <c r="F111" s="27">
        <v>120.727</v>
      </c>
      <c r="G111" s="31">
        <f>(E111-F111)/F111</f>
        <v>1.015950019455063E-5</v>
      </c>
      <c r="H111" s="31"/>
      <c r="I111" s="12">
        <f>I99*I30</f>
        <v>1904.7653006248349</v>
      </c>
      <c r="J111" s="12">
        <f>J99*J30</f>
        <v>1904.7653006248349</v>
      </c>
      <c r="K111" s="27">
        <f>CONVERT(J111*1000,"Pa","psi")</f>
        <v>276.26285010962789</v>
      </c>
      <c r="L111" s="27">
        <v>226.34299999999999</v>
      </c>
      <c r="M111" s="31">
        <f>(K111-L111)/L111</f>
        <v>0.2205495646413978</v>
      </c>
      <c r="N111" s="31"/>
      <c r="O111" s="37"/>
    </row>
    <row r="112" spans="1:15" x14ac:dyDescent="0.25">
      <c r="B112" t="s">
        <v>121</v>
      </c>
      <c r="D112" s="12">
        <f>D62</f>
        <v>1350</v>
      </c>
      <c r="E112" s="12">
        <f>D112*1.8</f>
        <v>2430</v>
      </c>
      <c r="F112" s="12">
        <v>2430</v>
      </c>
      <c r="G112" s="12">
        <f>(E112-F112)</f>
        <v>0</v>
      </c>
      <c r="H112" s="12"/>
      <c r="I112" s="12">
        <f>I62</f>
        <v>1352.1000000000001</v>
      </c>
      <c r="J112" s="12">
        <f>J62</f>
        <v>1352.1000000000001</v>
      </c>
      <c r="K112" s="12">
        <f>J112*1.8</f>
        <v>2433.7800000000002</v>
      </c>
      <c r="L112" s="12">
        <v>2433.7800000000002</v>
      </c>
      <c r="M112" s="12">
        <f>(K112-L112)</f>
        <v>0</v>
      </c>
      <c r="N112" s="12"/>
    </row>
    <row r="113" spans="1:15" x14ac:dyDescent="0.25">
      <c r="B113" t="s">
        <v>122</v>
      </c>
      <c r="C113" t="s">
        <v>107</v>
      </c>
      <c r="D113" s="12">
        <f>(D110*D119*D14-D106*D101*D12)/1000000</f>
        <v>58.143702732295068</v>
      </c>
      <c r="E113" s="12"/>
      <c r="F113" s="12"/>
      <c r="G113" s="12"/>
      <c r="H113" s="12"/>
      <c r="I113" s="12">
        <f ca="1">(I110*I119*I14-I106*I101*I12)/1000000</f>
        <v>162.87270556398647</v>
      </c>
      <c r="J113" s="12">
        <f ca="1">(J110*J119*J14-J106*J101*J12)/1000000</f>
        <v>162.79173029278249</v>
      </c>
      <c r="K113" s="12"/>
      <c r="L113" s="12"/>
      <c r="M113" s="12"/>
      <c r="N113" s="12"/>
    </row>
    <row r="114" spans="1:15" s="42" customFormat="1" x14ac:dyDescent="0.25">
      <c r="B114" s="42" t="s">
        <v>123</v>
      </c>
      <c r="D114" s="48">
        <f>D110*(SQRT(D112)/D111)</f>
        <v>5.2309856695020249</v>
      </c>
      <c r="E114" s="43"/>
      <c r="F114" s="43"/>
      <c r="G114" s="43"/>
      <c r="H114" s="43"/>
      <c r="I114" s="48">
        <f ca="1">I110*(SQRT(I112)/I111)</f>
        <v>5.2283849852327613</v>
      </c>
      <c r="J114" s="48">
        <f ca="1">J110*(SQRT(J112)/J111)</f>
        <v>5.2257855939432716</v>
      </c>
      <c r="K114" s="43"/>
      <c r="L114" s="43"/>
      <c r="M114" s="43"/>
      <c r="N114" s="43"/>
      <c r="O114" s="44"/>
    </row>
    <row r="115" spans="1:15" x14ac:dyDescent="0.25">
      <c r="B115" s="4" t="s">
        <v>124</v>
      </c>
      <c r="C115" t="s">
        <v>54</v>
      </c>
      <c r="D115" s="12"/>
      <c r="E115" s="12"/>
      <c r="F115" s="12"/>
      <c r="G115" s="12"/>
      <c r="H115" s="12"/>
      <c r="I115" s="34">
        <f ca="1">(I114-D114)/D114</f>
        <v>-4.9716906785393828E-4</v>
      </c>
      <c r="J115" s="34">
        <f ca="1">(J114-D114)/D114</f>
        <v>-9.9409095862584927E-4</v>
      </c>
      <c r="K115" s="12"/>
      <c r="L115" s="12"/>
      <c r="M115" s="12"/>
      <c r="N115" s="12"/>
    </row>
    <row r="116" spans="1:15" x14ac:dyDescent="0.25">
      <c r="B116" s="4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</row>
    <row r="117" spans="1:15" x14ac:dyDescent="0.25">
      <c r="A117" t="s">
        <v>125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</row>
    <row r="118" spans="1:15" x14ac:dyDescent="0.25">
      <c r="B118" s="4" t="s">
        <v>126</v>
      </c>
      <c r="C118" t="s">
        <v>65</v>
      </c>
      <c r="D118" s="12">
        <f>D110*(1+D56)</f>
        <v>124.43278489986379</v>
      </c>
      <c r="E118" s="12">
        <f>D118*2.205</f>
        <v>274.37429070419967</v>
      </c>
      <c r="F118" s="12">
        <v>275.69200000000001</v>
      </c>
      <c r="G118" s="31">
        <f t="shared" ref="G118" si="15">(E118-F118)/F118</f>
        <v>-4.7796428470914688E-3</v>
      </c>
      <c r="H118" s="31"/>
      <c r="I118" s="12">
        <f ca="1">I110*(1+I56)</f>
        <v>283.69432696727068</v>
      </c>
      <c r="J118" s="12">
        <f ca="1">J110*(1+J56)</f>
        <v>283.55328292317688</v>
      </c>
      <c r="K118" s="12">
        <f ca="1">J118*2.205</f>
        <v>625.23498884560502</v>
      </c>
      <c r="L118" s="12">
        <v>518.59199999999998</v>
      </c>
      <c r="M118" s="31">
        <f t="shared" ref="M118" ca="1" si="16">(K118-L118)/L118</f>
        <v>0.20563947929317272</v>
      </c>
      <c r="N118" s="31"/>
      <c r="O118" s="37"/>
    </row>
    <row r="119" spans="1:15" x14ac:dyDescent="0.25">
      <c r="B119" t="s">
        <v>128</v>
      </c>
      <c r="C119" t="s">
        <v>8</v>
      </c>
      <c r="D119" s="12">
        <f>((D110*D14*D112)+((D64*D56)*D12*D101))/(D118*D14)</f>
        <v>1327.4173839885466</v>
      </c>
      <c r="E119" s="12">
        <f>D119*1.8</f>
        <v>2389.3512911793841</v>
      </c>
      <c r="F119" s="12">
        <v>2385.73</v>
      </c>
      <c r="G119" s="12">
        <f t="shared" ref="G119:G121" si="17">E119-F119</f>
        <v>3.6212911793841158</v>
      </c>
      <c r="H119" s="12"/>
      <c r="I119" s="12">
        <f ca="1">((I110*I14*I112)+((I64*I56)*I12*I101))/(I118*I14)</f>
        <v>1325.8164357195119</v>
      </c>
      <c r="J119" s="12">
        <f ca="1">((J110*J14*J112)+((J64*J56)*J12*J101))/(J118*J14)</f>
        <v>1325.8164357195121</v>
      </c>
      <c r="K119" s="12">
        <f ca="1">J119*1.8</f>
        <v>2386.4695842951219</v>
      </c>
      <c r="L119" s="12">
        <v>2380</v>
      </c>
      <c r="M119" s="12">
        <f t="shared" ref="M119:M121" ca="1" si="18">K119-L119</f>
        <v>6.4695842951218765</v>
      </c>
      <c r="N119" s="12"/>
    </row>
    <row r="120" spans="1:15" x14ac:dyDescent="0.25">
      <c r="B120" t="s">
        <v>129</v>
      </c>
      <c r="C120" t="s">
        <v>8</v>
      </c>
      <c r="D120" s="12">
        <f>D119-((D102*1000000)/(D47*D118*D14))</f>
        <v>1085.3576191550851</v>
      </c>
      <c r="E120" s="12">
        <f>D120*1.8</f>
        <v>1953.6437144791532</v>
      </c>
      <c r="F120" s="12">
        <v>1965.47</v>
      </c>
      <c r="G120" s="12">
        <f t="shared" si="17"/>
        <v>-11.826285520846795</v>
      </c>
      <c r="H120" s="12"/>
      <c r="I120" s="12">
        <f ca="1">I119-((I102*1000000)/(I47*I118*I14))</f>
        <v>1082.6429244699216</v>
      </c>
      <c r="J120" s="12">
        <f ca="1">J119-((J102*1000000)/(J47*J118*J14))</f>
        <v>1082.6429244699216</v>
      </c>
      <c r="K120" s="12">
        <f ca="1">J120*1.8</f>
        <v>1948.7572640458588</v>
      </c>
      <c r="L120" s="12">
        <v>1971.83</v>
      </c>
      <c r="M120" s="12">
        <f t="shared" ca="1" si="18"/>
        <v>-23.072735954141081</v>
      </c>
      <c r="N120" s="12"/>
    </row>
    <row r="121" spans="1:15" x14ac:dyDescent="0.25">
      <c r="B121" t="s">
        <v>130</v>
      </c>
      <c r="C121" t="s">
        <v>8</v>
      </c>
      <c r="D121" s="12">
        <f>((D118*D14*D120)+((D64*D57)*D12*D101))/(D130*D14)</f>
        <v>1071.1350235085697</v>
      </c>
      <c r="E121" s="12">
        <f>D121*1.8</f>
        <v>1928.0430423154255</v>
      </c>
      <c r="F121" s="12">
        <v>1944.88</v>
      </c>
      <c r="G121" s="12">
        <f t="shared" si="17"/>
        <v>-16.8369576845746</v>
      </c>
      <c r="H121" s="12"/>
      <c r="I121" s="12">
        <f ca="1">((I118*I14*I120)+((I64*I57)*I12*I101))/(I130*I14)</f>
        <v>1062.3196294913673</v>
      </c>
      <c r="J121" s="12">
        <f ca="1">((J118*J14*J120)+((J64*J57)*J12*J101))/(J130*J14)</f>
        <v>1062.3196294913676</v>
      </c>
      <c r="K121" s="12">
        <f ca="1">J121*1.8</f>
        <v>1912.1753330844617</v>
      </c>
      <c r="L121" s="12">
        <v>1941.49</v>
      </c>
      <c r="M121" s="12">
        <f t="shared" ca="1" si="18"/>
        <v>-29.314666915538282</v>
      </c>
      <c r="N121" s="12"/>
    </row>
    <row r="122" spans="1:15" x14ac:dyDescent="0.25">
      <c r="B122" t="s">
        <v>131</v>
      </c>
      <c r="C122" t="s">
        <v>10</v>
      </c>
      <c r="D122" s="12">
        <f>D111</f>
        <v>832.39182033128259</v>
      </c>
      <c r="E122" s="27">
        <f>CONVERT(D122*1000,"Pa","psi")</f>
        <v>120.72822652597999</v>
      </c>
      <c r="F122" s="27">
        <v>120.727</v>
      </c>
      <c r="G122" s="31">
        <f t="shared" ref="G122:G124" si="19">(E122-F122)/F122</f>
        <v>1.015950019455063E-5</v>
      </c>
      <c r="H122" s="31"/>
      <c r="I122" s="12">
        <f>I111</f>
        <v>1904.7653006248349</v>
      </c>
      <c r="J122" s="12">
        <f>J111</f>
        <v>1904.7653006248349</v>
      </c>
      <c r="K122" s="27">
        <f>CONVERT(J122*1000,"Pa","psi")</f>
        <v>276.26285010962789</v>
      </c>
      <c r="L122" s="27">
        <v>226.34299999999999</v>
      </c>
      <c r="M122" s="31">
        <f t="shared" ref="M122:M124" si="20">(K122-L122)/L122</f>
        <v>0.2205495646413978</v>
      </c>
      <c r="N122" s="37"/>
      <c r="O122" s="37"/>
    </row>
    <row r="123" spans="1:15" x14ac:dyDescent="0.25">
      <c r="B123" t="s">
        <v>132</v>
      </c>
      <c r="C123" t="s">
        <v>10</v>
      </c>
      <c r="D123" s="12">
        <f>D122*((D120/D119)^(D15/((D15-1)*D45)))</f>
        <v>335.23377996046611</v>
      </c>
      <c r="E123" s="12">
        <f>CONVERT(D123*1000,"Pa","psi")</f>
        <v>48.621549056212743</v>
      </c>
      <c r="F123" s="12">
        <v>47.933999999999997</v>
      </c>
      <c r="G123" s="31">
        <f t="shared" si="19"/>
        <v>1.4343661205256089E-2</v>
      </c>
      <c r="H123" s="31"/>
      <c r="I123" s="12">
        <f ca="1">I122*((I120/I119)^(I15/((I15-1)*I45)))</f>
        <v>762.63336290855625</v>
      </c>
      <c r="J123" s="12">
        <f ca="1">J122*((J120/J119)^(J15/((J15-1)*J45)))</f>
        <v>762.6333629085558</v>
      </c>
      <c r="K123" s="12">
        <f ca="1">CONVERT(J123*1000,"Pa","psi")</f>
        <v>110.61061767383858</v>
      </c>
      <c r="L123" s="12">
        <v>90.759</v>
      </c>
      <c r="M123" s="31">
        <f t="shared" ca="1" si="20"/>
        <v>0.21872891585229648</v>
      </c>
      <c r="N123" s="31"/>
      <c r="O123" s="37"/>
    </row>
    <row r="124" spans="1:15" x14ac:dyDescent="0.25">
      <c r="B124" t="s">
        <v>133</v>
      </c>
      <c r="C124" t="s">
        <v>10</v>
      </c>
      <c r="D124" s="12">
        <f>D123</f>
        <v>335.23377996046611</v>
      </c>
      <c r="E124" s="12">
        <f>CONVERT(D124*1000,"Pa","psi")</f>
        <v>48.621549056212743</v>
      </c>
      <c r="F124" s="12">
        <v>47.933999999999997</v>
      </c>
      <c r="G124" s="31">
        <f t="shared" si="19"/>
        <v>1.4343661205256089E-2</v>
      </c>
      <c r="H124" s="31"/>
      <c r="I124" s="12">
        <f ca="1">I123</f>
        <v>762.63336290855625</v>
      </c>
      <c r="J124" s="12">
        <f ca="1">J123</f>
        <v>762.6333629085558</v>
      </c>
      <c r="K124" s="12">
        <f ca="1">CONVERT(J124*1000,"Pa","psi")</f>
        <v>110.61061767383858</v>
      </c>
      <c r="L124" s="12">
        <v>90.759</v>
      </c>
      <c r="M124" s="31">
        <f t="shared" ca="1" si="20"/>
        <v>0.21872891585229648</v>
      </c>
      <c r="N124" s="31"/>
      <c r="O124" s="37"/>
    </row>
    <row r="125" spans="1:15" x14ac:dyDescent="0.25">
      <c r="B125" t="s">
        <v>134</v>
      </c>
      <c r="C125" s="7" t="s">
        <v>107</v>
      </c>
      <c r="D125" s="12">
        <f>(D118*D14*(D119-D120))/1000000</f>
        <v>32.721554809932513</v>
      </c>
      <c r="E125" s="12"/>
      <c r="F125" s="12"/>
      <c r="G125" s="37"/>
      <c r="H125" s="31"/>
      <c r="I125" s="12">
        <f ca="1">(I118*I14*(I119-I120))/1000000</f>
        <v>74.945130562271856</v>
      </c>
      <c r="J125" s="12">
        <f ca="1">(J118*J14*(J119-J120))/1000000</f>
        <v>74.907870161570088</v>
      </c>
      <c r="K125" s="12"/>
      <c r="L125" s="12"/>
      <c r="M125" s="31"/>
      <c r="N125" s="31"/>
      <c r="O125" s="37"/>
    </row>
    <row r="126" spans="1:15" s="42" customFormat="1" x14ac:dyDescent="0.25">
      <c r="B126" s="42" t="s">
        <v>135</v>
      </c>
      <c r="D126" s="43">
        <f>D118*(SQRT(D120)/D124)</f>
        <v>12.228508132683835</v>
      </c>
      <c r="E126" s="43"/>
      <c r="F126" s="43"/>
      <c r="G126" s="43"/>
      <c r="H126" s="43"/>
      <c r="I126" s="43">
        <f ca="1">I118*(SQRT(I120)/I124)</f>
        <v>12.239888788833426</v>
      </c>
      <c r="J126" s="43">
        <f ca="1">J118*(SQRT(J120)/J124)</f>
        <v>12.233803494733651</v>
      </c>
      <c r="K126" s="43"/>
      <c r="L126" s="43"/>
      <c r="M126" s="43"/>
      <c r="N126" s="43"/>
      <c r="O126" s="44"/>
    </row>
    <row r="127" spans="1:15" x14ac:dyDescent="0.25">
      <c r="B127" s="4" t="s">
        <v>124</v>
      </c>
      <c r="C127" t="s">
        <v>54</v>
      </c>
      <c r="D127" s="12"/>
      <c r="E127" s="12"/>
      <c r="F127" s="12"/>
      <c r="G127" s="12"/>
      <c r="H127" s="12"/>
      <c r="I127" s="34">
        <f ca="1">(I126-D126)/D126</f>
        <v>9.3066595091619345E-4</v>
      </c>
      <c r="J127" s="34">
        <f ca="1">(J126-D126)/D126</f>
        <v>4.3303418473942531E-4</v>
      </c>
      <c r="K127" s="12"/>
      <c r="L127" s="12"/>
      <c r="M127" s="12"/>
      <c r="N127" s="12"/>
    </row>
    <row r="128" spans="1:15" x14ac:dyDescent="0.25">
      <c r="B128" s="4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</row>
    <row r="129" spans="1:16" x14ac:dyDescent="0.25">
      <c r="A129" t="s">
        <v>58</v>
      </c>
      <c r="B129" s="4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</row>
    <row r="130" spans="1:16" x14ac:dyDescent="0.25">
      <c r="B130" s="4" t="s">
        <v>136</v>
      </c>
      <c r="C130" t="s">
        <v>65</v>
      </c>
      <c r="D130" s="12">
        <f>D118*(1+D57)</f>
        <v>131.89845095893389</v>
      </c>
      <c r="E130" s="12">
        <f>D130*2.205</f>
        <v>290.83608436444922</v>
      </c>
      <c r="F130" s="12">
        <v>290.15899999999999</v>
      </c>
      <c r="G130" s="31">
        <f t="shared" ref="G130" si="21">(E130-F130)/F130</f>
        <v>2.3334942719310061E-3</v>
      </c>
      <c r="H130" s="12"/>
      <c r="I130" s="12">
        <f ca="1">I118*(1+I57)</f>
        <v>301.4307479065148</v>
      </c>
      <c r="J130" s="12">
        <f ca="1">J118*(1+J57)</f>
        <v>301.28088586255558</v>
      </c>
      <c r="K130" s="12">
        <f ca="1">J130*2.205</f>
        <v>664.32435332693512</v>
      </c>
      <c r="L130" s="12">
        <v>545.72500000000002</v>
      </c>
      <c r="M130" s="31">
        <f t="shared" ref="M130" ca="1" si="22">(K130-L130)/L130</f>
        <v>0.21732439108879947</v>
      </c>
      <c r="N130" s="12"/>
    </row>
    <row r="131" spans="1:16" x14ac:dyDescent="0.25">
      <c r="B131" t="s">
        <v>138</v>
      </c>
      <c r="C131" t="s">
        <v>8</v>
      </c>
      <c r="D131" s="12">
        <f>D121</f>
        <v>1071.1350235085697</v>
      </c>
      <c r="E131" s="12">
        <f>D131*1.8</f>
        <v>1928.0430423154255</v>
      </c>
      <c r="F131" s="12">
        <v>1944.88</v>
      </c>
      <c r="G131" s="12">
        <f>E131-F131</f>
        <v>-16.8369576845746</v>
      </c>
      <c r="H131" s="12"/>
      <c r="I131" s="12">
        <f ca="1">I121</f>
        <v>1062.3196294913673</v>
      </c>
      <c r="J131" s="12">
        <f ca="1">J121</f>
        <v>1062.3196294913676</v>
      </c>
      <c r="K131" s="12">
        <f ca="1">J131*1.8</f>
        <v>1912.1753330844617</v>
      </c>
      <c r="L131" s="12">
        <v>1941.49</v>
      </c>
      <c r="M131" s="12">
        <f ca="1">K131-L131</f>
        <v>-29.314666915538282</v>
      </c>
      <c r="N131" s="12"/>
    </row>
    <row r="132" spans="1:16" x14ac:dyDescent="0.25">
      <c r="B132" t="s">
        <v>139</v>
      </c>
      <c r="C132" t="s">
        <v>8</v>
      </c>
      <c r="D132" s="12">
        <f>D131-(D95*1000000)/(D48*D130*D14)</f>
        <v>864.86188690974848</v>
      </c>
      <c r="E132" s="12">
        <f>D132*1.8</f>
        <v>1556.7513964375473</v>
      </c>
      <c r="F132" s="12">
        <v>1589.72</v>
      </c>
      <c r="G132" s="12">
        <f>E132-F132</f>
        <v>-32.968603562452699</v>
      </c>
      <c r="H132" s="12"/>
      <c r="I132" s="12">
        <f ca="1">I131-(I95*1000000)/(I48*I130*I14)</f>
        <v>860.13175640555346</v>
      </c>
      <c r="J132" s="12">
        <f ca="1">J131-(J95*1000000)/(J48*J130*J14)</f>
        <v>860.13175640555369</v>
      </c>
      <c r="K132" s="12">
        <f ca="1">J132*1.8</f>
        <v>1548.2371615299967</v>
      </c>
      <c r="L132" s="12">
        <v>1626.84</v>
      </c>
      <c r="M132" s="12">
        <f ca="1">K132-L132</f>
        <v>-78.602838470003235</v>
      </c>
      <c r="N132" s="12"/>
    </row>
    <row r="133" spans="1:16" x14ac:dyDescent="0.25">
      <c r="B133" t="s">
        <v>140</v>
      </c>
      <c r="C133" t="s">
        <v>10</v>
      </c>
      <c r="D133" s="12">
        <f>D124*D35</f>
        <v>328.52910436125677</v>
      </c>
      <c r="E133" s="27">
        <f>CONVERT(D133*1000,"Pa","psi")</f>
        <v>47.649118075088488</v>
      </c>
      <c r="F133" s="27">
        <v>46.975999999999999</v>
      </c>
      <c r="G133" s="31">
        <f t="shared" ref="G133:G134" si="23">(E133-F133)/F133</f>
        <v>1.4328978097081252E-2</v>
      </c>
      <c r="H133" s="31"/>
      <c r="I133" s="12">
        <f ca="1">I124*I35</f>
        <v>747.38069565038506</v>
      </c>
      <c r="J133" s="12">
        <f ca="1">J124*J35</f>
        <v>747.38069565038472</v>
      </c>
      <c r="K133" s="27">
        <f ca="1">CONVERT(J133*1000,"Pa","psi")</f>
        <v>108.39840532036182</v>
      </c>
      <c r="L133" s="27">
        <v>88.971000000000004</v>
      </c>
      <c r="M133" s="31">
        <f t="shared" ref="M133:M134" ca="1" si="24">(K133-L133)/L133</f>
        <v>0.21835660294210263</v>
      </c>
      <c r="N133" s="31"/>
      <c r="O133" s="37"/>
    </row>
    <row r="134" spans="1:16" x14ac:dyDescent="0.25">
      <c r="B134" t="s">
        <v>141</v>
      </c>
      <c r="C134" t="s">
        <v>10</v>
      </c>
      <c r="D134" s="12">
        <f>D133*((D132/D131)^(D15/((D15-1)*D46)))</f>
        <v>132.17926914727013</v>
      </c>
      <c r="E134" s="27">
        <f>CONVERT(D134*1000,"Pa","psi")</f>
        <v>19.170982171952499</v>
      </c>
      <c r="F134" s="27">
        <v>18.8</v>
      </c>
      <c r="G134" s="31">
        <f t="shared" si="23"/>
        <v>1.9733094252792453E-2</v>
      </c>
      <c r="H134" s="31"/>
      <c r="I134" s="12">
        <f ca="1">I133*((I132/I131)^(I15/((I15-1)*I46)))</f>
        <v>304.27752748639813</v>
      </c>
      <c r="J134" s="12">
        <f ca="1">J133*((J132/J131)^(J15/((J15-1)*J46)))</f>
        <v>304.27752748639801</v>
      </c>
      <c r="K134" s="27">
        <f ca="1">CONVERT(J134*1000,"Pa","psi")</f>
        <v>44.131724228768718</v>
      </c>
      <c r="L134" s="27">
        <v>39.781999999999996</v>
      </c>
      <c r="M134" s="31">
        <f t="shared" ca="1" si="24"/>
        <v>0.10933900328713292</v>
      </c>
      <c r="N134" s="31"/>
      <c r="O134" s="37"/>
    </row>
    <row r="135" spans="1:16" x14ac:dyDescent="0.25">
      <c r="B135" t="s">
        <v>134</v>
      </c>
      <c r="C135" s="7" t="s">
        <v>107</v>
      </c>
      <c r="D135" s="12">
        <f>(D130*D14*(D131-D132))/1000000</f>
        <v>29.556899246325958</v>
      </c>
      <c r="E135" s="27"/>
      <c r="F135" s="12"/>
      <c r="G135" s="37"/>
      <c r="H135" s="31"/>
      <c r="I135" s="12">
        <f ca="1">(I110*I14*(I131-I132))/1000000</f>
        <v>59.488939991342114</v>
      </c>
      <c r="J135" s="12">
        <f ca="1">(J110*J14*(J131-J132))/1000000</f>
        <v>59.459363930499002</v>
      </c>
      <c r="K135" s="12"/>
      <c r="L135" s="12"/>
      <c r="M135" s="31"/>
      <c r="N135" s="31"/>
      <c r="O135" s="37"/>
    </row>
    <row r="136" spans="1:16" s="42" customFormat="1" x14ac:dyDescent="0.25">
      <c r="B136" s="42" t="s">
        <v>142</v>
      </c>
      <c r="D136" s="43">
        <f>D140*SQRT(D132)/D134</f>
        <v>29.346055080856654</v>
      </c>
      <c r="E136" s="43"/>
      <c r="F136" s="43"/>
      <c r="G136" s="43"/>
      <c r="H136" s="43"/>
      <c r="I136" s="43">
        <f t="shared" ref="I136:J136" ca="1" si="25">I140*SQRT(I132)/I134</f>
        <v>29.053614092425487</v>
      </c>
      <c r="J136" s="43">
        <f t="shared" ca="1" si="25"/>
        <v>29.03916953418938</v>
      </c>
      <c r="K136" s="43"/>
      <c r="L136" s="43"/>
      <c r="M136" s="43"/>
      <c r="N136" s="43"/>
      <c r="O136" s="44"/>
    </row>
    <row r="137" spans="1:16" x14ac:dyDescent="0.25">
      <c r="B137" s="4" t="s">
        <v>124</v>
      </c>
      <c r="D137" s="12"/>
      <c r="E137" s="12"/>
      <c r="F137" s="12"/>
      <c r="G137" s="12"/>
      <c r="H137" s="12"/>
      <c r="I137" s="34">
        <f ca="1">(I136-D136)/D136</f>
        <v>-9.9652572594650223E-3</v>
      </c>
      <c r="J137" s="34">
        <f ca="1">(J136-D136)/D136</f>
        <v>-1.0457471909655939E-2</v>
      </c>
      <c r="K137" s="12"/>
      <c r="L137" s="12"/>
      <c r="M137" s="12"/>
      <c r="N137" s="12"/>
    </row>
    <row r="138" spans="1:16" x14ac:dyDescent="0.25">
      <c r="B138" s="4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</row>
    <row r="139" spans="1:16" x14ac:dyDescent="0.25">
      <c r="A139" t="s">
        <v>36</v>
      </c>
      <c r="B139" s="4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</row>
    <row r="140" spans="1:16" x14ac:dyDescent="0.25">
      <c r="B140" t="s">
        <v>137</v>
      </c>
      <c r="C140" t="s">
        <v>65</v>
      </c>
      <c r="D140" s="12">
        <f>D130</f>
        <v>131.89845095893389</v>
      </c>
      <c r="E140" s="12">
        <f>D140*2.205</f>
        <v>290.83608436444922</v>
      </c>
      <c r="F140" s="12">
        <v>290.15899999999999</v>
      </c>
      <c r="G140" s="31">
        <f t="shared" ref="G140" si="26">(E140-F140)/F140</f>
        <v>2.3334942719310061E-3</v>
      </c>
      <c r="H140" s="31"/>
      <c r="I140" s="12">
        <f ca="1">I130</f>
        <v>301.4307479065148</v>
      </c>
      <c r="J140" s="12">
        <f ca="1">J130</f>
        <v>301.28088586255558</v>
      </c>
      <c r="K140" s="12">
        <f ca="1">J140*2.205</f>
        <v>664.32435332693512</v>
      </c>
      <c r="L140" s="12">
        <v>545.72500000000002</v>
      </c>
      <c r="M140" s="31">
        <f t="shared" ref="M140" ca="1" si="27">(K140-L140)/L140</f>
        <v>0.21732439108879947</v>
      </c>
      <c r="N140" s="31"/>
      <c r="O140" s="37"/>
    </row>
    <row r="141" spans="1:16" x14ac:dyDescent="0.25">
      <c r="B141" t="s">
        <v>139</v>
      </c>
      <c r="C141" t="s">
        <v>8</v>
      </c>
      <c r="D141" s="12">
        <f>D132</f>
        <v>864.86188690974848</v>
      </c>
      <c r="E141" s="12">
        <f>D141*1.8</f>
        <v>1556.7513964375473</v>
      </c>
      <c r="F141" s="12">
        <v>1589.72</v>
      </c>
      <c r="G141" s="12">
        <f>E141-F141</f>
        <v>-32.968603562452699</v>
      </c>
      <c r="H141" s="12"/>
      <c r="I141" s="12">
        <f ca="1">I132</f>
        <v>860.13175640555346</v>
      </c>
      <c r="J141" s="12">
        <f ca="1">J132</f>
        <v>860.13175640555369</v>
      </c>
      <c r="K141" s="12">
        <f ca="1">J141*1.8</f>
        <v>1548.2371615299967</v>
      </c>
      <c r="L141" s="12">
        <v>1626.84</v>
      </c>
      <c r="M141" s="12">
        <f ca="1">K141-L141</f>
        <v>-78.602838470003235</v>
      </c>
      <c r="N141" s="12"/>
      <c r="O141">
        <v>542.65099999999995</v>
      </c>
    </row>
    <row r="142" spans="1:16" x14ac:dyDescent="0.25">
      <c r="B142" t="s">
        <v>147</v>
      </c>
      <c r="C142" t="s">
        <v>8</v>
      </c>
      <c r="D142" s="12">
        <f>D141</f>
        <v>864.86188690974848</v>
      </c>
      <c r="E142" s="12">
        <f>D142*1.8</f>
        <v>1556.7513964375473</v>
      </c>
      <c r="F142" s="12">
        <v>1589.72</v>
      </c>
      <c r="G142" s="12">
        <f>E142-F142</f>
        <v>-32.968603562452699</v>
      </c>
      <c r="H142" s="12"/>
      <c r="I142" s="12">
        <f ca="1">I141</f>
        <v>860.13175640555346</v>
      </c>
      <c r="J142" s="12">
        <f ca="1">J141</f>
        <v>860.13175640555369</v>
      </c>
      <c r="K142" s="12">
        <f ca="1">J142*1.8</f>
        <v>1548.2371615299967</v>
      </c>
      <c r="L142" s="12">
        <v>1626.84</v>
      </c>
      <c r="M142" s="12">
        <f ca="1">K142-L142</f>
        <v>-78.602838470003235</v>
      </c>
      <c r="N142" s="12"/>
      <c r="O142">
        <v>482.959</v>
      </c>
      <c r="P142" s="12">
        <f>O141-O142</f>
        <v>59.69199999999995</v>
      </c>
    </row>
    <row r="143" spans="1:16" x14ac:dyDescent="0.25">
      <c r="B143" t="s">
        <v>141</v>
      </c>
      <c r="C143" t="s">
        <v>10</v>
      </c>
      <c r="D143" s="12">
        <f>D134</f>
        <v>132.17926914727013</v>
      </c>
      <c r="E143" s="27">
        <f>CONVERT(D143*1000,"Pa","psi")</f>
        <v>19.170982171952499</v>
      </c>
      <c r="F143" s="27">
        <v>18.8</v>
      </c>
      <c r="G143" s="31">
        <f t="shared" ref="G143:G144" si="28">(E143-F143)/F143</f>
        <v>1.9733094252792453E-2</v>
      </c>
      <c r="H143" s="31"/>
      <c r="I143" s="12">
        <f ca="1">I134</f>
        <v>304.27752748639813</v>
      </c>
      <c r="J143" s="12">
        <f ca="1">J134</f>
        <v>304.27752748639801</v>
      </c>
      <c r="K143" s="27">
        <f ca="1">CONVERT(J143*1000,"Pa","psi")</f>
        <v>44.131724228768718</v>
      </c>
      <c r="L143" s="27">
        <v>39.781999999999996</v>
      </c>
      <c r="M143" s="31">
        <f t="shared" ref="M143:M149" ca="1" si="29">(K143-L143)/L143</f>
        <v>0.10933900328713292</v>
      </c>
      <c r="N143" s="31"/>
      <c r="O143" s="37">
        <v>491.46</v>
      </c>
      <c r="P143" s="12">
        <f>O143-O142</f>
        <v>8.5009999999999764</v>
      </c>
    </row>
    <row r="144" spans="1:16" x14ac:dyDescent="0.25">
      <c r="B144" t="s">
        <v>151</v>
      </c>
      <c r="C144" t="s">
        <v>10</v>
      </c>
      <c r="D144" s="12">
        <f>D32*D143</f>
        <v>129.53568376432472</v>
      </c>
      <c r="E144" s="27">
        <f>CONVERT(D144*1000,"Pa","psi")</f>
        <v>18.787562528513448</v>
      </c>
      <c r="F144" s="27">
        <v>18.423999999999999</v>
      </c>
      <c r="G144" s="31">
        <f t="shared" si="28"/>
        <v>1.973309425279245E-2</v>
      </c>
      <c r="H144" s="31"/>
      <c r="I144" s="12">
        <f ca="1">I32*I143</f>
        <v>299.35944997618634</v>
      </c>
      <c r="J144" s="12">
        <f ca="1">J32*J143</f>
        <v>299.35944997618623</v>
      </c>
      <c r="K144" s="27">
        <f ca="1">CONVERT(J144*1000,"Pa","psi")</f>
        <v>43.418417392705777</v>
      </c>
      <c r="L144" s="27">
        <v>39.139000000000003</v>
      </c>
      <c r="M144" s="31">
        <f t="shared" ca="1" si="29"/>
        <v>0.10933895584214655</v>
      </c>
      <c r="N144" s="31"/>
      <c r="O144" s="37">
        <v>518.59199999999998</v>
      </c>
      <c r="P144">
        <f>(O144-O143)/O141</f>
        <v>4.9998986457225746E-2</v>
      </c>
    </row>
    <row r="145" spans="1:16" x14ac:dyDescent="0.25">
      <c r="B145" t="s">
        <v>196</v>
      </c>
      <c r="C145" t="s">
        <v>65</v>
      </c>
      <c r="D145" s="12">
        <f>D147*D106</f>
        <v>0.41120758281525355</v>
      </c>
      <c r="E145" s="12">
        <f>D145*2.205</f>
        <v>0.90671272010763415</v>
      </c>
      <c r="F145" s="12">
        <v>0</v>
      </c>
      <c r="G145" s="31"/>
      <c r="H145" s="31"/>
      <c r="I145" s="38">
        <f ca="1">I147*I152</f>
        <v>0.42672907315749725</v>
      </c>
      <c r="J145" s="38">
        <f ca="1">J147*J152</f>
        <v>2.8896052178467015</v>
      </c>
      <c r="K145" s="12">
        <f ca="1">J145*2.205</f>
        <v>6.3715795053519768</v>
      </c>
      <c r="L145" s="12">
        <f>11.74174-8.5005</f>
        <v>3.2412399999999995</v>
      </c>
      <c r="M145" s="31">
        <f t="shared" ca="1" si="29"/>
        <v>0.96578454707210137</v>
      </c>
      <c r="N145" s="31"/>
      <c r="O145" s="37">
        <v>545.72500000000002</v>
      </c>
      <c r="P145">
        <f>O145-O144</f>
        <v>27.133000000000038</v>
      </c>
    </row>
    <row r="146" spans="1:16" x14ac:dyDescent="0.25">
      <c r="B146" t="s">
        <v>197</v>
      </c>
      <c r="C146" t="s">
        <v>65</v>
      </c>
      <c r="D146" s="12">
        <f>D140+D145</f>
        <v>132.30965854174914</v>
      </c>
      <c r="E146" s="12">
        <f>D146*2.205</f>
        <v>291.74279708455686</v>
      </c>
      <c r="F146" s="12"/>
      <c r="G146" s="31"/>
      <c r="H146" s="31"/>
      <c r="I146" s="12">
        <f ca="1">I140+I145</f>
        <v>301.8574769796723</v>
      </c>
      <c r="J146" s="12">
        <f ca="1">J140+J145</f>
        <v>304.17049108040226</v>
      </c>
      <c r="K146" s="12">
        <f ca="1">J146*2.205</f>
        <v>670.69593283228699</v>
      </c>
      <c r="L146" s="12">
        <v>545.72500000000002</v>
      </c>
      <c r="M146" s="31">
        <f t="shared" ca="1" si="29"/>
        <v>0.2289998311096009</v>
      </c>
      <c r="N146" s="31"/>
      <c r="O146" s="37"/>
      <c r="P146">
        <f>P144+P145</f>
        <v>27.182998986457264</v>
      </c>
    </row>
    <row r="147" spans="1:16" x14ac:dyDescent="0.25">
      <c r="B147" t="s">
        <v>198</v>
      </c>
      <c r="D147" s="27">
        <f>((1+D108)*((D16*D142)-(D14*D141)))/((D18*D44*1000)-(D16*D142))</f>
        <v>3.1336733660772918E-3</v>
      </c>
      <c r="E147" s="27"/>
      <c r="F147" s="27"/>
      <c r="G147" s="27"/>
      <c r="H147" s="27"/>
      <c r="I147" s="27">
        <f ca="1">((1+I108)*((I16*I156)-(I14*I148)))/((I18*I44*1000)-(I16*I156))</f>
        <v>3.123693986198493E-3</v>
      </c>
      <c r="J147" s="27">
        <f ca="1">((1+J108)*((J16*J156)-(J14*J148)))/((J18*J44*1000)-(J16*J156))</f>
        <v>2.1162683328289095E-2</v>
      </c>
      <c r="K147" s="27"/>
      <c r="L147" s="27">
        <f>L145/L146</f>
        <v>5.9393284163269033E-3</v>
      </c>
      <c r="M147" s="31">
        <f t="shared" si="29"/>
        <v>-1</v>
      </c>
      <c r="N147" s="27"/>
      <c r="P147" s="12">
        <f>P146-P142</f>
        <v>-32.509001013542687</v>
      </c>
    </row>
    <row r="148" spans="1:16" x14ac:dyDescent="0.25">
      <c r="B148" t="s">
        <v>199</v>
      </c>
      <c r="C148" t="s">
        <v>8</v>
      </c>
      <c r="D148" s="27"/>
      <c r="E148" s="27"/>
      <c r="F148" s="27"/>
      <c r="G148" s="27"/>
      <c r="H148" s="27"/>
      <c r="I148" s="45">
        <f ca="1">L148/1.8*0+I142</f>
        <v>860.13175640555346</v>
      </c>
      <c r="J148" s="45">
        <f ca="1">J142-S164</f>
        <v>458.46508973888706</v>
      </c>
      <c r="K148" s="12">
        <f ca="1">J148*1.8</f>
        <v>825.23716152999668</v>
      </c>
      <c r="L148" s="27">
        <v>903.8</v>
      </c>
      <c r="M148" s="12">
        <f ca="1">K148-L148</f>
        <v>-78.562838470003271</v>
      </c>
      <c r="N148" s="27"/>
    </row>
    <row r="149" spans="1:16" x14ac:dyDescent="0.25">
      <c r="B149" t="s">
        <v>200</v>
      </c>
      <c r="C149" t="s">
        <v>10</v>
      </c>
      <c r="D149" s="27"/>
      <c r="E149" s="27"/>
      <c r="F149" s="27"/>
      <c r="G149" s="27"/>
      <c r="H149" s="27"/>
      <c r="I149" s="27">
        <f ca="1">I144</f>
        <v>299.35944997618634</v>
      </c>
      <c r="J149" s="27">
        <f ca="1">J144</f>
        <v>299.35944997618623</v>
      </c>
      <c r="K149" s="27">
        <f ca="1">CONVERT(J149*1000,"Pa","psi")</f>
        <v>43.418417392705777</v>
      </c>
      <c r="L149" s="27">
        <v>39.139000000000003</v>
      </c>
      <c r="M149" s="31">
        <f t="shared" ca="1" si="29"/>
        <v>0.10933895584214655</v>
      </c>
      <c r="N149" s="27"/>
    </row>
    <row r="150" spans="1:16" x14ac:dyDescent="0.25">
      <c r="A150" t="s">
        <v>39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</row>
    <row r="151" spans="1:16" x14ac:dyDescent="0.25">
      <c r="B151" t="s">
        <v>161</v>
      </c>
      <c r="D151" s="30"/>
      <c r="E151" s="12"/>
      <c r="F151" s="12"/>
      <c r="G151" s="12"/>
      <c r="H151" s="12"/>
      <c r="I151" s="30"/>
      <c r="J151" s="30"/>
      <c r="K151" s="12"/>
      <c r="L151" s="12"/>
      <c r="M151" s="12"/>
      <c r="N151" s="12"/>
    </row>
    <row r="152" spans="1:16" x14ac:dyDescent="0.25">
      <c r="B152" t="s">
        <v>162</v>
      </c>
      <c r="C152" t="s">
        <v>65</v>
      </c>
      <c r="D152" s="30">
        <f>D140*(1-D58)</f>
        <v>131.89845095893389</v>
      </c>
      <c r="E152" s="12">
        <f>D152*2.205</f>
        <v>290.83608436444922</v>
      </c>
      <c r="F152" s="12">
        <v>290.15899999999999</v>
      </c>
      <c r="G152" s="31">
        <f t="shared" ref="G152" si="30">(E152-F152)/F152</f>
        <v>2.3334942719310061E-3</v>
      </c>
      <c r="H152" s="12"/>
      <c r="I152" s="30">
        <f ca="1">I140*(1-I58)</f>
        <v>136.61039623052918</v>
      </c>
      <c r="J152" s="30">
        <f ca="1">J140*(1-J58)</f>
        <v>136.54247776717608</v>
      </c>
      <c r="K152" s="12">
        <f ca="1">J152*2.205</f>
        <v>301.07616347662326</v>
      </c>
      <c r="L152" s="12">
        <v>249.00700000000001</v>
      </c>
      <c r="M152" s="31">
        <f t="shared" ref="M152:M155" ca="1" si="31">(K152-L152)/L152</f>
        <v>0.20910722781537572</v>
      </c>
      <c r="N152" s="12"/>
    </row>
    <row r="153" spans="1:16" x14ac:dyDescent="0.25">
      <c r="B153" t="s">
        <v>163</v>
      </c>
      <c r="C153" t="s">
        <v>65</v>
      </c>
      <c r="D153" s="30">
        <f>D152+D145</f>
        <v>132.30965854174914</v>
      </c>
      <c r="E153" s="12"/>
      <c r="F153" s="12"/>
      <c r="G153" s="31"/>
      <c r="H153" s="12"/>
      <c r="I153" s="30">
        <f ca="1">I140+I145</f>
        <v>301.8574769796723</v>
      </c>
      <c r="J153" s="30">
        <f ca="1">J140+J145</f>
        <v>304.17049108040226</v>
      </c>
      <c r="K153" s="12">
        <f ca="1">J153*2.205</f>
        <v>670.69593283228699</v>
      </c>
      <c r="L153" s="12">
        <v>548.96600000000001</v>
      </c>
      <c r="M153" s="31">
        <f t="shared" ca="1" si="31"/>
        <v>0.22174402937939139</v>
      </c>
      <c r="N153" s="12"/>
    </row>
    <row r="154" spans="1:16" x14ac:dyDescent="0.25">
      <c r="B154" t="s">
        <v>164</v>
      </c>
      <c r="C154" t="s">
        <v>10</v>
      </c>
      <c r="D154" s="12">
        <f>D144*D31</f>
        <v>128.24032692668146</v>
      </c>
      <c r="E154" s="27">
        <f>CONVERT(D154*1000,"Pa","psi")</f>
        <v>18.59968690322831</v>
      </c>
      <c r="F154" s="27">
        <v>18.423999999999999</v>
      </c>
      <c r="G154" s="31">
        <f t="shared" ref="G154:G155" si="32">(E154-F154)/F154</f>
        <v>9.535763310264362E-3</v>
      </c>
      <c r="H154" s="31"/>
      <c r="I154" s="12">
        <f ca="1">I144*I31</f>
        <v>296.36585547642449</v>
      </c>
      <c r="J154" s="12">
        <f ca="1">J144*J31</f>
        <v>290.15050805709461</v>
      </c>
      <c r="K154" s="27">
        <f ca="1">CONVERT(J154*1000,"Pa","psi")</f>
        <v>42.082773289871838</v>
      </c>
      <c r="L154" s="27">
        <v>37.935000000000002</v>
      </c>
      <c r="M154" s="31">
        <f t="shared" ca="1" si="31"/>
        <v>0.10933895584214672</v>
      </c>
      <c r="N154" s="31"/>
      <c r="O154" s="37"/>
    </row>
    <row r="155" spans="1:16" x14ac:dyDescent="0.25">
      <c r="B155" t="s">
        <v>165</v>
      </c>
      <c r="C155" t="s">
        <v>10</v>
      </c>
      <c r="D155" s="12">
        <f>D154*D33</f>
        <v>125.67552038814783</v>
      </c>
      <c r="E155" s="27">
        <f>CONVERT(D155*1000,"Pa","psi")</f>
        <v>18.227693165163746</v>
      </c>
      <c r="F155" s="27">
        <v>18.423999999999999</v>
      </c>
      <c r="G155" s="31">
        <f t="shared" si="32"/>
        <v>-1.0654951955940802E-2</v>
      </c>
      <c r="H155" s="31"/>
      <c r="I155" s="12">
        <f ca="1">I154*I33</f>
        <v>290.43853836689601</v>
      </c>
      <c r="J155" s="12">
        <f ca="1">J154*J33</f>
        <v>290.15050805709461</v>
      </c>
      <c r="K155" s="27">
        <f ca="1">CONVERT(J155*1000,"Pa","psi")</f>
        <v>42.082773289871838</v>
      </c>
      <c r="L155" s="27">
        <v>37.935000000000002</v>
      </c>
      <c r="M155" s="31">
        <f t="shared" ca="1" si="31"/>
        <v>0.10933895584214672</v>
      </c>
      <c r="N155" s="31"/>
      <c r="O155" s="37"/>
    </row>
    <row r="156" spans="1:16" x14ac:dyDescent="0.25">
      <c r="B156" t="s">
        <v>166</v>
      </c>
      <c r="C156" t="s">
        <v>8</v>
      </c>
      <c r="D156" s="12">
        <f>IF(ISBLANK(D63),D142,D63)</f>
        <v>864.86188690974848</v>
      </c>
      <c r="E156" s="12">
        <f>D156*1.8</f>
        <v>1556.7513964375473</v>
      </c>
      <c r="F156" s="12">
        <v>1589.72</v>
      </c>
      <c r="G156" s="12">
        <f>E156-F156</f>
        <v>-32.968603562452699</v>
      </c>
      <c r="H156" s="12"/>
      <c r="I156" s="12">
        <f ca="1">IF(ISBLANK(I63),I142,I63)</f>
        <v>860.13175640555346</v>
      </c>
      <c r="J156" s="12">
        <f>IF(ISBLANK(J63),J142,J63)</f>
        <v>1100</v>
      </c>
      <c r="K156" s="12">
        <f>J156*1.8</f>
        <v>1980</v>
      </c>
      <c r="L156" s="12">
        <v>1977.5</v>
      </c>
      <c r="M156" s="12">
        <f>K156-L156</f>
        <v>2.5</v>
      </c>
      <c r="N156" s="12"/>
    </row>
    <row r="157" spans="1:16" x14ac:dyDescent="0.25">
      <c r="B157" t="s">
        <v>167</v>
      </c>
      <c r="C157" t="s">
        <v>8</v>
      </c>
      <c r="D157" s="12">
        <f>D156</f>
        <v>864.86188690974848</v>
      </c>
      <c r="E157" s="12">
        <f>D157*1.8</f>
        <v>1556.7513964375473</v>
      </c>
      <c r="F157" s="12">
        <v>1589.72</v>
      </c>
      <c r="G157" s="12">
        <f>E157-F157</f>
        <v>-32.968603562452699</v>
      </c>
      <c r="H157" s="12"/>
      <c r="I157" s="12">
        <f ca="1">I156</f>
        <v>860.13175640555346</v>
      </c>
      <c r="J157" s="12">
        <f>J156</f>
        <v>1100</v>
      </c>
      <c r="K157" s="12">
        <f>J157*1.8</f>
        <v>1980</v>
      </c>
      <c r="L157" s="12">
        <v>1977.5</v>
      </c>
      <c r="M157" s="12">
        <f>K157-L157</f>
        <v>2.5</v>
      </c>
      <c r="N157" s="12"/>
    </row>
    <row r="158" spans="1:16" x14ac:dyDescent="0.25">
      <c r="B158" t="s">
        <v>168</v>
      </c>
      <c r="C158" t="s">
        <v>10</v>
      </c>
      <c r="D158" s="12">
        <f>D155/(1+(D15-1)/2)^((D15/(D15-1)))</f>
        <v>67.910529115428233</v>
      </c>
      <c r="E158" s="27">
        <f>CONVERT(D158*1000,"Pa","psi")</f>
        <v>9.8495895109632166</v>
      </c>
      <c r="F158" s="27">
        <v>9.8835200000000007</v>
      </c>
      <c r="G158" s="31">
        <f t="shared" ref="G158:G159" si="33">(E158-F158)/F158</f>
        <v>-3.4330369176957393E-3</v>
      </c>
      <c r="H158" s="31"/>
      <c r="I158" s="12">
        <f ca="1">I155/(1+(I15-1)/2)^((I15/(I15-1)))</f>
        <v>156.94253546824876</v>
      </c>
      <c r="J158" s="12">
        <f ca="1">J155/(1+(J15-1)/2)^((J15/(J15-1)))</f>
        <v>156.78689425284355</v>
      </c>
      <c r="K158" s="27">
        <f ca="1">CONVERT(J158*1000,"Pa","psi")</f>
        <v>22.740016448177968</v>
      </c>
      <c r="L158" s="27"/>
      <c r="M158" s="31" t="e">
        <f t="shared" ref="M158:M159" ca="1" si="34">(K158-L158)/L158</f>
        <v>#DIV/0!</v>
      </c>
      <c r="N158" s="31"/>
      <c r="O158" s="37"/>
    </row>
    <row r="159" spans="1:16" x14ac:dyDescent="0.25">
      <c r="B159" t="s">
        <v>168</v>
      </c>
      <c r="C159" t="s">
        <v>10</v>
      </c>
      <c r="D159" s="12">
        <f>D8</f>
        <v>10.038766618853135</v>
      </c>
      <c r="E159" s="27">
        <f>CONVERT(D159*1000,"Pa","psi")</f>
        <v>1.456</v>
      </c>
      <c r="F159" s="27">
        <v>1.456</v>
      </c>
      <c r="G159" s="31">
        <f t="shared" si="33"/>
        <v>0</v>
      </c>
      <c r="H159" s="31"/>
      <c r="I159" s="12">
        <f>I8</f>
        <v>101.0958156351939</v>
      </c>
      <c r="J159" s="12">
        <f>J8</f>
        <v>101.0958156351939</v>
      </c>
      <c r="K159" s="27">
        <f>CONVERT(J159*1000,"Pa","psi")</f>
        <v>14.662708393718836</v>
      </c>
      <c r="L159" s="27"/>
      <c r="M159" s="31" t="e">
        <f t="shared" si="34"/>
        <v>#DIV/0!</v>
      </c>
      <c r="N159" s="31"/>
      <c r="O159" s="37"/>
    </row>
    <row r="160" spans="1:16" x14ac:dyDescent="0.25">
      <c r="B160" t="s">
        <v>169</v>
      </c>
      <c r="D160" s="12">
        <f>IF(D158&lt;D8,SQRT(((((D155/D159)^((D17-1)/D17))-1)*2)/(D17-1)),1)</f>
        <v>1</v>
      </c>
      <c r="E160" s="12"/>
      <c r="F160" s="12"/>
      <c r="G160" s="12"/>
      <c r="H160" s="12"/>
      <c r="I160" s="12">
        <f ca="1">IF(I158&lt;I8,SQRT(((((I155/I159)^((I17-1)/I17))-1)*2)/(I17-1)),1)</f>
        <v>1</v>
      </c>
      <c r="J160" s="12">
        <f ca="1">IF(J158&lt;J8,SQRT(((((J155/J159)^((J17-1)/J17))-1)*2)/(J17-1)),1)</f>
        <v>1</v>
      </c>
      <c r="K160" s="12"/>
      <c r="L160" s="12"/>
      <c r="M160" s="12"/>
      <c r="N160" s="12"/>
    </row>
    <row r="161" spans="1:19" x14ac:dyDescent="0.25">
      <c r="B161" t="s">
        <v>170</v>
      </c>
      <c r="D161" s="35">
        <v>2.0338859821187474</v>
      </c>
      <c r="E161" s="35"/>
      <c r="F161" s="35">
        <v>2.0462600000000002</v>
      </c>
      <c r="G161" s="34">
        <f>(D161-F161)/F161</f>
        <v>-6.0471386242475569E-3</v>
      </c>
      <c r="H161" s="34"/>
      <c r="I161" s="35">
        <v>2.085</v>
      </c>
      <c r="J161" s="35">
        <v>2.06</v>
      </c>
      <c r="K161" s="35"/>
      <c r="L161" s="35">
        <v>2.0462600000000002</v>
      </c>
      <c r="M161" s="34">
        <f>(J161-L161)/L161</f>
        <v>6.7146892379266864E-3</v>
      </c>
      <c r="N161" s="34"/>
      <c r="O161" s="37"/>
    </row>
    <row r="162" spans="1:19" x14ac:dyDescent="0.25">
      <c r="B162" t="s">
        <v>67</v>
      </c>
      <c r="D162" s="12">
        <f>(((1+((D15-1)/2)*(D161^2))/((D15+1)/2))^((D15+1)/(2*(D15-1))))/D161</f>
        <v>1.7999567076157026</v>
      </c>
      <c r="E162" s="12"/>
      <c r="F162" s="12"/>
      <c r="G162" s="12"/>
      <c r="H162" s="12"/>
      <c r="I162" s="12">
        <f>(((1+((I15-1)/2)*(I161^2))/((I15+1)/2))^((I15+1)/(2*(I15-1))))/I161</f>
        <v>1.8871848435943281</v>
      </c>
      <c r="J162" s="12">
        <f>(((1+((J15-1)/2)*(J161^2))/((J15+1)/2))^((J15+1)/(2*(J15-1))))/J161</f>
        <v>1.8437908014990627</v>
      </c>
      <c r="K162" s="12"/>
      <c r="L162" s="12">
        <v>1.05</v>
      </c>
      <c r="M162" s="12"/>
      <c r="N162" s="12"/>
      <c r="O162" s="12">
        <f ca="1">K145+K109</f>
        <v>16.462164204959059</v>
      </c>
    </row>
    <row r="163" spans="1:19" x14ac:dyDescent="0.25">
      <c r="B163" t="s">
        <v>171</v>
      </c>
      <c r="D163" s="12">
        <f>D162/D171</f>
        <v>1.3232489806874137</v>
      </c>
      <c r="E163" s="17">
        <f>D163*1550</f>
        <v>2051.0359200654912</v>
      </c>
      <c r="F163" s="12">
        <v>1247.57</v>
      </c>
      <c r="G163" s="31">
        <f>(E163-F163)/F163</f>
        <v>0.64402472010828349</v>
      </c>
      <c r="H163" s="12"/>
      <c r="I163" s="12">
        <f ca="1">I162/I171</f>
        <v>1.3440815436595277</v>
      </c>
      <c r="J163" s="12">
        <f ca="1">J162/J171</f>
        <v>1.1783266979510598</v>
      </c>
      <c r="K163" s="17">
        <f ca="1">J163*1550</f>
        <v>1826.4063818241427</v>
      </c>
      <c r="L163" s="12">
        <v>1284.74</v>
      </c>
      <c r="M163" s="31">
        <f ca="1">(K163-L163)/L163</f>
        <v>0.42161556565853225</v>
      </c>
      <c r="N163" s="12"/>
      <c r="Q163">
        <f>1626</f>
        <v>1626</v>
      </c>
      <c r="R163">
        <f>Q163/1.8</f>
        <v>903.33333333333326</v>
      </c>
    </row>
    <row r="164" spans="1:19" x14ac:dyDescent="0.25">
      <c r="B164" t="s">
        <v>172</v>
      </c>
      <c r="D164" s="12">
        <f>D155/D159</f>
        <v>12.519020031019055</v>
      </c>
      <c r="E164" s="12">
        <f>E155/E159</f>
        <v>12.519020031019057</v>
      </c>
      <c r="F164" s="12">
        <v>12.65199</v>
      </c>
      <c r="G164" s="34">
        <f>(D164-F164)/F164</f>
        <v>-1.0509806677127037E-2</v>
      </c>
      <c r="H164" s="12"/>
      <c r="I164" s="12">
        <f ca="1">I155/I159</f>
        <v>2.8729036562200436</v>
      </c>
      <c r="J164" s="12">
        <f ca="1">J155/J159</f>
        <v>2.8700545738125109</v>
      </c>
      <c r="K164" s="12">
        <f ca="1">K155/K159</f>
        <v>2.8700545738125109</v>
      </c>
      <c r="L164" s="12">
        <v>2.5813199999999998</v>
      </c>
      <c r="M164" s="34">
        <f ca="1">(J164-L164)/L164</f>
        <v>0.11185539716598916</v>
      </c>
      <c r="N164" s="12"/>
      <c r="Q164">
        <v>903</v>
      </c>
      <c r="R164">
        <f>Q164/1.8</f>
        <v>501.66666666666663</v>
      </c>
      <c r="S164">
        <f>R163-R164</f>
        <v>401.66666666666663</v>
      </c>
    </row>
    <row r="165" spans="1:19" x14ac:dyDescent="0.25">
      <c r="B165" t="s">
        <v>173</v>
      </c>
      <c r="D165" s="12">
        <f>D155/((1+((D15-1)*0.5*(D161^2)))^(D15/(D15-1)))</f>
        <v>15.435719618651003</v>
      </c>
      <c r="E165" s="27">
        <f>CONVERT(D165*1000,"Pa","psi")</f>
        <v>2.2387618537269489</v>
      </c>
      <c r="F165" s="27">
        <v>2.1688000000000001</v>
      </c>
      <c r="G165" s="31">
        <f>(E165-F165)/F165</f>
        <v>3.2258324293133925E-2</v>
      </c>
      <c r="H165" s="31"/>
      <c r="I165" s="12">
        <f ca="1">I155/((1+((I15-1)*0.5*(I161^2)))^(I15/(I15-1)))</f>
        <v>32.851941343739554</v>
      </c>
      <c r="J165" s="12">
        <f ca="1">J155/((1+((J15-1)*0.5*(J161^2)))^(J15/(J15-1)))</f>
        <v>34.169971462771777</v>
      </c>
      <c r="K165" s="27">
        <f ca="1">CONVERT(J165*1000,"Pa","psi")</f>
        <v>4.9559353592662259</v>
      </c>
      <c r="L165" s="27"/>
      <c r="M165" s="31"/>
      <c r="N165" s="31"/>
      <c r="O165" s="37"/>
    </row>
    <row r="166" spans="1:19" x14ac:dyDescent="0.25">
      <c r="B166" t="s">
        <v>174</v>
      </c>
      <c r="C166" t="s">
        <v>8</v>
      </c>
      <c r="D166" s="12">
        <f>D157/(1+((D15-1)*0.5*(D161^2)))</f>
        <v>514.01724902728233</v>
      </c>
      <c r="E166" s="12">
        <f>D166*1.8</f>
        <v>925.2310482491082</v>
      </c>
      <c r="F166" s="12">
        <v>904.03499999999997</v>
      </c>
      <c r="G166" s="12">
        <f>E166-F166</f>
        <v>21.19604824910823</v>
      </c>
      <c r="H166" s="12"/>
      <c r="I166" s="12">
        <f ca="1">I157/(1+((I15-1)*0.5*(I161^2)))</f>
        <v>500.865137552269</v>
      </c>
      <c r="J166" s="12">
        <f>J157/(1+((J15-1)*0.5*(J161^2)))</f>
        <v>646.98499112454215</v>
      </c>
      <c r="K166" s="12">
        <f>J166*1.8</f>
        <v>1164.5729840241759</v>
      </c>
      <c r="L166" s="12"/>
      <c r="M166" s="12">
        <f>K166-L166</f>
        <v>1164.5729840241759</v>
      </c>
      <c r="N166" s="12"/>
    </row>
    <row r="167" spans="1:19" x14ac:dyDescent="0.25">
      <c r="B167" t="s">
        <v>175</v>
      </c>
      <c r="C167" t="s">
        <v>84</v>
      </c>
      <c r="D167" s="12">
        <f>SQRT((D15-1)*D14*D166)</f>
        <v>429.27348895843096</v>
      </c>
      <c r="E167" s="12">
        <f t="shared" ref="E167:E168" si="35">CONVERT(D167,"m","ft")</f>
        <v>1408.3775884462957</v>
      </c>
      <c r="F167" s="12"/>
      <c r="G167" s="31"/>
      <c r="H167" s="31"/>
      <c r="I167" s="12">
        <f ca="1">SQRT((I15-1)*I14*I166)</f>
        <v>423.74601169273245</v>
      </c>
      <c r="J167" s="12">
        <f>SQRT((J15-1)*J14*J166)</f>
        <v>481.60648327187613</v>
      </c>
      <c r="K167" s="12">
        <f t="shared" ref="K167:K168" si="36">CONVERT(J167,"m","ft")</f>
        <v>1580.0737640153418</v>
      </c>
      <c r="L167" s="12"/>
      <c r="M167" s="31"/>
      <c r="N167" s="31"/>
      <c r="O167" s="37"/>
    </row>
    <row r="168" spans="1:19" x14ac:dyDescent="0.25">
      <c r="B168" t="s">
        <v>176</v>
      </c>
      <c r="C168" t="s">
        <v>84</v>
      </c>
      <c r="D168" s="12">
        <f>D167*D161</f>
        <v>873.09333168775959</v>
      </c>
      <c r="E168" s="12">
        <f t="shared" si="35"/>
        <v>2864.4794346711274</v>
      </c>
      <c r="F168" s="12">
        <v>2993.21</v>
      </c>
      <c r="G168" s="31">
        <f>(E168-F168)/F168</f>
        <v>-4.3007528816512264E-2</v>
      </c>
      <c r="H168" s="31"/>
      <c r="I168" s="12">
        <f ca="1">I167*I161</f>
        <v>883.5104343793472</v>
      </c>
      <c r="J168" s="12">
        <f>J167*J161</f>
        <v>992.10935554006483</v>
      </c>
      <c r="K168" s="12">
        <f t="shared" si="36"/>
        <v>3254.951953871604</v>
      </c>
      <c r="L168" s="12"/>
      <c r="M168" s="31"/>
      <c r="N168" s="31"/>
      <c r="O168" s="37"/>
      <c r="Q168" t="s">
        <v>201</v>
      </c>
      <c r="R168" t="s">
        <v>65</v>
      </c>
      <c r="S168" s="3">
        <f ca="1">I64</f>
        <v>299.16454392063309</v>
      </c>
    </row>
    <row r="169" spans="1:19" x14ac:dyDescent="0.25">
      <c r="B169" t="s">
        <v>177</v>
      </c>
      <c r="C169" t="s">
        <v>87</v>
      </c>
      <c r="D169" s="30">
        <f>((D15-1)/D15)*D14/1000</f>
        <v>0.26954966871652369</v>
      </c>
      <c r="E169" s="12">
        <f>D169*0.2388</f>
        <v>6.436846088950586E-2</v>
      </c>
      <c r="F169" s="12">
        <v>6.8606E-2</v>
      </c>
      <c r="G169" s="31">
        <f>(E169-F169)/F169</f>
        <v>-6.1766304849344665E-2</v>
      </c>
      <c r="H169" s="31"/>
      <c r="I169" s="30">
        <f>((I15-1)/I15)*I14/1000</f>
        <v>0.26954966871652369</v>
      </c>
      <c r="J169" s="30">
        <f>((J15-1)/J15)*J14/1000</f>
        <v>0.26954966871652369</v>
      </c>
      <c r="K169" s="12">
        <f>J169*0.2388</f>
        <v>6.436846088950586E-2</v>
      </c>
      <c r="L169" s="12"/>
      <c r="M169" s="31"/>
      <c r="N169" s="31"/>
      <c r="O169" s="37"/>
      <c r="Q169" t="s">
        <v>202</v>
      </c>
      <c r="R169" t="s">
        <v>30</v>
      </c>
      <c r="S169" s="32">
        <f ca="1">I108</f>
        <v>1.7195850731401997E-2</v>
      </c>
    </row>
    <row r="170" spans="1:19" x14ac:dyDescent="0.25">
      <c r="B170" t="s">
        <v>178</v>
      </c>
      <c r="C170" t="s">
        <v>179</v>
      </c>
      <c r="D170" s="12">
        <f>D165/(D169*D166)</f>
        <v>0.1114064629112323</v>
      </c>
      <c r="E170" s="12">
        <f>D170*0.062428</f>
        <v>6.9548826666224091E-3</v>
      </c>
      <c r="F170" s="12">
        <v>6.4275199999999999E-3</v>
      </c>
      <c r="G170" s="31">
        <f>(E170-F170)/F170</f>
        <v>8.2047611928459052E-2</v>
      </c>
      <c r="H170" s="31"/>
      <c r="I170" s="12">
        <f ca="1">I165/(I169*I166)</f>
        <v>0.24333323641328097</v>
      </c>
      <c r="J170" s="12">
        <f ca="1">J165/(J169*J166)</f>
        <v>0.19593481345049341</v>
      </c>
      <c r="K170" s="12">
        <f ca="1">J170*0.062428</f>
        <v>1.2231818534087401E-2</v>
      </c>
      <c r="L170" s="12"/>
      <c r="M170" s="31"/>
      <c r="N170" s="31"/>
      <c r="O170" s="37"/>
      <c r="Q170" t="s">
        <v>203</v>
      </c>
      <c r="R170" t="s">
        <v>204</v>
      </c>
      <c r="S170" s="3">
        <f ca="1">I141</f>
        <v>860.13175640555346</v>
      </c>
    </row>
    <row r="171" spans="1:19" x14ac:dyDescent="0.25">
      <c r="B171" t="s">
        <v>180</v>
      </c>
      <c r="C171" t="s">
        <v>95</v>
      </c>
      <c r="D171" s="17">
        <f>D146/(D170*D168)</f>
        <v>1.3602555028462173</v>
      </c>
      <c r="E171" s="17">
        <f>D171*1550</f>
        <v>2108.3960294116368</v>
      </c>
      <c r="F171" s="17">
        <v>2155.81</v>
      </c>
      <c r="G171" s="31">
        <f>(E171-F171)/F171</f>
        <v>-2.1993575773543633E-2</v>
      </c>
      <c r="H171" s="31"/>
      <c r="I171" s="17">
        <f ca="1">I146/(I170*I168)</f>
        <v>1.4040702013183624</v>
      </c>
      <c r="J171" s="17">
        <f ca="1">J146/(J170*J168)</f>
        <v>1.5647534802573422</v>
      </c>
      <c r="K171" s="17">
        <f ca="1">J171*1550</f>
        <v>2425.3678943988803</v>
      </c>
      <c r="L171" s="17"/>
      <c r="M171" s="31"/>
      <c r="N171" s="31"/>
      <c r="O171" s="37"/>
      <c r="Q171" t="s">
        <v>205</v>
      </c>
      <c r="R171" t="s">
        <v>10</v>
      </c>
      <c r="S171" s="3">
        <f ca="1">I143</f>
        <v>304.27752748639813</v>
      </c>
    </row>
    <row r="172" spans="1:19" s="49" customFormat="1" x14ac:dyDescent="0.25">
      <c r="B172" s="49" t="s">
        <v>181</v>
      </c>
      <c r="I172" s="50">
        <f ca="1">(I163-D163)/I163</f>
        <v>1.5499478488033716E-2</v>
      </c>
      <c r="J172" s="50">
        <f ca="1">(J163-D163)/J163</f>
        <v>-0.12298989998983544</v>
      </c>
    </row>
    <row r="174" spans="1:19" x14ac:dyDescent="0.25">
      <c r="A174" t="s">
        <v>182</v>
      </c>
      <c r="D174" s="12"/>
      <c r="E174" s="12"/>
      <c r="F174" s="12"/>
      <c r="G174" s="12"/>
      <c r="H174" s="12"/>
      <c r="I174" s="12"/>
      <c r="J174" s="12"/>
      <c r="K174" s="12"/>
      <c r="M174" s="12"/>
      <c r="N174" s="12"/>
    </row>
    <row r="175" spans="1:19" x14ac:dyDescent="0.25">
      <c r="B175" t="s">
        <v>183</v>
      </c>
      <c r="C175" t="s">
        <v>184</v>
      </c>
      <c r="D175" s="28">
        <f>(D153*(D168-D81)+D171*1000*(D165-D8))</f>
        <v>44724.212468866579</v>
      </c>
      <c r="E175" s="28">
        <f>D175*0.225</f>
        <v>10062.947805494981</v>
      </c>
      <c r="H175" s="31"/>
      <c r="I175" s="28">
        <f ca="1">(I146*(I168-I81)+I171*1000*(I165-I8))</f>
        <v>139280.97126781108</v>
      </c>
      <c r="J175" s="28">
        <f ca="1">(J146*(J168-J81)+J171*1000*(J165-J8))</f>
        <v>165211.78045039883</v>
      </c>
      <c r="K175" s="46">
        <f ca="1">I175*0.225</f>
        <v>31338.218535257492</v>
      </c>
      <c r="L175" s="28">
        <f ca="1">J175*0.225</f>
        <v>37172.650601339737</v>
      </c>
      <c r="M175" s="31"/>
      <c r="N175" s="31"/>
      <c r="O175" s="37"/>
      <c r="Q175" t="s">
        <v>206</v>
      </c>
      <c r="R175" t="s">
        <v>54</v>
      </c>
      <c r="S175" s="3">
        <f>I58*100</f>
        <v>54.679342708296872</v>
      </c>
    </row>
    <row r="176" spans="1:19" x14ac:dyDescent="0.25">
      <c r="D176" s="28">
        <v>44600</v>
      </c>
      <c r="E176" s="28">
        <v>10031</v>
      </c>
      <c r="G176" s="12"/>
      <c r="H176" s="12"/>
      <c r="I176">
        <v>139460</v>
      </c>
      <c r="J176">
        <v>164945</v>
      </c>
      <c r="K176" s="28">
        <v>31352</v>
      </c>
      <c r="L176" s="28">
        <v>37081</v>
      </c>
      <c r="M176" s="12"/>
      <c r="N176" s="12"/>
      <c r="Q176" t="s">
        <v>207</v>
      </c>
      <c r="R176" t="s">
        <v>208</v>
      </c>
      <c r="S176" s="47">
        <f ca="1">I175</f>
        <v>139280.97126781108</v>
      </c>
    </row>
    <row r="177" spans="2:19" x14ac:dyDescent="0.25">
      <c r="D177" s="31">
        <f>(D175-D176)/D176</f>
        <v>2.7850329342282289E-3</v>
      </c>
      <c r="E177" s="31">
        <f>(E175-E176)/E176</f>
        <v>3.1849073367541986E-3</v>
      </c>
      <c r="G177" s="13"/>
      <c r="H177" s="13"/>
      <c r="I177" s="31">
        <f t="shared" ref="I177:L177" ca="1" si="37">(I175-I176)/I176</f>
        <v>-1.28372818147798E-3</v>
      </c>
      <c r="J177" s="31">
        <f t="shared" ca="1" si="37"/>
        <v>1.617390344653248E-3</v>
      </c>
      <c r="K177" s="31">
        <f t="shared" ca="1" si="37"/>
        <v>-4.3957210839842831E-4</v>
      </c>
      <c r="L177" s="31">
        <f t="shared" ca="1" si="37"/>
        <v>2.4716324085040176E-3</v>
      </c>
      <c r="M177" s="13"/>
      <c r="N177" s="13"/>
      <c r="Q177" t="s">
        <v>209</v>
      </c>
      <c r="R177" t="s">
        <v>208</v>
      </c>
      <c r="S177" s="47">
        <f ca="1">J175</f>
        <v>165211.78045039883</v>
      </c>
    </row>
    <row r="178" spans="2:19" x14ac:dyDescent="0.25">
      <c r="B178" t="s">
        <v>185</v>
      </c>
      <c r="C178" t="s">
        <v>186</v>
      </c>
      <c r="D178" s="12">
        <f>D175/D152</f>
        <v>339.08064987655769</v>
      </c>
      <c r="E178" s="12"/>
      <c r="F178" s="12"/>
      <c r="I178" s="12">
        <f ca="1">I175/I152</f>
        <v>1019.5488418961564</v>
      </c>
      <c r="J178" s="12">
        <f ca="1">J175/J152</f>
        <v>1209.9661816018008</v>
      </c>
    </row>
    <row r="179" spans="2:19" x14ac:dyDescent="0.25">
      <c r="B179" t="s">
        <v>187</v>
      </c>
      <c r="C179" t="s">
        <v>188</v>
      </c>
      <c r="D179" s="27">
        <f>1000000*(D109+D145)/D175</f>
        <v>47.638046670623879</v>
      </c>
      <c r="E179" s="13"/>
      <c r="F179" s="13">
        <f>1197.67/1550</f>
        <v>0.77269032258064518</v>
      </c>
      <c r="G179" s="15"/>
      <c r="H179" s="15"/>
      <c r="I179" s="27">
        <f t="shared" ref="I179:J179" ca="1" si="38">1000000*(I109+I145)/I175</f>
        <v>35.936238866373976</v>
      </c>
      <c r="J179" s="27">
        <f t="shared" ca="1" si="38"/>
        <v>45.189477930714801</v>
      </c>
      <c r="K179" s="46"/>
      <c r="M179" s="15"/>
      <c r="N179" s="15"/>
      <c r="O179" s="37"/>
    </row>
    <row r="180" spans="2:19" x14ac:dyDescent="0.25">
      <c r="D180" s="12">
        <f>(D109+D145)</f>
        <v>2.1305741208987645</v>
      </c>
      <c r="G180" s="15"/>
      <c r="H180" s="15"/>
      <c r="I180" s="12">
        <f t="shared" ref="I180:J180" ca="1" si="39">(I109+I145)</f>
        <v>5.0052342530206291</v>
      </c>
      <c r="J180" s="12">
        <f t="shared" ca="1" si="39"/>
        <v>7.4658341065573968</v>
      </c>
      <c r="K180" s="34"/>
      <c r="L180" s="34"/>
      <c r="M180" s="15"/>
      <c r="N180" s="15"/>
      <c r="O180" s="37"/>
    </row>
    <row r="181" spans="2:19" x14ac:dyDescent="0.25">
      <c r="K181" s="15"/>
    </row>
  </sheetData>
  <mergeCells count="1">
    <mergeCell ref="A4:B4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81"/>
  <sheetViews>
    <sheetView zoomScale="41" zoomScaleNormal="80" workbookViewId="0">
      <selection activeCell="I7" sqref="I7"/>
    </sheetView>
  </sheetViews>
  <sheetFormatPr defaultColWidth="9.140625" defaultRowHeight="15" x14ac:dyDescent="0.25"/>
  <cols>
    <col min="2" max="2" width="11.140625" customWidth="1"/>
    <col min="4" max="4" width="11.7109375" customWidth="1"/>
    <col min="5" max="7" width="13.7109375" customWidth="1"/>
    <col min="8" max="8" width="3" customWidth="1"/>
    <col min="9" max="10" width="12.42578125" customWidth="1"/>
    <col min="11" max="13" width="13.7109375" customWidth="1"/>
    <col min="14" max="14" width="14.85546875" bestFit="1" customWidth="1"/>
    <col min="15" max="15" width="13.7109375" customWidth="1"/>
    <col min="17" max="17" width="29.140625" bestFit="1" customWidth="1"/>
    <col min="19" max="19" width="8.85546875" bestFit="1" customWidth="1"/>
    <col min="28" max="28" width="11" bestFit="1" customWidth="1"/>
  </cols>
  <sheetData>
    <row r="1" spans="1:14" x14ac:dyDescent="0.25">
      <c r="A1" t="s">
        <v>0</v>
      </c>
    </row>
    <row r="4" spans="1:14" s="26" customFormat="1" ht="30" x14ac:dyDescent="0.25">
      <c r="A4" s="61" t="s">
        <v>1</v>
      </c>
      <c r="B4" s="61"/>
      <c r="D4" s="26" t="s">
        <v>2</v>
      </c>
      <c r="E4" s="26" t="s">
        <v>189</v>
      </c>
      <c r="F4" s="26" t="s">
        <v>190</v>
      </c>
      <c r="I4" s="26" t="s">
        <v>2</v>
      </c>
      <c r="J4" s="26" t="s">
        <v>2</v>
      </c>
      <c r="K4" s="26" t="s">
        <v>189</v>
      </c>
      <c r="L4" s="26" t="s">
        <v>190</v>
      </c>
    </row>
    <row r="5" spans="1:14" x14ac:dyDescent="0.25">
      <c r="A5" t="s">
        <v>3</v>
      </c>
      <c r="B5" t="s">
        <v>4</v>
      </c>
      <c r="C5" t="s">
        <v>5</v>
      </c>
      <c r="D5">
        <v>16130</v>
      </c>
      <c r="I5">
        <v>0</v>
      </c>
      <c r="J5">
        <v>0</v>
      </c>
    </row>
    <row r="6" spans="1:14" x14ac:dyDescent="0.25">
      <c r="B6" t="s">
        <v>6</v>
      </c>
      <c r="C6" t="s">
        <v>7</v>
      </c>
      <c r="D6">
        <v>-56.499999999999972</v>
      </c>
      <c r="I6">
        <v>15.15</v>
      </c>
      <c r="J6">
        <v>15.15</v>
      </c>
    </row>
    <row r="7" spans="1:14" x14ac:dyDescent="0.25">
      <c r="B7" t="s">
        <v>6</v>
      </c>
      <c r="C7" t="s">
        <v>8</v>
      </c>
      <c r="D7">
        <f>CONVERT(D6,"C","K")</f>
        <v>216.65</v>
      </c>
      <c r="I7">
        <v>288.14999999999998</v>
      </c>
      <c r="J7">
        <v>288.14999999999998</v>
      </c>
    </row>
    <row r="8" spans="1:14" x14ac:dyDescent="0.25">
      <c r="B8" t="s">
        <v>9</v>
      </c>
      <c r="C8" t="s">
        <v>10</v>
      </c>
      <c r="D8" s="36">
        <v>10.038766618853135</v>
      </c>
      <c r="E8" s="13"/>
      <c r="F8" s="13"/>
      <c r="G8" s="13"/>
      <c r="H8" s="13"/>
      <c r="I8" s="36">
        <v>101.0958156351939</v>
      </c>
      <c r="J8" s="36">
        <v>101.0958156351939</v>
      </c>
      <c r="K8" s="13"/>
      <c r="L8" s="13"/>
      <c r="M8" s="13"/>
      <c r="N8" s="13"/>
    </row>
    <row r="9" spans="1:14" x14ac:dyDescent="0.25">
      <c r="B9" t="s">
        <v>11</v>
      </c>
      <c r="D9" s="40">
        <v>2.0005414685899909</v>
      </c>
      <c r="I9" s="40">
        <v>0.30744203186731728</v>
      </c>
      <c r="J9" s="40">
        <v>0.30744203186731728</v>
      </c>
    </row>
    <row r="10" spans="1:14" x14ac:dyDescent="0.25">
      <c r="M10">
        <f>164945-139460</f>
        <v>25485</v>
      </c>
    </row>
    <row r="11" spans="1:14" x14ac:dyDescent="0.25">
      <c r="A11" s="2" t="s">
        <v>12</v>
      </c>
      <c r="B11" s="2"/>
      <c r="M11">
        <f>M10/139460</f>
        <v>0.1827405707729815</v>
      </c>
    </row>
    <row r="12" spans="1:14" x14ac:dyDescent="0.25">
      <c r="B12" t="s">
        <v>13</v>
      </c>
      <c r="C12" t="s">
        <v>14</v>
      </c>
      <c r="D12" s="23">
        <v>1005.5464824120608</v>
      </c>
      <c r="I12" s="23">
        <v>1005.5464824120608</v>
      </c>
      <c r="J12" s="23">
        <v>1005.5464824120608</v>
      </c>
    </row>
    <row r="13" spans="1:14" x14ac:dyDescent="0.25">
      <c r="B13" t="s">
        <v>15</v>
      </c>
      <c r="D13">
        <v>1.4</v>
      </c>
      <c r="I13">
        <v>1.4</v>
      </c>
      <c r="J13">
        <v>1.4</v>
      </c>
    </row>
    <row r="14" spans="1:14" x14ac:dyDescent="0.25">
      <c r="B14" t="s">
        <v>16</v>
      </c>
      <c r="C14" t="s">
        <v>17</v>
      </c>
      <c r="D14" s="13">
        <v>1143.5757996116693</v>
      </c>
      <c r="I14" s="13">
        <v>1186.2709247310795</v>
      </c>
      <c r="J14" s="13">
        <v>1186.2709247310795</v>
      </c>
    </row>
    <row r="15" spans="1:14" x14ac:dyDescent="0.25">
      <c r="B15" t="s">
        <v>18</v>
      </c>
      <c r="D15">
        <v>1.3</v>
      </c>
      <c r="I15">
        <v>1.3</v>
      </c>
      <c r="J15">
        <v>1.3</v>
      </c>
    </row>
    <row r="16" spans="1:14" x14ac:dyDescent="0.25">
      <c r="B16" t="s">
        <v>19</v>
      </c>
      <c r="C16" t="s">
        <v>17</v>
      </c>
      <c r="D16">
        <f>1.2351*1000</f>
        <v>1235.1000000000001</v>
      </c>
      <c r="I16">
        <f>1.2351*1000</f>
        <v>1235.1000000000001</v>
      </c>
      <c r="J16">
        <f>1.2351*1000</f>
        <v>1235.1000000000001</v>
      </c>
    </row>
    <row r="17" spans="1:14" x14ac:dyDescent="0.25">
      <c r="B17" t="s">
        <v>20</v>
      </c>
      <c r="D17">
        <v>1.3</v>
      </c>
      <c r="I17">
        <v>1.3</v>
      </c>
      <c r="J17">
        <v>1.3</v>
      </c>
    </row>
    <row r="18" spans="1:14" x14ac:dyDescent="0.25">
      <c r="B18" t="s">
        <v>21</v>
      </c>
      <c r="C18" t="s">
        <v>22</v>
      </c>
      <c r="D18">
        <v>43152.88</v>
      </c>
      <c r="I18">
        <v>43152.88</v>
      </c>
      <c r="J18">
        <v>43152.88</v>
      </c>
    </row>
    <row r="20" spans="1:14" x14ac:dyDescent="0.25">
      <c r="A20" t="s">
        <v>23</v>
      </c>
    </row>
    <row r="21" spans="1:14" x14ac:dyDescent="0.25">
      <c r="A21" t="s">
        <v>24</v>
      </c>
    </row>
    <row r="22" spans="1:14" x14ac:dyDescent="0.25">
      <c r="B22" t="s">
        <v>25</v>
      </c>
      <c r="C22" t="s">
        <v>26</v>
      </c>
      <c r="D22">
        <v>8382</v>
      </c>
      <c r="I22">
        <v>8382</v>
      </c>
      <c r="J22">
        <v>8382</v>
      </c>
    </row>
    <row r="23" spans="1:14" x14ac:dyDescent="0.25">
      <c r="B23" t="s">
        <v>27</v>
      </c>
      <c r="C23" t="s">
        <v>26</v>
      </c>
      <c r="D23">
        <v>5819</v>
      </c>
      <c r="I23">
        <v>5819</v>
      </c>
      <c r="J23">
        <v>5819</v>
      </c>
    </row>
    <row r="25" spans="1:14" x14ac:dyDescent="0.25">
      <c r="A25" s="9" t="s">
        <v>28</v>
      </c>
      <c r="B25" s="9"/>
      <c r="D25" s="41">
        <f>D26*D27*D34</f>
        <v>11.029520699999999</v>
      </c>
      <c r="I25" s="41">
        <f>I26*I27*I34</f>
        <v>14.981699292738913</v>
      </c>
      <c r="J25" s="41">
        <f>J26*J27*J34</f>
        <v>14.981699292738913</v>
      </c>
    </row>
    <row r="26" spans="1:14" x14ac:dyDescent="0.25">
      <c r="B26" t="s">
        <v>29</v>
      </c>
      <c r="C26" t="s">
        <v>30</v>
      </c>
      <c r="D26" s="12">
        <v>0.93700000000000006</v>
      </c>
      <c r="E26" s="12"/>
      <c r="F26" s="12"/>
      <c r="G26" s="12"/>
      <c r="H26" s="12"/>
      <c r="I26" s="12">
        <v>0.93700000000000006</v>
      </c>
      <c r="J26" s="12">
        <v>0.93700000000000006</v>
      </c>
      <c r="K26" s="12"/>
      <c r="L26" s="12"/>
      <c r="M26" s="12"/>
      <c r="N26" s="12"/>
    </row>
    <row r="27" spans="1:14" x14ac:dyDescent="0.25">
      <c r="B27" t="s">
        <v>31</v>
      </c>
      <c r="C27" t="s">
        <v>30</v>
      </c>
      <c r="D27" s="13">
        <f>D28*D29</f>
        <v>11.889999999999999</v>
      </c>
      <c r="E27" s="13"/>
      <c r="F27" s="13"/>
      <c r="G27" s="13"/>
      <c r="H27" s="13"/>
      <c r="I27" s="13">
        <f>I28*I29</f>
        <v>16.177215470378503</v>
      </c>
      <c r="J27" s="13">
        <f>J28*J29</f>
        <v>16.177215470378503</v>
      </c>
      <c r="K27" s="13"/>
      <c r="L27" s="13"/>
      <c r="M27" s="13"/>
      <c r="N27" s="13"/>
    </row>
    <row r="28" spans="1:14" x14ac:dyDescent="0.25">
      <c r="B28" s="2" t="s">
        <v>33</v>
      </c>
      <c r="C28" t="s">
        <v>30</v>
      </c>
      <c r="D28" s="12">
        <v>4.0999999999999996</v>
      </c>
      <c r="E28" s="12">
        <f>D28*D29</f>
        <v>11.889999999999999</v>
      </c>
      <c r="F28" s="12"/>
      <c r="G28" s="12"/>
      <c r="H28" s="12"/>
      <c r="I28" s="12">
        <v>4.6699079303704449</v>
      </c>
      <c r="J28" s="12">
        <v>4.6699079303704449</v>
      </c>
      <c r="K28" s="12">
        <f>J28*J29</f>
        <v>16.177215470378503</v>
      </c>
      <c r="L28" s="12"/>
      <c r="M28" s="12"/>
      <c r="N28" s="12"/>
    </row>
    <row r="29" spans="1:14" x14ac:dyDescent="0.25">
      <c r="B29" s="2" t="s">
        <v>34</v>
      </c>
      <c r="C29" t="s">
        <v>30</v>
      </c>
      <c r="D29" s="12">
        <v>2.9</v>
      </c>
      <c r="E29" s="12">
        <f>E28*0.99</f>
        <v>11.771099999999999</v>
      </c>
      <c r="F29" s="12"/>
      <c r="G29" s="12"/>
      <c r="H29" s="12"/>
      <c r="I29" s="12">
        <v>3.4641401311514146</v>
      </c>
      <c r="J29" s="12">
        <v>3.4641401311514146</v>
      </c>
      <c r="K29" s="12">
        <f>K28*0.99</f>
        <v>16.015443315674716</v>
      </c>
      <c r="L29" s="12"/>
      <c r="M29" s="12"/>
      <c r="N29" s="12"/>
    </row>
    <row r="30" spans="1:14" x14ac:dyDescent="0.25">
      <c r="B30" t="s">
        <v>35</v>
      </c>
      <c r="C30" t="s">
        <v>30</v>
      </c>
      <c r="D30" s="13">
        <v>0.96</v>
      </c>
      <c r="E30" s="13"/>
      <c r="F30" s="13"/>
      <c r="G30" s="13"/>
      <c r="H30" s="13"/>
      <c r="I30" s="12">
        <v>0.96500959283734822</v>
      </c>
      <c r="J30" s="12">
        <v>0.96500959283734822</v>
      </c>
      <c r="K30" s="13"/>
      <c r="L30" s="13"/>
      <c r="M30" s="13"/>
      <c r="N30" s="13"/>
    </row>
    <row r="31" spans="1:14" x14ac:dyDescent="0.25">
      <c r="B31" t="s">
        <v>36</v>
      </c>
      <c r="C31" t="s">
        <v>30</v>
      </c>
      <c r="D31" s="13">
        <v>1</v>
      </c>
      <c r="E31" s="13"/>
      <c r="F31" s="13"/>
      <c r="G31" s="13"/>
      <c r="H31" s="13"/>
      <c r="I31" s="12">
        <v>0.99</v>
      </c>
      <c r="J31" s="12">
        <v>0.96923784460512552</v>
      </c>
      <c r="K31" s="13"/>
      <c r="L31" s="13"/>
      <c r="M31" s="13"/>
      <c r="N31" s="13"/>
    </row>
    <row r="32" spans="1:14" x14ac:dyDescent="0.25">
      <c r="B32" t="s">
        <v>38</v>
      </c>
      <c r="C32" t="s">
        <v>30</v>
      </c>
      <c r="D32" s="13">
        <v>0.98</v>
      </c>
      <c r="E32" s="13"/>
      <c r="F32" s="13"/>
      <c r="G32" s="13"/>
      <c r="H32" s="13"/>
      <c r="I32" s="12">
        <v>0.98383686908842904</v>
      </c>
      <c r="J32" s="12">
        <v>0.98383686908842904</v>
      </c>
      <c r="K32" s="13"/>
      <c r="L32" s="13"/>
      <c r="M32" s="13"/>
      <c r="N32" s="13"/>
    </row>
    <row r="33" spans="1:15" x14ac:dyDescent="0.25">
      <c r="B33" t="s">
        <v>39</v>
      </c>
      <c r="C33" t="s">
        <v>30</v>
      </c>
      <c r="D33" s="13">
        <v>0.98</v>
      </c>
      <c r="E33" s="13"/>
      <c r="F33" s="13"/>
      <c r="G33" s="13"/>
      <c r="H33" s="13"/>
      <c r="I33" s="12">
        <v>0.98</v>
      </c>
      <c r="J33" s="12">
        <v>1</v>
      </c>
      <c r="K33" s="13"/>
      <c r="L33" s="13"/>
      <c r="M33" s="13"/>
      <c r="N33" s="13"/>
    </row>
    <row r="34" spans="1:15" x14ac:dyDescent="0.25">
      <c r="B34" t="s">
        <v>40</v>
      </c>
      <c r="D34" s="13">
        <v>0.99</v>
      </c>
      <c r="E34" s="13"/>
      <c r="F34" s="13"/>
      <c r="G34" s="13"/>
      <c r="H34" s="13"/>
      <c r="I34" s="12">
        <v>0.98836581271440027</v>
      </c>
      <c r="J34" s="12">
        <v>0.98836581271440027</v>
      </c>
      <c r="K34" s="13"/>
      <c r="L34" s="13"/>
      <c r="M34" s="13"/>
      <c r="N34" s="13"/>
    </row>
    <row r="35" spans="1:15" x14ac:dyDescent="0.25">
      <c r="B35" t="s">
        <v>41</v>
      </c>
      <c r="D35" s="13">
        <v>0.98</v>
      </c>
      <c r="E35" s="13"/>
      <c r="F35" s="13"/>
      <c r="G35" s="13"/>
      <c r="H35" s="13"/>
      <c r="I35" s="12">
        <v>0.98</v>
      </c>
      <c r="J35" s="12">
        <v>0.98</v>
      </c>
      <c r="K35" s="13"/>
      <c r="L35" s="13"/>
      <c r="M35" s="13"/>
      <c r="N35" s="13"/>
    </row>
    <row r="36" spans="1:15" x14ac:dyDescent="0.25"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5" x14ac:dyDescent="0.25"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5" x14ac:dyDescent="0.2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40" spans="1:15" x14ac:dyDescent="0.25">
      <c r="A40" s="10" t="s">
        <v>42</v>
      </c>
      <c r="B40" s="10"/>
    </row>
    <row r="41" spans="1:15" x14ac:dyDescent="0.25">
      <c r="B41" t="s">
        <v>44</v>
      </c>
      <c r="C41" t="s">
        <v>30</v>
      </c>
      <c r="D41" s="29">
        <v>0.8999928597724669</v>
      </c>
      <c r="E41" s="29"/>
      <c r="F41" s="29"/>
      <c r="G41" s="29"/>
      <c r="H41" s="29"/>
      <c r="I41" s="29">
        <v>0.8461659285482831</v>
      </c>
      <c r="J41" s="29">
        <v>0.8461659285482831</v>
      </c>
      <c r="K41" s="29"/>
      <c r="L41" s="29"/>
      <c r="M41" s="29"/>
      <c r="N41" s="29"/>
      <c r="O41" s="37"/>
    </row>
    <row r="42" spans="1:15" x14ac:dyDescent="0.25">
      <c r="B42" t="s">
        <v>45</v>
      </c>
      <c r="C42" t="s">
        <v>30</v>
      </c>
      <c r="D42" s="29">
        <v>0.90464787861829532</v>
      </c>
      <c r="E42" s="29"/>
      <c r="F42" s="29"/>
      <c r="G42" s="29"/>
      <c r="H42" s="29"/>
      <c r="I42" s="29">
        <v>0.8806520093765744</v>
      </c>
      <c r="J42" s="29">
        <v>0.8806520093765744</v>
      </c>
      <c r="K42" s="29"/>
      <c r="L42" s="29"/>
      <c r="M42" s="29"/>
      <c r="N42" s="29"/>
      <c r="O42" s="37"/>
    </row>
    <row r="43" spans="1:15" x14ac:dyDescent="0.25">
      <c r="B43" t="s">
        <v>35</v>
      </c>
      <c r="C43" t="s">
        <v>30</v>
      </c>
      <c r="D43" s="29">
        <v>0.99</v>
      </c>
      <c r="E43" s="29"/>
      <c r="F43" s="29"/>
      <c r="G43" s="29"/>
      <c r="H43" s="29"/>
      <c r="I43" s="29">
        <v>0.99160000000000004</v>
      </c>
      <c r="J43" s="29">
        <v>0.99160000000000004</v>
      </c>
      <c r="K43" s="29"/>
      <c r="L43" s="29"/>
      <c r="M43" s="29"/>
      <c r="N43" s="29"/>
      <c r="O43" s="37"/>
    </row>
    <row r="44" spans="1:15" x14ac:dyDescent="0.25">
      <c r="B44" t="s">
        <v>36</v>
      </c>
      <c r="C44" t="s">
        <v>30</v>
      </c>
      <c r="D44" s="29">
        <v>0.99</v>
      </c>
      <c r="E44" s="29"/>
      <c r="F44" s="29"/>
      <c r="G44" s="29"/>
      <c r="H44" s="29"/>
      <c r="I44" s="29">
        <v>0.93269999999999997</v>
      </c>
      <c r="J44" s="29">
        <v>0.93269999999999997</v>
      </c>
      <c r="K44" s="29"/>
      <c r="L44" s="29"/>
      <c r="M44" s="29"/>
      <c r="N44" s="29"/>
      <c r="O44" s="37"/>
    </row>
    <row r="45" spans="1:15" x14ac:dyDescent="0.25">
      <c r="B45" t="s">
        <v>46</v>
      </c>
      <c r="C45" t="s">
        <v>30</v>
      </c>
      <c r="D45" s="29">
        <v>0.89216688005100142</v>
      </c>
      <c r="E45" s="29"/>
      <c r="F45" s="29"/>
      <c r="G45" s="29"/>
      <c r="H45" s="29"/>
      <c r="I45" s="29">
        <v>0.86017717609589972</v>
      </c>
      <c r="J45" s="29">
        <v>0.86017717609589972</v>
      </c>
      <c r="K45" s="29"/>
      <c r="L45" s="29"/>
      <c r="M45" s="29"/>
      <c r="N45" s="29"/>
      <c r="O45" s="37"/>
    </row>
    <row r="46" spans="1:15" x14ac:dyDescent="0.25">
      <c r="B46" t="s">
        <v>47</v>
      </c>
      <c r="C46" t="s">
        <v>30</v>
      </c>
      <c r="D46" s="29">
        <v>0.94687651311859256</v>
      </c>
      <c r="E46" s="29"/>
      <c r="F46" s="29"/>
      <c r="G46" s="29"/>
      <c r="H46" s="29"/>
      <c r="I46" s="29">
        <v>0.94394741063090115</v>
      </c>
      <c r="J46" s="29">
        <v>0.94394741063090115</v>
      </c>
      <c r="K46" s="29"/>
      <c r="L46" s="29"/>
      <c r="M46" s="29"/>
      <c r="N46" s="29"/>
      <c r="O46" s="37"/>
    </row>
    <row r="47" spans="1:15" x14ac:dyDescent="0.25">
      <c r="B47" t="s">
        <v>48</v>
      </c>
      <c r="C47" t="s">
        <v>30</v>
      </c>
      <c r="D47" s="29">
        <v>0.98399999999999999</v>
      </c>
      <c r="E47" s="29"/>
      <c r="F47" s="29"/>
      <c r="G47" s="29"/>
      <c r="H47" s="29"/>
      <c r="I47" s="29">
        <v>0.99592202854528644</v>
      </c>
      <c r="J47" s="29">
        <v>0.99592202854528644</v>
      </c>
      <c r="K47" s="29"/>
      <c r="L47" s="29"/>
      <c r="M47" s="29"/>
      <c r="N47" s="29"/>
      <c r="O47" s="37"/>
    </row>
    <row r="48" spans="1:15" x14ac:dyDescent="0.25">
      <c r="B48" t="s">
        <v>49</v>
      </c>
      <c r="C48" t="s">
        <v>30</v>
      </c>
      <c r="D48" s="29">
        <v>0.98399999999999999</v>
      </c>
      <c r="E48" s="29"/>
      <c r="F48" s="29"/>
      <c r="G48" s="29"/>
      <c r="H48" s="29"/>
      <c r="I48" s="29">
        <v>0.97066951426334525</v>
      </c>
      <c r="J48" s="29">
        <v>0.97066951426334525</v>
      </c>
      <c r="K48" s="29"/>
      <c r="L48" s="29"/>
      <c r="M48" s="29"/>
      <c r="N48" s="29"/>
      <c r="O48" s="37"/>
    </row>
    <row r="50" spans="1:36" x14ac:dyDescent="0.25">
      <c r="B50" t="s">
        <v>50</v>
      </c>
      <c r="C50" t="s">
        <v>30</v>
      </c>
      <c r="D50" s="12">
        <f>(D28^((D13-1)/D13)-1)/(D28^((D13-1)/(D13*D41))-1)</f>
        <v>0.87866583584140145</v>
      </c>
      <c r="E50" s="12"/>
      <c r="F50" s="12"/>
      <c r="G50" s="12"/>
      <c r="H50" s="12"/>
      <c r="I50" s="12">
        <f>(I28^((I13-1)/I13)-1)/(I28^((I13-1)/(I13*I41))-1)</f>
        <v>0.81037533767548331</v>
      </c>
      <c r="J50" s="12">
        <f>(J28^((J13-1)/J13)-1)/(J28^((J13-1)/(J13*J41))-1)</f>
        <v>0.81037533767548331</v>
      </c>
      <c r="K50" s="12"/>
      <c r="L50" s="12"/>
      <c r="M50" s="12"/>
      <c r="N50" s="12"/>
      <c r="AJ50">
        <f>3.70745/0.014397</f>
        <v>257.51545460859904</v>
      </c>
    </row>
    <row r="51" spans="1:36" x14ac:dyDescent="0.25">
      <c r="B51" t="s">
        <v>51</v>
      </c>
      <c r="C51" t="s">
        <v>30</v>
      </c>
      <c r="D51" s="12">
        <f>(D29^((D13-1)/D13)-1)/(D29^((D13-1)/(D13*D41))-1)</f>
        <v>0.88411075911111214</v>
      </c>
      <c r="E51" s="12"/>
      <c r="F51" s="12"/>
      <c r="G51" s="12"/>
      <c r="H51" s="12"/>
      <c r="I51" s="12">
        <f>(I29^((I13-1)/I13)-1)/(I29^((I13-1)/(I13*I41))-1)</f>
        <v>0.81759667993635854</v>
      </c>
      <c r="J51" s="12">
        <f>(J29^((J13-1)/J13)-1)/(J29^((J13-1)/(J13*J41))-1)</f>
        <v>0.81759667993635854</v>
      </c>
      <c r="K51" s="12"/>
      <c r="L51" s="12"/>
      <c r="M51" s="12"/>
      <c r="N51" s="12"/>
    </row>
    <row r="52" spans="1:36" x14ac:dyDescent="0.25"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</row>
    <row r="53" spans="1:36" x14ac:dyDescent="0.25">
      <c r="A53" s="33" t="s">
        <v>52</v>
      </c>
      <c r="B53" s="33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</row>
    <row r="54" spans="1:36" x14ac:dyDescent="0.25">
      <c r="B54" t="s">
        <v>53</v>
      </c>
      <c r="C54" t="s">
        <v>54</v>
      </c>
      <c r="D54" s="12">
        <v>0</v>
      </c>
      <c r="E54" s="12"/>
      <c r="F54" s="12"/>
      <c r="G54" s="12"/>
      <c r="H54" s="12"/>
      <c r="I54" s="12">
        <v>0</v>
      </c>
      <c r="J54" s="12">
        <v>0</v>
      </c>
      <c r="K54" s="12"/>
      <c r="L54" s="12"/>
      <c r="M54" s="12"/>
      <c r="N54" s="12"/>
    </row>
    <row r="55" spans="1:36" x14ac:dyDescent="0.25">
      <c r="B55" t="s">
        <v>55</v>
      </c>
      <c r="C55" t="s">
        <v>54</v>
      </c>
      <c r="D55" s="12">
        <f>(289.345-257.517)/289.345</f>
        <v>0.11000017280409211</v>
      </c>
      <c r="E55" s="12"/>
      <c r="F55" s="12"/>
      <c r="G55" s="12"/>
      <c r="H55" s="12"/>
      <c r="I55" s="12">
        <f>(289.345-257.517)/289.345</f>
        <v>0.11000017280409211</v>
      </c>
      <c r="J55" s="12">
        <f>(289.345-257.517)/289.345</f>
        <v>0.11000017280409211</v>
      </c>
      <c r="K55" s="12"/>
      <c r="L55" s="12"/>
      <c r="M55" s="12"/>
      <c r="N55" s="12"/>
    </row>
    <row r="56" spans="1:36" x14ac:dyDescent="0.25">
      <c r="B56" t="s">
        <v>56</v>
      </c>
      <c r="C56" t="s">
        <v>54</v>
      </c>
      <c r="D56" s="12">
        <f>(275.692-261.224)/(289.345)</f>
        <v>5.0002592061380073E-2</v>
      </c>
      <c r="E56" s="12"/>
      <c r="F56" s="12"/>
      <c r="G56" s="12"/>
      <c r="H56" s="12"/>
      <c r="I56" s="12">
        <v>4.7480695841514854E-2</v>
      </c>
      <c r="J56" s="12">
        <v>4.7480695841514854E-2</v>
      </c>
      <c r="K56" s="12"/>
      <c r="L56" s="12"/>
      <c r="M56" s="12"/>
      <c r="N56" s="12"/>
    </row>
    <row r="57" spans="1:36" x14ac:dyDescent="0.25">
      <c r="B57" t="s">
        <v>58</v>
      </c>
      <c r="C57" t="s">
        <v>54</v>
      </c>
      <c r="D57" s="12">
        <f>D55-D56</f>
        <v>5.9997580742712033E-2</v>
      </c>
      <c r="E57" s="12"/>
      <c r="F57" s="12"/>
      <c r="G57" s="12"/>
      <c r="H57" s="12"/>
      <c r="I57" s="12">
        <f>I55-I56</f>
        <v>6.2519476962577258E-2</v>
      </c>
      <c r="J57" s="12">
        <f>J55-J56</f>
        <v>6.2519476962577258E-2</v>
      </c>
      <c r="K57" s="12"/>
      <c r="L57" s="12"/>
      <c r="M57" s="12"/>
      <c r="N57" s="12"/>
    </row>
    <row r="58" spans="1:36" x14ac:dyDescent="0.25">
      <c r="B58" t="s">
        <v>59</v>
      </c>
      <c r="C58" t="s">
        <v>54</v>
      </c>
      <c r="D58" s="12">
        <v>0</v>
      </c>
      <c r="E58" s="12"/>
      <c r="F58" s="12"/>
      <c r="G58" s="12"/>
      <c r="H58" s="12"/>
      <c r="I58" s="12">
        <f>(545.725-249.007)/542.651</f>
        <v>0.54679342708296874</v>
      </c>
      <c r="J58" s="12">
        <f>(545.725-249.007)/542.651</f>
        <v>0.54679342708296874</v>
      </c>
      <c r="K58" s="12"/>
      <c r="L58" s="12"/>
      <c r="M58" s="12"/>
      <c r="N58" s="12"/>
    </row>
    <row r="60" spans="1:36" x14ac:dyDescent="0.25">
      <c r="D60" s="12">
        <f>(D62*D14)/(D7*D12)</f>
        <v>7.0865993531416347</v>
      </c>
      <c r="E60" s="12"/>
      <c r="F60" s="12"/>
      <c r="G60" s="12"/>
      <c r="H60" s="12"/>
      <c r="I60" s="12">
        <f>(I62*I14)/(I7*I12)</f>
        <v>5.5356920687181743</v>
      </c>
      <c r="J60" s="12">
        <f>(J62*J14)/(J7*J12)</f>
        <v>5.5356920687181743</v>
      </c>
      <c r="K60" s="12"/>
      <c r="L60" s="12"/>
      <c r="M60" s="12"/>
      <c r="N60" s="12"/>
    </row>
    <row r="61" spans="1:36" x14ac:dyDescent="0.25">
      <c r="B61" t="s">
        <v>60</v>
      </c>
    </row>
    <row r="62" spans="1:36" x14ac:dyDescent="0.25">
      <c r="B62" t="s">
        <v>61</v>
      </c>
      <c r="C62" t="s">
        <v>8</v>
      </c>
      <c r="D62" s="14">
        <v>1350</v>
      </c>
      <c r="E62" s="14"/>
      <c r="F62" s="14"/>
      <c r="G62" s="14"/>
      <c r="H62" s="14"/>
      <c r="I62" s="14">
        <v>1352.1000000000001</v>
      </c>
      <c r="J62" s="14">
        <v>1352.1000000000001</v>
      </c>
      <c r="K62" s="14"/>
      <c r="L62" s="14"/>
      <c r="M62" s="14"/>
      <c r="N62" s="14"/>
      <c r="O62" s="5"/>
    </row>
    <row r="63" spans="1:36" x14ac:dyDescent="0.25">
      <c r="B63" t="s">
        <v>62</v>
      </c>
      <c r="D63" s="14"/>
      <c r="E63" s="14"/>
      <c r="F63" s="14"/>
      <c r="G63" s="14"/>
      <c r="H63" s="14"/>
      <c r="I63" s="14"/>
      <c r="J63" s="14">
        <v>1100</v>
      </c>
      <c r="K63" s="14"/>
      <c r="L63" s="14"/>
      <c r="M63" s="14"/>
      <c r="N63" s="14"/>
      <c r="O63" s="5"/>
    </row>
    <row r="64" spans="1:36" x14ac:dyDescent="0.25">
      <c r="B64" t="s">
        <v>64</v>
      </c>
      <c r="C64" t="s">
        <v>65</v>
      </c>
      <c r="D64" s="12">
        <f t="shared" ref="D64" si="0">D68</f>
        <v>131.22222222222223</v>
      </c>
      <c r="E64" s="12"/>
      <c r="F64" s="12"/>
      <c r="G64" s="12"/>
      <c r="H64" s="12"/>
      <c r="I64" s="12">
        <v>246.1</v>
      </c>
      <c r="J64" s="12">
        <v>246.1</v>
      </c>
      <c r="K64" s="12"/>
      <c r="L64" s="12"/>
      <c r="M64" s="12"/>
      <c r="N64" s="12"/>
    </row>
    <row r="65" spans="1:15" x14ac:dyDescent="0.25">
      <c r="B65" t="s">
        <v>67</v>
      </c>
      <c r="D65">
        <v>1.8</v>
      </c>
      <c r="I65">
        <v>1.05</v>
      </c>
      <c r="J65">
        <v>1.05</v>
      </c>
    </row>
    <row r="67" spans="1:15" x14ac:dyDescent="0.25">
      <c r="A67" t="s">
        <v>68</v>
      </c>
    </row>
    <row r="68" spans="1:15" x14ac:dyDescent="0.25">
      <c r="B68" t="s">
        <v>193</v>
      </c>
      <c r="C68" t="s">
        <v>65</v>
      </c>
      <c r="D68" s="13">
        <f>289.345/2.205</f>
        <v>131.22222222222223</v>
      </c>
      <c r="E68" s="12">
        <f>D68*2.205</f>
        <v>289.34500000000003</v>
      </c>
      <c r="F68" s="12">
        <v>289.34500000000003</v>
      </c>
      <c r="G68" s="31">
        <f t="shared" ref="G68:G69" si="1">(E68-F68)/F68</f>
        <v>0</v>
      </c>
      <c r="H68" s="12"/>
      <c r="I68" s="13">
        <f>I64</f>
        <v>246.1</v>
      </c>
      <c r="J68" s="13">
        <f>J64</f>
        <v>246.1</v>
      </c>
      <c r="K68" s="12">
        <f>J68*2.205</f>
        <v>542.65049999999997</v>
      </c>
      <c r="L68" s="12">
        <v>542.65099999999995</v>
      </c>
      <c r="M68" s="31">
        <f t="shared" ref="M68:M69" si="2">(K68-L68)/L68</f>
        <v>-9.2140252204119515E-7</v>
      </c>
      <c r="N68" s="12"/>
    </row>
    <row r="69" spans="1:15" x14ac:dyDescent="0.25">
      <c r="B69" t="s">
        <v>72</v>
      </c>
      <c r="C69" t="s">
        <v>65</v>
      </c>
      <c r="D69" s="13">
        <f>D109</f>
        <v>1.9416371218778743</v>
      </c>
      <c r="E69" s="12">
        <f t="shared" ref="E69" si="3">D69*2.205</f>
        <v>4.281309853740713</v>
      </c>
      <c r="F69" s="12">
        <v>3.7074500000000001</v>
      </c>
      <c r="G69" s="31">
        <f t="shared" si="1"/>
        <v>0.15478559488077059</v>
      </c>
      <c r="H69" s="12"/>
      <c r="I69" s="13">
        <f>I109</f>
        <v>4.5765022611399075</v>
      </c>
      <c r="J69" s="13">
        <f>J109</f>
        <v>4.5765022611399075</v>
      </c>
      <c r="K69" s="12">
        <f t="shared" ref="K69" si="4">J69*2.205</f>
        <v>10.091187485813496</v>
      </c>
      <c r="L69" s="12">
        <v>8.5005000000000006</v>
      </c>
      <c r="M69" s="31">
        <f t="shared" si="2"/>
        <v>0.18712869664296158</v>
      </c>
      <c r="N69" s="12"/>
    </row>
    <row r="70" spans="1:15" x14ac:dyDescent="0.25">
      <c r="B70" t="s">
        <v>73</v>
      </c>
      <c r="C70" t="s">
        <v>65</v>
      </c>
      <c r="D70" s="12"/>
      <c r="E70" s="12"/>
      <c r="G70" s="31"/>
      <c r="I70" s="12"/>
      <c r="J70" s="12"/>
      <c r="K70" s="12"/>
      <c r="M70" s="31"/>
    </row>
    <row r="71" spans="1:15" x14ac:dyDescent="0.25">
      <c r="B71" t="s">
        <v>74</v>
      </c>
      <c r="C71" t="s">
        <v>65</v>
      </c>
    </row>
    <row r="72" spans="1:15" x14ac:dyDescent="0.25">
      <c r="B72" t="s">
        <v>75</v>
      </c>
      <c r="C72" t="s">
        <v>65</v>
      </c>
      <c r="D72" s="12">
        <f>D68+D69-D131</f>
        <v>1.0180211793133651</v>
      </c>
      <c r="E72" s="12">
        <f>D72*2.205</f>
        <v>2.2447367003859702</v>
      </c>
      <c r="F72">
        <v>2.8929999999999998</v>
      </c>
      <c r="G72" s="31">
        <f>(E72-F72)/F72</f>
        <v>-0.22407995147391277</v>
      </c>
      <c r="I72" s="12">
        <f>I68+I69-I131</f>
        <v>1.8106376042213412</v>
      </c>
      <c r="J72" s="12">
        <f>J68+J69-J131</f>
        <v>1.8106376042213412</v>
      </c>
      <c r="K72" s="12">
        <f>J72*2.205</f>
        <v>3.9924559173080576</v>
      </c>
      <c r="L72">
        <v>5.4269999999999996</v>
      </c>
      <c r="M72" s="31">
        <f>(K72-L72)/L72</f>
        <v>-0.26433463841753124</v>
      </c>
    </row>
    <row r="73" spans="1:15" x14ac:dyDescent="0.25">
      <c r="D73" s="12"/>
      <c r="E73" s="12"/>
      <c r="G73" s="31"/>
      <c r="I73" s="12"/>
      <c r="J73" s="12"/>
      <c r="K73" s="12"/>
      <c r="M73" s="31"/>
    </row>
    <row r="74" spans="1:15" x14ac:dyDescent="0.25">
      <c r="A74" t="s">
        <v>76</v>
      </c>
    </row>
    <row r="75" spans="1:15" x14ac:dyDescent="0.25">
      <c r="A75" t="s">
        <v>77</v>
      </c>
    </row>
    <row r="76" spans="1:15" x14ac:dyDescent="0.25">
      <c r="B76" t="s">
        <v>79</v>
      </c>
      <c r="C76" t="s">
        <v>10</v>
      </c>
      <c r="D76" s="27">
        <f>D8</f>
        <v>10.038766618853135</v>
      </c>
      <c r="E76" s="27">
        <f>CONVERT(D76*1000,"Pa","psi")</f>
        <v>1.456</v>
      </c>
      <c r="F76" s="27">
        <v>1.456</v>
      </c>
      <c r="G76" s="31">
        <f>(E76-F76)/F76</f>
        <v>0</v>
      </c>
      <c r="H76" s="31"/>
      <c r="I76" s="27">
        <f>I8</f>
        <v>101.0958156351939</v>
      </c>
      <c r="J76" s="27">
        <f>J8</f>
        <v>101.0958156351939</v>
      </c>
      <c r="K76" s="27">
        <f>CONVERT(J76*1000,"Pa","psi")</f>
        <v>14.662708393718836</v>
      </c>
      <c r="L76" s="27">
        <v>14.696</v>
      </c>
      <c r="M76" s="31">
        <f>(K76-L76)/L76</f>
        <v>-2.2653515433562958E-3</v>
      </c>
      <c r="N76" s="31"/>
      <c r="O76" s="37"/>
    </row>
    <row r="77" spans="1:15" x14ac:dyDescent="0.25">
      <c r="B77" t="s">
        <v>80</v>
      </c>
      <c r="C77" t="s">
        <v>10</v>
      </c>
      <c r="D77" s="27">
        <f>((((D9^2)*((D13-1)/2))+1)^(D13/(D13-1)))*D76</f>
        <v>78.614006576467645</v>
      </c>
      <c r="E77" s="27">
        <f>CONVERT(D77*1000,"Pa","psi")</f>
        <v>11.401997667758655</v>
      </c>
      <c r="F77" s="27">
        <v>11.401999999999999</v>
      </c>
      <c r="G77" s="31">
        <f>(E77-F77)/F77</f>
        <v>-2.0454668865546701E-7</v>
      </c>
      <c r="H77" s="31"/>
      <c r="I77" s="27">
        <f>((((I9^2)*((I13-1)/2))+1)^(I13/(I13-1)))*I76</f>
        <v>107.94432018184386</v>
      </c>
      <c r="J77" s="27">
        <f>((((J9^2)*((J13-1)/2))+1)^(J13/(J13-1)))*J76</f>
        <v>107.94432018184386</v>
      </c>
      <c r="K77" s="27">
        <f>CONVERT(J77*1000,"Pa","psi")</f>
        <v>15.655999999999999</v>
      </c>
      <c r="L77" s="27">
        <v>15.656000000000001</v>
      </c>
      <c r="M77" s="31">
        <f>(K77-L77)/L77</f>
        <v>-1.1346172964999044E-16</v>
      </c>
      <c r="N77" s="31"/>
      <c r="O77" s="37"/>
    </row>
    <row r="78" spans="1:15" x14ac:dyDescent="0.25">
      <c r="B78" t="s">
        <v>81</v>
      </c>
      <c r="C78" t="s">
        <v>8</v>
      </c>
      <c r="D78" s="12">
        <f>D7</f>
        <v>216.65</v>
      </c>
      <c r="E78" s="12">
        <f>D78*1.8</f>
        <v>389.97</v>
      </c>
      <c r="F78" s="12">
        <v>389.97</v>
      </c>
      <c r="G78" s="12">
        <f>E78-F78</f>
        <v>0</v>
      </c>
      <c r="H78" s="12"/>
      <c r="I78" s="12">
        <f>I7</f>
        <v>288.14999999999998</v>
      </c>
      <c r="J78" s="12">
        <f>J7</f>
        <v>288.14999999999998</v>
      </c>
      <c r="K78" s="12">
        <f>J78*1.8</f>
        <v>518.66999999999996</v>
      </c>
      <c r="L78" s="12">
        <v>518.66999999999996</v>
      </c>
      <c r="M78" s="12">
        <f>K78-L78</f>
        <v>0</v>
      </c>
      <c r="N78" s="12"/>
    </row>
    <row r="79" spans="1:15" x14ac:dyDescent="0.25">
      <c r="B79" t="s">
        <v>82</v>
      </c>
      <c r="C79" t="s">
        <v>8</v>
      </c>
      <c r="D79" s="12">
        <f>((((D9^2)*((D13-1)/2))+1))*D78</f>
        <v>390.06386003986336</v>
      </c>
      <c r="E79" s="12">
        <f>D79*1.8</f>
        <v>702.11494807175404</v>
      </c>
      <c r="F79" s="12">
        <v>701.78399999999999</v>
      </c>
      <c r="G79" s="12">
        <f>E79-F79</f>
        <v>0.33094807175405094</v>
      </c>
      <c r="H79" s="12"/>
      <c r="I79" s="12">
        <f>((((I9^2)*((I13-1)/2))+1))*I78</f>
        <v>293.59722234851012</v>
      </c>
      <c r="J79" s="12">
        <f>((((J9^2)*((J13-1)/2))+1))*J78</f>
        <v>293.59722234851012</v>
      </c>
      <c r="K79" s="12">
        <f>J79*1.8</f>
        <v>528.47500022731822</v>
      </c>
      <c r="L79" s="12">
        <v>528.14</v>
      </c>
      <c r="M79" s="12">
        <f>K79-L79</f>
        <v>0.33500022731823265</v>
      </c>
      <c r="N79" s="12"/>
    </row>
    <row r="80" spans="1:15" x14ac:dyDescent="0.25">
      <c r="B80" t="s">
        <v>83</v>
      </c>
      <c r="C80" t="s">
        <v>84</v>
      </c>
      <c r="D80" s="12">
        <f>SQRT((D13-1)*D12*D78)</f>
        <v>295.19596570046343</v>
      </c>
      <c r="E80" s="12">
        <f>CONVERT(D80,"m","ft")</f>
        <v>968.49070111700598</v>
      </c>
      <c r="F80" s="12"/>
      <c r="G80" s="31"/>
      <c r="H80" s="31"/>
      <c r="I80" s="12">
        <f>SQRT((I13-1)*I12*I78)</f>
        <v>340.43984426446633</v>
      </c>
      <c r="J80" s="12">
        <f>SQRT((J13-1)*J12*J78)</f>
        <v>340.43984426446633</v>
      </c>
      <c r="K80" s="12">
        <f>CONVERT(J80,"m","ft")</f>
        <v>1116.9286229149156</v>
      </c>
      <c r="L80" s="12"/>
      <c r="M80" s="31"/>
      <c r="N80" s="31"/>
      <c r="O80" s="37"/>
    </row>
    <row r="81" spans="1:15" x14ac:dyDescent="0.25">
      <c r="B81" t="s">
        <v>85</v>
      </c>
      <c r="C81" t="s">
        <v>84</v>
      </c>
      <c r="D81" s="12">
        <f>D9*D80</f>
        <v>590.55177074424569</v>
      </c>
      <c r="E81" s="12">
        <f>CONVERT(D81,"m","ft")</f>
        <v>1937.5058095283653</v>
      </c>
      <c r="F81" s="12"/>
      <c r="G81" s="31"/>
      <c r="H81" s="31"/>
      <c r="I81" s="12">
        <f>I9*I80</f>
        <v>104.66551744926059</v>
      </c>
      <c r="J81" s="12">
        <f>J9*J80</f>
        <v>104.66551744926059</v>
      </c>
      <c r="K81" s="12">
        <f>CONVERT(J81,"m","ft")</f>
        <v>343.39080527972635</v>
      </c>
      <c r="L81" s="12"/>
      <c r="M81" s="31"/>
      <c r="N81" s="31"/>
      <c r="O81" s="37"/>
    </row>
    <row r="82" spans="1:15" x14ac:dyDescent="0.25">
      <c r="B82" t="s">
        <v>86</v>
      </c>
      <c r="C82" t="s">
        <v>87</v>
      </c>
      <c r="D82" s="12">
        <f>((D13-1)/D13)*D12/1000</f>
        <v>0.28729899497487438</v>
      </c>
      <c r="E82" s="32">
        <f>D82*0.2388</f>
        <v>6.8607000000000001E-2</v>
      </c>
      <c r="F82" s="32">
        <v>6.8607000000000001E-2</v>
      </c>
      <c r="G82" s="31">
        <f>(E82-F82)/F82</f>
        <v>0</v>
      </c>
      <c r="H82" s="31"/>
      <c r="I82" s="12">
        <f>((I13-1)/I13)*I12/1000</f>
        <v>0.28729899497487438</v>
      </c>
      <c r="J82" s="12">
        <f>((J13-1)/J13)*J12/1000</f>
        <v>0.28729899497487438</v>
      </c>
      <c r="K82" s="32">
        <f>J82*0.2388</f>
        <v>6.8607000000000001E-2</v>
      </c>
      <c r="L82" s="32">
        <v>6.8607000000000001E-2</v>
      </c>
      <c r="M82" s="31">
        <f>(K82-L82)/L82</f>
        <v>0</v>
      </c>
      <c r="N82" s="31"/>
      <c r="O82" s="37"/>
    </row>
    <row r="83" spans="1:15" x14ac:dyDescent="0.25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</row>
    <row r="84" spans="1:15" x14ac:dyDescent="0.25">
      <c r="A84" t="s">
        <v>88</v>
      </c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</row>
    <row r="85" spans="1:15" x14ac:dyDescent="0.25">
      <c r="B85" t="s">
        <v>90</v>
      </c>
      <c r="C85" t="s">
        <v>10</v>
      </c>
      <c r="D85" s="12">
        <f>D77</f>
        <v>78.614006576467645</v>
      </c>
      <c r="E85" s="27">
        <f>CONVERT(D85*1000,"Pa","psi")</f>
        <v>11.401997667758655</v>
      </c>
      <c r="F85">
        <v>11.401999999999999</v>
      </c>
      <c r="G85" s="31">
        <f t="shared" ref="G85:G86" si="5">(E85-F85)/F85</f>
        <v>-2.0454668865546701E-7</v>
      </c>
      <c r="H85" s="31"/>
      <c r="I85" s="12">
        <f>I77</f>
        <v>107.94432018184386</v>
      </c>
      <c r="J85" s="12">
        <f>J77</f>
        <v>107.94432018184386</v>
      </c>
      <c r="K85" s="27">
        <f>CONVERT(J85*1000,"Pa","psi")</f>
        <v>15.655999999999999</v>
      </c>
      <c r="L85">
        <v>15.656000000000001</v>
      </c>
      <c r="M85" s="31">
        <f t="shared" ref="M85:M86" si="6">(K85-L85)/L85</f>
        <v>-1.1346172964999044E-16</v>
      </c>
      <c r="N85" s="31"/>
      <c r="O85" s="37"/>
    </row>
    <row r="86" spans="1:15" x14ac:dyDescent="0.25">
      <c r="B86" t="s">
        <v>91</v>
      </c>
      <c r="C86" t="s">
        <v>10</v>
      </c>
      <c r="D86" s="12">
        <f>D85*D26</f>
        <v>73.661324162150194</v>
      </c>
      <c r="E86" s="27">
        <f>CONVERT(D86*1000,"Pa","psi")</f>
        <v>10.683671814689863</v>
      </c>
      <c r="F86" s="27">
        <v>10.683999999999999</v>
      </c>
      <c r="G86" s="31">
        <f t="shared" si="5"/>
        <v>-3.0717456957756923E-5</v>
      </c>
      <c r="H86" s="31"/>
      <c r="I86" s="12">
        <f>I85*I26</f>
        <v>101.14382801038771</v>
      </c>
      <c r="J86" s="12">
        <f>J85*J26</f>
        <v>101.14382801038771</v>
      </c>
      <c r="K86" s="27">
        <f>CONVERT(J86*1000,"Pa","psi")</f>
        <v>14.669672</v>
      </c>
      <c r="L86" s="27">
        <v>14.67</v>
      </c>
      <c r="M86" s="31">
        <f t="shared" si="6"/>
        <v>-2.2358554873869249E-5</v>
      </c>
      <c r="N86" s="31"/>
      <c r="O86" s="37"/>
    </row>
    <row r="87" spans="1:15" x14ac:dyDescent="0.25">
      <c r="B87" t="s">
        <v>92</v>
      </c>
      <c r="C87" t="s">
        <v>8</v>
      </c>
      <c r="D87" s="12">
        <f>D79</f>
        <v>390.06386003986336</v>
      </c>
      <c r="E87" s="12">
        <f>D87*1.8</f>
        <v>702.11494807175404</v>
      </c>
      <c r="F87" s="12">
        <v>701.78</v>
      </c>
      <c r="G87" s="12">
        <f>E87-F87</f>
        <v>0.33494807175407004</v>
      </c>
      <c r="H87" s="12"/>
      <c r="I87" s="12">
        <f>I79</f>
        <v>293.59722234851012</v>
      </c>
      <c r="J87" s="12">
        <f>J79</f>
        <v>293.59722234851012</v>
      </c>
      <c r="K87" s="12">
        <f>J87*1.8</f>
        <v>528.47500022731822</v>
      </c>
      <c r="L87" s="12">
        <v>528.14</v>
      </c>
      <c r="M87" s="12">
        <f>K87-L87</f>
        <v>0.33500022731823265</v>
      </c>
      <c r="N87" s="12"/>
    </row>
    <row r="88" spans="1:15" x14ac:dyDescent="0.25">
      <c r="B88" t="s">
        <v>93</v>
      </c>
      <c r="C88" t="s">
        <v>8</v>
      </c>
      <c r="D88" s="12">
        <f>D87</f>
        <v>390.06386003986336</v>
      </c>
      <c r="E88" s="12">
        <f>D88*1.8</f>
        <v>702.11494807175404</v>
      </c>
      <c r="F88" s="12">
        <v>701.78</v>
      </c>
      <c r="G88" s="12">
        <f>E88-F88</f>
        <v>0.33494807175407004</v>
      </c>
      <c r="H88" s="12"/>
      <c r="I88" s="12">
        <f>I87</f>
        <v>293.59722234851012</v>
      </c>
      <c r="J88" s="12">
        <f>J87</f>
        <v>293.59722234851012</v>
      </c>
      <c r="K88" s="12">
        <f>J88*1.8</f>
        <v>528.47500022731822</v>
      </c>
      <c r="L88" s="12">
        <v>528.14</v>
      </c>
      <c r="M88" s="12">
        <f>K88-L88</f>
        <v>0.33500022731823265</v>
      </c>
      <c r="N88" s="12"/>
    </row>
    <row r="90" spans="1:15" x14ac:dyDescent="0.25">
      <c r="A90" t="s">
        <v>53</v>
      </c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</row>
    <row r="91" spans="1:15" x14ac:dyDescent="0.25">
      <c r="B91" t="s">
        <v>91</v>
      </c>
      <c r="C91" t="s">
        <v>10</v>
      </c>
      <c r="D91" s="12">
        <f>D86</f>
        <v>73.661324162150194</v>
      </c>
      <c r="E91" s="27">
        <f>CONVERT(D91*1000,"Pa","psi")</f>
        <v>10.683671814689863</v>
      </c>
      <c r="F91" s="27">
        <v>10.683999999999999</v>
      </c>
      <c r="G91" s="31">
        <f t="shared" ref="G91" si="7">(E91-F91)/F91</f>
        <v>-3.0717456957756923E-5</v>
      </c>
      <c r="H91" s="31"/>
      <c r="I91" s="12">
        <f>I86</f>
        <v>101.14382801038771</v>
      </c>
      <c r="J91" s="12">
        <f>J86</f>
        <v>101.14382801038771</v>
      </c>
      <c r="K91" s="27">
        <f>CONVERT(J91*1000,"Pa","psi")</f>
        <v>14.669672</v>
      </c>
      <c r="L91" s="27">
        <v>14.67</v>
      </c>
      <c r="M91" s="31">
        <f t="shared" ref="M91" si="8">(K91-L91)/L91</f>
        <v>-2.2358554873869249E-5</v>
      </c>
      <c r="N91" s="31"/>
      <c r="O91" s="37"/>
    </row>
    <row r="92" spans="1:15" x14ac:dyDescent="0.25">
      <c r="B92" t="s">
        <v>194</v>
      </c>
      <c r="C92" t="s">
        <v>10</v>
      </c>
      <c r="D92" s="12">
        <f>D91*D28</f>
        <v>302.01142906481579</v>
      </c>
      <c r="E92" s="27">
        <f>CONVERT(D92*1000,"Pa","psi")</f>
        <v>43.803054440228436</v>
      </c>
      <c r="F92" s="27">
        <v>43.802999999999997</v>
      </c>
      <c r="G92" s="31">
        <f>(E92-F92)/F92</f>
        <v>1.2428424637361459E-6</v>
      </c>
      <c r="H92" s="31"/>
      <c r="I92" s="12">
        <f>I91*I28</f>
        <v>472.33236453373388</v>
      </c>
      <c r="J92" s="12">
        <f>J91*J28</f>
        <v>472.33236453373388</v>
      </c>
      <c r="K92" s="27">
        <f>CONVERT(J92*1000,"Pa","psi")</f>
        <v>68.506017608733259</v>
      </c>
      <c r="L92" s="27">
        <v>68.504999999999995</v>
      </c>
      <c r="M92" s="31">
        <f>(K92-L92)/L92</f>
        <v>1.4854517674094472E-5</v>
      </c>
      <c r="N92" s="31"/>
      <c r="O92" s="37"/>
    </row>
    <row r="93" spans="1:15" x14ac:dyDescent="0.25">
      <c r="B93" t="s">
        <v>93</v>
      </c>
      <c r="C93" t="s">
        <v>8</v>
      </c>
      <c r="D93" s="12">
        <f>D88</f>
        <v>390.06386003986336</v>
      </c>
      <c r="E93" s="12">
        <f>D93*1.8</f>
        <v>702.11494807175404</v>
      </c>
      <c r="F93" s="12">
        <v>701.78</v>
      </c>
      <c r="G93" s="12">
        <f>E93-F93</f>
        <v>0.33494807175407004</v>
      </c>
      <c r="H93" s="12"/>
      <c r="I93" s="12">
        <f>I88</f>
        <v>293.59722234851012</v>
      </c>
      <c r="J93" s="12">
        <f>J88</f>
        <v>293.59722234851012</v>
      </c>
      <c r="K93" s="12">
        <f>J93*1.8</f>
        <v>528.47500022731822</v>
      </c>
      <c r="L93" s="12">
        <v>528.14</v>
      </c>
      <c r="M93" s="12">
        <f>K93-L93</f>
        <v>0.33500022731823265</v>
      </c>
      <c r="N93" s="12"/>
    </row>
    <row r="94" spans="1:15" x14ac:dyDescent="0.25">
      <c r="B94" t="s">
        <v>195</v>
      </c>
      <c r="C94" t="s">
        <v>8</v>
      </c>
      <c r="D94" s="12">
        <f>D93*(D92/D91)^((D13-1)/(D13*D41))</f>
        <v>610.48052670676088</v>
      </c>
      <c r="E94" s="12">
        <f>D94*1.8</f>
        <v>1098.8649480721697</v>
      </c>
      <c r="F94" s="12">
        <v>1098.53</v>
      </c>
      <c r="G94" s="12">
        <f t="shared" ref="G94" si="9">E94-F94</f>
        <v>0.33494807216970912</v>
      </c>
      <c r="H94" s="12"/>
      <c r="I94" s="12">
        <f>I93*(I92/I91)^((I13-1)/(I13*I41))</f>
        <v>494.02499999985724</v>
      </c>
      <c r="J94" s="12">
        <f>J93*(J92/J91)^((J13-1)/(J13*J41))</f>
        <v>494.02499999985724</v>
      </c>
      <c r="K94" s="12">
        <f>J94*1.8</f>
        <v>889.24499999974307</v>
      </c>
      <c r="L94" s="12">
        <v>888.91</v>
      </c>
      <c r="M94" s="12">
        <f t="shared" ref="M94" si="10">K94-L94</f>
        <v>0.33499999974310413</v>
      </c>
      <c r="N94" s="12"/>
    </row>
    <row r="95" spans="1:15" x14ac:dyDescent="0.25">
      <c r="B95" t="s">
        <v>103</v>
      </c>
      <c r="C95" s="7" t="s">
        <v>107</v>
      </c>
      <c r="D95" s="12">
        <f>(D68*D12*(D94-D93))/1000000</f>
        <v>29.083988858384743</v>
      </c>
      <c r="E95" s="12"/>
      <c r="F95" s="12"/>
      <c r="G95" s="31"/>
      <c r="H95" s="31"/>
      <c r="I95" s="12">
        <f>(I68*I12*(I94-I93))/1000000</f>
        <v>49.598857856244273</v>
      </c>
      <c r="J95" s="12">
        <f>(J68*J12*(J94-J93))/1000000</f>
        <v>49.598857856244273</v>
      </c>
      <c r="K95" s="12"/>
      <c r="L95" s="12"/>
      <c r="M95" s="31"/>
      <c r="N95" s="31"/>
      <c r="O95" s="37"/>
    </row>
    <row r="96" spans="1:15" x14ac:dyDescent="0.25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</row>
    <row r="97" spans="1:15" x14ac:dyDescent="0.25">
      <c r="A97" t="s">
        <v>108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</row>
    <row r="98" spans="1:15" x14ac:dyDescent="0.25">
      <c r="B98" t="s">
        <v>110</v>
      </c>
      <c r="C98" t="s">
        <v>10</v>
      </c>
      <c r="D98" s="12">
        <f>D92*D34</f>
        <v>298.99131477416762</v>
      </c>
      <c r="E98" s="27">
        <f>CONVERT(D98*1000,"Pa","psi")</f>
        <v>43.365023895826148</v>
      </c>
      <c r="F98" s="27">
        <v>43.365000000000002</v>
      </c>
      <c r="G98" s="31">
        <f t="shared" ref="G98:G99" si="11">(E98-F98)/F98</f>
        <v>5.5103945915504471E-7</v>
      </c>
      <c r="H98" s="31"/>
      <c r="I98" s="12">
        <f>I92*I34</f>
        <v>466.83716134369826</v>
      </c>
      <c r="J98" s="12">
        <f>J92*J34</f>
        <v>466.83716134369826</v>
      </c>
      <c r="K98" s="27">
        <f>CONVERT(J98*1000,"Pa","psi")</f>
        <v>67.709005769682676</v>
      </c>
      <c r="L98" s="27">
        <v>67.707999999999998</v>
      </c>
      <c r="M98" s="31">
        <f t="shared" ref="M98:M99" si="12">(K98-L98)/L98</f>
        <v>1.4854517674096671E-5</v>
      </c>
      <c r="N98" s="31"/>
      <c r="O98" s="37"/>
    </row>
    <row r="99" spans="1:15" x14ac:dyDescent="0.25">
      <c r="B99" t="s">
        <v>111</v>
      </c>
      <c r="C99" t="s">
        <v>10</v>
      </c>
      <c r="D99" s="12">
        <f>D98*D29</f>
        <v>867.07481284508606</v>
      </c>
      <c r="E99" s="27">
        <f>CONVERT(D99*1000,"Pa","psi")</f>
        <v>125.75856929789583</v>
      </c>
      <c r="F99" s="27">
        <v>125.75700000000001</v>
      </c>
      <c r="G99" s="31">
        <f t="shared" si="11"/>
        <v>1.2478811484267664E-5</v>
      </c>
      <c r="H99" s="31"/>
      <c r="I99" s="12">
        <f>I98*I29</f>
        <v>1617.189345323513</v>
      </c>
      <c r="J99" s="12">
        <f>J98*J29</f>
        <v>1617.189345323513</v>
      </c>
      <c r="K99" s="27">
        <f>CONVERT(J99*1000,"Pa","psi")</f>
        <v>234.55348412712041</v>
      </c>
      <c r="L99" s="27">
        <v>234.55</v>
      </c>
      <c r="M99" s="31">
        <f t="shared" si="12"/>
        <v>1.4854517673850271E-5</v>
      </c>
      <c r="N99" s="31"/>
      <c r="O99" s="37"/>
    </row>
    <row r="100" spans="1:15" x14ac:dyDescent="0.25">
      <c r="B100" t="s">
        <v>112</v>
      </c>
      <c r="C100" t="s">
        <v>8</v>
      </c>
      <c r="D100" s="12">
        <f>D94</f>
        <v>610.48052670676088</v>
      </c>
      <c r="E100" s="12">
        <f>D100*1.8</f>
        <v>1098.8649480721697</v>
      </c>
      <c r="F100" s="12">
        <v>1098.53</v>
      </c>
      <c r="G100" s="12">
        <f>E100-F100</f>
        <v>0.33494807216970912</v>
      </c>
      <c r="H100" s="12"/>
      <c r="I100" s="12">
        <f>I94</f>
        <v>494.02499999985724</v>
      </c>
      <c r="J100" s="12">
        <f>J94</f>
        <v>494.02499999985724</v>
      </c>
      <c r="K100" s="12">
        <f>J100*1.8</f>
        <v>889.24499999974307</v>
      </c>
      <c r="L100" s="12">
        <v>888.91</v>
      </c>
      <c r="M100" s="12">
        <f>K100-L100</f>
        <v>0.33499999974310413</v>
      </c>
      <c r="N100" s="12"/>
    </row>
    <row r="101" spans="1:15" x14ac:dyDescent="0.25">
      <c r="B101" t="s">
        <v>113</v>
      </c>
      <c r="C101" t="s">
        <v>8</v>
      </c>
      <c r="D101" s="12">
        <f>D100*(D99/D98)^((D13-1)/(D13*D42))</f>
        <v>854.49719365331259</v>
      </c>
      <c r="E101" s="12">
        <f>D101*1.8</f>
        <v>1538.0949485759627</v>
      </c>
      <c r="F101" s="12">
        <v>1537.76</v>
      </c>
      <c r="G101" s="12">
        <f>E101-F101</f>
        <v>0.33494857596269867</v>
      </c>
      <c r="H101" s="12"/>
      <c r="I101" s="12">
        <f>I100*(I99/I98)^((I13-1)/(I13*I42))</f>
        <v>739.28611111105408</v>
      </c>
      <c r="J101" s="12">
        <f>J100*(J99/J98)^((J13-1)/(J13*J42))</f>
        <v>739.28611111105408</v>
      </c>
      <c r="K101" s="12">
        <f>J101*1.8</f>
        <v>1330.7149999998974</v>
      </c>
      <c r="L101" s="12">
        <v>1330.38</v>
      </c>
      <c r="M101" s="12">
        <f>K101-L101</f>
        <v>0.33499999989726348</v>
      </c>
      <c r="N101" s="12"/>
    </row>
    <row r="102" spans="1:15" x14ac:dyDescent="0.25">
      <c r="B102" t="s">
        <v>114</v>
      </c>
      <c r="C102" s="7" t="s">
        <v>107</v>
      </c>
      <c r="D102" s="12">
        <f>(D68*D12*(D101-D100))/1000000</f>
        <v>32.198009932973569</v>
      </c>
      <c r="E102" s="12"/>
      <c r="F102" s="12"/>
      <c r="G102" s="31"/>
      <c r="H102" s="31"/>
      <c r="I102" s="12">
        <f>(I68*I12*(I101-I100))/1000000</f>
        <v>60.693538242138082</v>
      </c>
      <c r="J102" s="12">
        <f>(J68*J12*(J101-J100))/1000000</f>
        <v>60.693538242138082</v>
      </c>
      <c r="K102" s="12"/>
      <c r="L102" s="12"/>
      <c r="M102" s="31"/>
      <c r="N102" s="31"/>
      <c r="O102" s="37"/>
    </row>
    <row r="103" spans="1:15" x14ac:dyDescent="0.25"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</row>
    <row r="104" spans="1:15" x14ac:dyDescent="0.25">
      <c r="A104" t="s">
        <v>35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</row>
    <row r="106" spans="1:15" x14ac:dyDescent="0.25">
      <c r="B106" t="s">
        <v>115</v>
      </c>
      <c r="C106" t="s">
        <v>65</v>
      </c>
      <c r="D106" s="12">
        <f>D68</f>
        <v>131.22222222222223</v>
      </c>
      <c r="E106" s="12">
        <f>D106*2.205</f>
        <v>289.34500000000003</v>
      </c>
      <c r="F106">
        <v>289.34500000000003</v>
      </c>
      <c r="G106" s="31">
        <f>(E106-F106)/F106</f>
        <v>0</v>
      </c>
      <c r="H106" s="31"/>
      <c r="I106" s="12">
        <f>I68</f>
        <v>246.1</v>
      </c>
      <c r="J106" s="12">
        <f>J68</f>
        <v>246.1</v>
      </c>
      <c r="K106" s="12">
        <f>J106*2.205</f>
        <v>542.65049999999997</v>
      </c>
      <c r="L106">
        <v>542.65099999999995</v>
      </c>
      <c r="M106" s="31">
        <f>(K106-L106)/L106</f>
        <v>-9.2140252204119515E-7</v>
      </c>
      <c r="N106" s="31"/>
      <c r="O106" s="37"/>
    </row>
    <row r="107" spans="1:15" x14ac:dyDescent="0.25">
      <c r="B107" t="s">
        <v>116</v>
      </c>
      <c r="C107" t="s">
        <v>65</v>
      </c>
      <c r="D107" s="12">
        <f>D106*(1-D55)</f>
        <v>116.7877551020408</v>
      </c>
      <c r="E107" s="12">
        <f>D107*2.205</f>
        <v>257.517</v>
      </c>
      <c r="F107" s="12">
        <v>257.517</v>
      </c>
      <c r="G107" s="31">
        <f>(E107-F107)/F107</f>
        <v>0</v>
      </c>
      <c r="H107" s="31"/>
      <c r="I107" s="12">
        <f>I106*(1-I55)</f>
        <v>219.02895747291291</v>
      </c>
      <c r="J107" s="12">
        <f>J106*(1-J55)</f>
        <v>219.02895747291291</v>
      </c>
      <c r="K107" s="12">
        <f>J107*2.205</f>
        <v>482.95885122777298</v>
      </c>
      <c r="L107" s="12">
        <v>482.959</v>
      </c>
      <c r="M107" s="31">
        <f>(K107-L107)/L107</f>
        <v>-3.0804318176336785E-7</v>
      </c>
      <c r="N107" s="31"/>
      <c r="O107" s="37"/>
    </row>
    <row r="108" spans="1:15" x14ac:dyDescent="0.25">
      <c r="B108" t="s">
        <v>117</v>
      </c>
      <c r="C108" t="s">
        <v>30</v>
      </c>
      <c r="D108" s="32">
        <f>D109/D107</f>
        <v>1.6625348438125302E-2</v>
      </c>
      <c r="E108" s="30"/>
      <c r="F108" s="32">
        <f>F109/F107</f>
        <v>1.4395166144371026E-2</v>
      </c>
      <c r="G108" s="31">
        <f>(D108-F108)/F108</f>
        <v>0.15492577656884829</v>
      </c>
      <c r="H108" s="31"/>
      <c r="I108" s="32">
        <f>I109/I107</f>
        <v>2.0894507803635411E-2</v>
      </c>
      <c r="J108" s="32">
        <f>J109/J107</f>
        <v>2.0894507803635411E-2</v>
      </c>
      <c r="K108" s="30"/>
      <c r="L108" s="32">
        <f>L109/L107</f>
        <v>1.7601908236516924E-2</v>
      </c>
      <c r="M108" s="31">
        <f>(J108-L108)/L108</f>
        <v>0.18705923942312458</v>
      </c>
      <c r="N108" s="31"/>
      <c r="O108" s="37"/>
    </row>
    <row r="109" spans="1:15" x14ac:dyDescent="0.25">
      <c r="B109" t="s">
        <v>118</v>
      </c>
      <c r="C109" t="s">
        <v>65</v>
      </c>
      <c r="D109" s="38">
        <f>((D107*(D14*D112-D12*D101))/((D43*D18*1000)-(D14*D112)))</f>
        <v>1.9416371218778743</v>
      </c>
      <c r="E109" s="12">
        <f>D109*2.205</f>
        <v>4.281309853740713</v>
      </c>
      <c r="F109" s="12">
        <f>261.224-F107</f>
        <v>3.7069999999999936</v>
      </c>
      <c r="G109" s="31">
        <f t="shared" ref="G109:G110" si="13">(E109-F109)/F109</f>
        <v>0.15492577656884823</v>
      </c>
      <c r="H109" s="31"/>
      <c r="I109" s="38">
        <f>((I107*(I14*I112-I12*I101))/((I43*I18*1000)-(I14*I112)))</f>
        <v>4.5765022611399075</v>
      </c>
      <c r="J109" s="38">
        <f>((J107*(J14*J112-J12*J101))/((J43*J18*1000)-(J14*J112)))</f>
        <v>4.5765022611399075</v>
      </c>
      <c r="K109" s="12">
        <f>J109*2.205</f>
        <v>10.091187485813496</v>
      </c>
      <c r="L109" s="12">
        <f>491.46-L107</f>
        <v>8.5009999999999764</v>
      </c>
      <c r="M109" s="31">
        <f t="shared" ref="M109:M110" si="14">(K109-L109)/L109</f>
        <v>0.18705887375761956</v>
      </c>
      <c r="N109" s="37"/>
      <c r="O109" s="37"/>
    </row>
    <row r="110" spans="1:15" x14ac:dyDescent="0.25">
      <c r="B110" t="s">
        <v>119</v>
      </c>
      <c r="C110" t="s">
        <v>65</v>
      </c>
      <c r="D110" s="12">
        <f>D107+D109</f>
        <v>118.72939222391868</v>
      </c>
      <c r="E110" s="12">
        <f>D110*2.205</f>
        <v>261.7983098537407</v>
      </c>
      <c r="F110" s="12">
        <f>F107+F109</f>
        <v>261.22399999999999</v>
      </c>
      <c r="G110" s="31">
        <f t="shared" si="13"/>
        <v>2.1985340311024828E-3</v>
      </c>
      <c r="H110" s="31"/>
      <c r="I110" s="12">
        <f>I107+I109</f>
        <v>223.60545973405283</v>
      </c>
      <c r="J110" s="12">
        <f>J107+J109</f>
        <v>223.60545973405283</v>
      </c>
      <c r="K110" s="12">
        <f>J110*2.205</f>
        <v>493.0500387135865</v>
      </c>
      <c r="L110" s="12">
        <v>491.46</v>
      </c>
      <c r="M110" s="31">
        <f t="shared" si="14"/>
        <v>3.2353369828399528E-3</v>
      </c>
      <c r="N110" s="31"/>
      <c r="O110" s="37"/>
    </row>
    <row r="111" spans="1:15" x14ac:dyDescent="0.25">
      <c r="B111" t="s">
        <v>120</v>
      </c>
      <c r="C111" t="s">
        <v>10</v>
      </c>
      <c r="D111" s="12">
        <f>D99*D30</f>
        <v>832.39182033128259</v>
      </c>
      <c r="E111" s="27">
        <f>CONVERT(D111*1000,"Pa","psi")</f>
        <v>120.72822652597999</v>
      </c>
      <c r="F111" s="27">
        <v>120.727</v>
      </c>
      <c r="G111" s="31">
        <f>(E111-F111)/F111</f>
        <v>1.015950019455063E-5</v>
      </c>
      <c r="H111" s="31"/>
      <c r="I111" s="12">
        <f>I99*I30</f>
        <v>1560.6032316715409</v>
      </c>
      <c r="J111" s="12">
        <f>J99*J30</f>
        <v>1560.6032316715409</v>
      </c>
      <c r="K111" s="27">
        <f>CONVERT(J111*1000,"Pa","psi")</f>
        <v>226.34636221609389</v>
      </c>
      <c r="L111" s="27">
        <v>226.34299999999999</v>
      </c>
      <c r="M111" s="31">
        <f>(K111-L111)/L111</f>
        <v>1.4854517674081528E-5</v>
      </c>
      <c r="N111" s="31"/>
      <c r="O111" s="37"/>
    </row>
    <row r="112" spans="1:15" x14ac:dyDescent="0.25">
      <c r="B112" t="s">
        <v>121</v>
      </c>
      <c r="D112" s="12">
        <f>D62</f>
        <v>1350</v>
      </c>
      <c r="E112" s="12">
        <f>D112*1.8</f>
        <v>2430</v>
      </c>
      <c r="F112" s="12">
        <v>2430</v>
      </c>
      <c r="G112" s="12">
        <f>(E112-F112)</f>
        <v>0</v>
      </c>
      <c r="H112" s="12"/>
      <c r="I112" s="12">
        <f>I62</f>
        <v>1352.1000000000001</v>
      </c>
      <c r="J112" s="12">
        <f>J62</f>
        <v>1352.1000000000001</v>
      </c>
      <c r="K112" s="12">
        <f>J112*1.8</f>
        <v>2433.7800000000002</v>
      </c>
      <c r="L112" s="12">
        <v>2433.7800000000002</v>
      </c>
      <c r="M112" s="12">
        <f>(K112-L112)</f>
        <v>0</v>
      </c>
      <c r="N112" s="12"/>
    </row>
    <row r="113" spans="1:15" x14ac:dyDescent="0.25">
      <c r="B113" t="s">
        <v>122</v>
      </c>
      <c r="C113" t="s">
        <v>107</v>
      </c>
      <c r="D113" s="12">
        <f>(D110*D119*D14-D106*D101*D12)/1000000</f>
        <v>67.187203904102589</v>
      </c>
      <c r="E113" s="12"/>
      <c r="F113" s="12"/>
      <c r="G113" s="12"/>
      <c r="H113" s="12"/>
      <c r="I113" s="12">
        <f>(I110*I119*I14-I106*I101*I12)/1000000</f>
        <v>167.74160612103123</v>
      </c>
      <c r="J113" s="12">
        <f>(J110*J119*J14-J106*J101*J12)/1000000</f>
        <v>167.74160612103123</v>
      </c>
      <c r="K113" s="12"/>
      <c r="L113" s="12"/>
      <c r="M113" s="12"/>
      <c r="N113" s="12"/>
    </row>
    <row r="114" spans="1:15" s="42" customFormat="1" x14ac:dyDescent="0.25">
      <c r="B114" s="42" t="s">
        <v>123</v>
      </c>
      <c r="D114" s="43">
        <f>D110*(SQRT(D119))/D111</f>
        <v>5.1925472993357289</v>
      </c>
      <c r="E114" s="43"/>
      <c r="F114" s="43"/>
      <c r="G114" s="43"/>
      <c r="H114" s="43"/>
      <c r="I114" s="43">
        <f>I110*(SQRT(I119))/I111</f>
        <v>5.2097616046668831</v>
      </c>
      <c r="J114" s="43">
        <f>J110*(SQRT(J119))/J111</f>
        <v>5.2097616046668831</v>
      </c>
      <c r="K114" s="43"/>
      <c r="L114" s="43"/>
      <c r="M114" s="43"/>
      <c r="N114" s="43"/>
      <c r="O114" s="44"/>
    </row>
    <row r="115" spans="1:15" x14ac:dyDescent="0.25">
      <c r="B115" s="4" t="s">
        <v>124</v>
      </c>
      <c r="C115" t="s">
        <v>54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</row>
    <row r="116" spans="1:15" x14ac:dyDescent="0.25">
      <c r="B116" s="4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</row>
    <row r="117" spans="1:15" x14ac:dyDescent="0.25">
      <c r="A117" t="s">
        <v>125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</row>
    <row r="118" spans="1:15" x14ac:dyDescent="0.25">
      <c r="B118" s="4" t="s">
        <v>126</v>
      </c>
      <c r="C118" t="s">
        <v>65</v>
      </c>
      <c r="D118" s="12">
        <f>D110*(1+D56)</f>
        <v>124.66616958898688</v>
      </c>
      <c r="E118" s="12">
        <f>D118*2.205</f>
        <v>274.88890394371606</v>
      </c>
      <c r="F118" s="12">
        <v>275.69200000000001</v>
      </c>
      <c r="G118" s="31">
        <f t="shared" ref="G118" si="15">(E118-F118)/F118</f>
        <v>-2.9130190802923125E-3</v>
      </c>
      <c r="H118" s="31"/>
      <c r="I118" s="12">
        <f>I110*(1+I56)</f>
        <v>234.22240255618749</v>
      </c>
      <c r="J118" s="12">
        <f>J110*(1+J56)</f>
        <v>234.22240255618749</v>
      </c>
      <c r="K118" s="12">
        <f>J118*2.205</f>
        <v>516.4603976363934</v>
      </c>
      <c r="L118" s="12">
        <v>518.59199999999998</v>
      </c>
      <c r="M118" s="31">
        <f t="shared" ref="M118" si="16">(K118-L118)/L118</f>
        <v>-4.1103649180986006E-3</v>
      </c>
      <c r="N118" s="31"/>
      <c r="O118" s="37"/>
    </row>
    <row r="119" spans="1:15" x14ac:dyDescent="0.25">
      <c r="B119" t="s">
        <v>128</v>
      </c>
      <c r="C119" t="s">
        <v>8</v>
      </c>
      <c r="D119" s="12">
        <f>((D110*D14*D112)+((D64*D56)*D12*D101))/(D118*D14)</f>
        <v>1325.2567988994169</v>
      </c>
      <c r="E119" s="12">
        <f>D119*1.8</f>
        <v>2385.4622380189508</v>
      </c>
      <c r="F119" s="12">
        <v>2385.73</v>
      </c>
      <c r="G119" s="12">
        <f t="shared" ref="G119:G121" si="17">E119-F119</f>
        <v>-0.26776198104926152</v>
      </c>
      <c r="H119" s="12"/>
      <c r="I119" s="12">
        <f>((I110*I14*I112)+((I64*I56)*I12*I101))/(I118*I14)</f>
        <v>1322.0744077471754</v>
      </c>
      <c r="J119" s="12">
        <f>((J110*J14*J112)+((J64*J56)*J12*J101))/(J118*J14)</f>
        <v>1322.0744077471754</v>
      </c>
      <c r="K119" s="12">
        <f>J119*1.8</f>
        <v>2379.7339339449159</v>
      </c>
      <c r="L119" s="12">
        <v>2380</v>
      </c>
      <c r="M119" s="12">
        <f t="shared" ref="M119:M121" si="18">K119-L119</f>
        <v>-0.2660660550841385</v>
      </c>
      <c r="N119" s="12"/>
    </row>
    <row r="120" spans="1:15" x14ac:dyDescent="0.25">
      <c r="B120" t="s">
        <v>129</v>
      </c>
      <c r="C120" t="s">
        <v>8</v>
      </c>
      <c r="D120" s="12">
        <f>D119-((D102*1000000)/(D47*D118*D14))</f>
        <v>1095.736891760009</v>
      </c>
      <c r="E120" s="12">
        <f>D120*1.8</f>
        <v>1972.3264051680162</v>
      </c>
      <c r="F120" s="12">
        <v>1965.47</v>
      </c>
      <c r="G120" s="12">
        <f t="shared" si="17"/>
        <v>6.8564051680161811</v>
      </c>
      <c r="H120" s="12"/>
      <c r="I120" s="12">
        <f>I119-((I102*1000000)/(I47*I118*I14))</f>
        <v>1102.7409929653063</v>
      </c>
      <c r="J120" s="12">
        <f>J119-((J102*1000000)/(J47*J118*J14))</f>
        <v>1102.7409929653063</v>
      </c>
      <c r="K120" s="12">
        <f>J120*1.8</f>
        <v>1984.9337873375514</v>
      </c>
      <c r="L120" s="12">
        <v>1971.83</v>
      </c>
      <c r="M120" s="12">
        <f t="shared" si="18"/>
        <v>13.103787337551466</v>
      </c>
      <c r="N120" s="12"/>
    </row>
    <row r="121" spans="1:15" x14ac:dyDescent="0.25">
      <c r="B121" t="s">
        <v>130</v>
      </c>
      <c r="C121" t="s">
        <v>8</v>
      </c>
      <c r="D121" s="12">
        <f>((D118*D14*D120)+((D64*D57)*D12*D101))/(D131*D14)</f>
        <v>1078.4810869111016</v>
      </c>
      <c r="E121" s="12">
        <f>D121*1.8</f>
        <v>1941.2659564399828</v>
      </c>
      <c r="F121" s="12">
        <v>1944.88</v>
      </c>
      <c r="G121" s="12">
        <f t="shared" si="17"/>
        <v>-3.6140435600173078</v>
      </c>
      <c r="H121" s="12"/>
      <c r="I121" s="12">
        <f>((I118*I14*I120)+((I64*I57)*I12*I101))/(I131*I14)</f>
        <v>1076.5977777681487</v>
      </c>
      <c r="J121" s="12">
        <f>((J118*J14*J120)+((J64*J57)*J12*J101))/(J131*J14)</f>
        <v>1076.5977777681487</v>
      </c>
      <c r="K121" s="12">
        <f>J121*1.8</f>
        <v>1937.8759999826677</v>
      </c>
      <c r="L121" s="12">
        <v>1941.49</v>
      </c>
      <c r="M121" s="12">
        <f t="shared" si="18"/>
        <v>-3.6140000173322733</v>
      </c>
      <c r="N121" s="12"/>
    </row>
    <row r="122" spans="1:15" x14ac:dyDescent="0.25">
      <c r="B122" t="s">
        <v>131</v>
      </c>
      <c r="C122" t="s">
        <v>10</v>
      </c>
      <c r="D122" s="12">
        <f>D111</f>
        <v>832.39182033128259</v>
      </c>
      <c r="E122" s="27">
        <f>CONVERT(D122*1000,"Pa","psi")</f>
        <v>120.72822652597999</v>
      </c>
      <c r="F122" s="27">
        <v>120.727</v>
      </c>
      <c r="G122" s="31">
        <f t="shared" ref="G122:G124" si="19">(E122-F122)/F122</f>
        <v>1.015950019455063E-5</v>
      </c>
      <c r="H122" s="31"/>
      <c r="I122" s="12">
        <f>I111</f>
        <v>1560.6032316715409</v>
      </c>
      <c r="J122" s="12">
        <f>J111</f>
        <v>1560.6032316715409</v>
      </c>
      <c r="K122" s="27">
        <f>CONVERT(J122*1000,"Pa","psi")</f>
        <v>226.34636221609389</v>
      </c>
      <c r="L122" s="27">
        <v>226.34299999999999</v>
      </c>
      <c r="M122" s="31">
        <f t="shared" ref="M122:M124" si="20">(K122-L122)/L122</f>
        <v>1.4854517674081528E-5</v>
      </c>
      <c r="N122" s="37"/>
      <c r="O122" s="37"/>
    </row>
    <row r="123" spans="1:15" x14ac:dyDescent="0.25">
      <c r="B123" t="s">
        <v>132</v>
      </c>
      <c r="C123" t="s">
        <v>10</v>
      </c>
      <c r="D123" s="12">
        <f>D122*((D120/D119)^(D15/((D15-1)*D45)))</f>
        <v>330.49327843840308</v>
      </c>
      <c r="E123" s="12">
        <f>CONVERT(D123*1000,"Pa","psi")</f>
        <v>47.933997439746115</v>
      </c>
      <c r="F123" s="12">
        <v>47.933999999999997</v>
      </c>
      <c r="G123" s="31">
        <f t="shared" si="19"/>
        <v>-5.3412064143978048E-8</v>
      </c>
      <c r="H123" s="31"/>
      <c r="I123" s="12">
        <f>I122*((I120/I119)^(I15/((I15-1)*I45)))</f>
        <v>625.76142973505966</v>
      </c>
      <c r="J123" s="12">
        <f>J122*((J120/J119)^(J15/((J15-1)*J45)))</f>
        <v>625.76142973505966</v>
      </c>
      <c r="K123" s="12">
        <f>CONVERT(J123*1000,"Pa","psi")</f>
        <v>90.759022127594321</v>
      </c>
      <c r="L123" s="12">
        <v>90.759</v>
      </c>
      <c r="M123" s="31">
        <f t="shared" si="20"/>
        <v>2.43806061331759E-7</v>
      </c>
      <c r="N123" s="31"/>
      <c r="O123" s="37"/>
    </row>
    <row r="124" spans="1:15" x14ac:dyDescent="0.25">
      <c r="B124" t="s">
        <v>133</v>
      </c>
      <c r="C124" t="s">
        <v>10</v>
      </c>
      <c r="D124" s="12">
        <f>D123</f>
        <v>330.49327843840308</v>
      </c>
      <c r="E124" s="12">
        <f>CONVERT(D124*1000,"Pa","psi")</f>
        <v>47.933997439746115</v>
      </c>
      <c r="F124" s="12">
        <v>47.933999999999997</v>
      </c>
      <c r="G124" s="31">
        <f t="shared" si="19"/>
        <v>-5.3412064143978048E-8</v>
      </c>
      <c r="H124" s="31"/>
      <c r="I124" s="12">
        <f>I123</f>
        <v>625.76142973505966</v>
      </c>
      <c r="J124" s="12">
        <f>J123</f>
        <v>625.76142973505966</v>
      </c>
      <c r="K124" s="12">
        <f>CONVERT(J124*1000,"Pa","psi")</f>
        <v>90.759022127594321</v>
      </c>
      <c r="L124" s="12">
        <v>90.759</v>
      </c>
      <c r="M124" s="31">
        <f t="shared" si="20"/>
        <v>2.43806061331759E-7</v>
      </c>
      <c r="N124" s="31"/>
      <c r="O124" s="37"/>
    </row>
    <row r="125" spans="1:15" x14ac:dyDescent="0.25">
      <c r="D125" s="12"/>
      <c r="E125" s="27"/>
      <c r="F125" s="27"/>
      <c r="G125" s="31"/>
      <c r="H125" s="31"/>
      <c r="I125" s="12"/>
      <c r="J125" s="12"/>
      <c r="K125" s="27"/>
      <c r="L125" s="27"/>
      <c r="M125" s="31"/>
      <c r="N125" s="31"/>
      <c r="O125" s="37"/>
    </row>
    <row r="126" spans="1:15" x14ac:dyDescent="0.25">
      <c r="B126" t="s">
        <v>134</v>
      </c>
      <c r="C126" s="7" t="s">
        <v>107</v>
      </c>
      <c r="D126" s="12">
        <f>(D118*D14*(D119-D120))/1000000</f>
        <v>32.721554809932499</v>
      </c>
      <c r="E126" s="12"/>
      <c r="F126" s="12"/>
      <c r="G126" s="31"/>
      <c r="H126" s="31"/>
      <c r="I126" s="12">
        <f>(I118*I14*(I119-I120))/1000000</f>
        <v>60.942058215934168</v>
      </c>
      <c r="J126" s="12">
        <f>(J118*J14*(J119-J120))/1000000</f>
        <v>60.942058215934168</v>
      </c>
      <c r="K126" s="12"/>
      <c r="L126" s="12"/>
      <c r="M126" s="31"/>
      <c r="N126" s="31"/>
      <c r="O126" s="37"/>
    </row>
    <row r="127" spans="1:15" s="42" customFormat="1" x14ac:dyDescent="0.25">
      <c r="B127" s="42" t="s">
        <v>135</v>
      </c>
      <c r="D127" s="43">
        <f>D110*SQRT(D120)/D123</f>
        <v>11.891831732174678</v>
      </c>
      <c r="E127" s="43"/>
      <c r="F127" s="43"/>
      <c r="G127" s="43"/>
      <c r="H127" s="43"/>
      <c r="I127" s="43">
        <f>I110*SQRT(I120)/I123</f>
        <v>11.86616470523604</v>
      </c>
      <c r="J127" s="43">
        <f>J110*SQRT(J120)/J123</f>
        <v>11.86616470523604</v>
      </c>
      <c r="K127" s="43"/>
      <c r="L127" s="43"/>
      <c r="M127" s="43"/>
      <c r="N127" s="43"/>
      <c r="O127" s="44"/>
    </row>
    <row r="128" spans="1:15" x14ac:dyDescent="0.25">
      <c r="B128" s="4" t="s">
        <v>124</v>
      </c>
      <c r="C128" t="s">
        <v>54</v>
      </c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</row>
    <row r="129" spans="1:16" x14ac:dyDescent="0.25">
      <c r="B129" s="4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</row>
    <row r="130" spans="1:16" x14ac:dyDescent="0.25">
      <c r="A130" t="s">
        <v>58</v>
      </c>
      <c r="B130" s="4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</row>
    <row r="131" spans="1:16" x14ac:dyDescent="0.25">
      <c r="B131" s="4" t="s">
        <v>136</v>
      </c>
      <c r="C131" t="s">
        <v>65</v>
      </c>
      <c r="D131" s="12">
        <f>D118*(1+D57)</f>
        <v>132.14583816478674</v>
      </c>
      <c r="E131" s="12">
        <f>D131*2.205</f>
        <v>291.38157315335479</v>
      </c>
      <c r="F131" s="12">
        <v>290.15899999999999</v>
      </c>
      <c r="G131" s="31">
        <f t="shared" ref="G131" si="21">(E131-F131)/F131</f>
        <v>4.2134593562660524E-3</v>
      </c>
      <c r="H131" s="12"/>
      <c r="I131" s="12">
        <f>I118*(1+I57)</f>
        <v>248.86586465691855</v>
      </c>
      <c r="J131" s="12">
        <f>J118*(1+J57)</f>
        <v>248.86586465691855</v>
      </c>
      <c r="K131" s="12">
        <f>J131*2.205</f>
        <v>548.74923156850537</v>
      </c>
      <c r="L131" s="12">
        <v>545.72500000000002</v>
      </c>
      <c r="M131" s="31">
        <f t="shared" ref="M131" si="22">(K131-L131)/L131</f>
        <v>5.5416767941826794E-3</v>
      </c>
      <c r="N131" s="12"/>
    </row>
    <row r="132" spans="1:16" x14ac:dyDescent="0.25">
      <c r="B132" t="s">
        <v>138</v>
      </c>
      <c r="C132" t="s">
        <v>8</v>
      </c>
      <c r="D132" s="12">
        <f>D121</f>
        <v>1078.4810869111016</v>
      </c>
      <c r="E132" s="12">
        <f>D132*1.8</f>
        <v>1941.2659564399828</v>
      </c>
      <c r="F132" s="12">
        <v>1944.88</v>
      </c>
      <c r="G132" s="12">
        <f>E132-F132</f>
        <v>-3.6140435600173078</v>
      </c>
      <c r="H132" s="12"/>
      <c r="I132" s="12">
        <f>I121</f>
        <v>1076.5977777681487</v>
      </c>
      <c r="J132" s="12">
        <f>J121</f>
        <v>1076.5977777681487</v>
      </c>
      <c r="K132" s="12">
        <f>J132*1.8</f>
        <v>1937.8759999826677</v>
      </c>
      <c r="L132" s="12">
        <v>1941.49</v>
      </c>
      <c r="M132" s="12">
        <f>K132-L132</f>
        <v>-3.6140000173322733</v>
      </c>
      <c r="N132" s="12"/>
    </row>
    <row r="133" spans="1:16" x14ac:dyDescent="0.25">
      <c r="B133" t="s">
        <v>139</v>
      </c>
      <c r="C133" t="s">
        <v>8</v>
      </c>
      <c r="D133" s="12">
        <f>D132-(D95*1000000)/(D48*D131*D14)</f>
        <v>882.89388888961844</v>
      </c>
      <c r="E133" s="12">
        <f>D133*1.8</f>
        <v>1589.2090000013131</v>
      </c>
      <c r="F133" s="12">
        <v>1589.72</v>
      </c>
      <c r="G133" s="12">
        <f>E133-F133</f>
        <v>-0.51099999868688428</v>
      </c>
      <c r="H133" s="12"/>
      <c r="I133" s="12">
        <f>I132-(I95*1000000)/(I48*I131*I14)</f>
        <v>903.51611111262889</v>
      </c>
      <c r="J133" s="12">
        <f>J132-(J95*1000000)/(J48*J131*J14)</f>
        <v>903.51611111262889</v>
      </c>
      <c r="K133" s="12">
        <f>J133*1.8</f>
        <v>1626.3290000027321</v>
      </c>
      <c r="L133" s="12">
        <v>1626.84</v>
      </c>
      <c r="M133" s="12">
        <f>K133-L133</f>
        <v>-0.51099999726784517</v>
      </c>
      <c r="N133" s="12"/>
    </row>
    <row r="134" spans="1:16" x14ac:dyDescent="0.25">
      <c r="B134" t="s">
        <v>140</v>
      </c>
      <c r="C134" t="s">
        <v>10</v>
      </c>
      <c r="D134" s="12">
        <f>D124*D35</f>
        <v>323.88341286963504</v>
      </c>
      <c r="E134" s="27">
        <f>CONVERT(D134*1000,"Pa","psi")</f>
        <v>46.975317490951191</v>
      </c>
      <c r="F134" s="27">
        <v>46.975999999999999</v>
      </c>
      <c r="G134" s="31">
        <f t="shared" ref="G134:G135" si="23">(E134-F134)/F134</f>
        <v>-1.4528888130275981E-5</v>
      </c>
      <c r="H134" s="31"/>
      <c r="I134" s="12">
        <f>I124*I35</f>
        <v>613.24620114035849</v>
      </c>
      <c r="J134" s="12">
        <f>J124*J35</f>
        <v>613.24620114035849</v>
      </c>
      <c r="K134" s="27">
        <f>CONVERT(J134*1000,"Pa","psi")</f>
        <v>88.943841685042429</v>
      </c>
      <c r="L134" s="27">
        <v>88.971000000000004</v>
      </c>
      <c r="M134" s="31">
        <f t="shared" ref="M134:M135" si="24">(K134-L134)/L134</f>
        <v>-3.0524906944481573E-4</v>
      </c>
      <c r="N134" s="31"/>
      <c r="O134" s="37"/>
    </row>
    <row r="135" spans="1:16" x14ac:dyDescent="0.25">
      <c r="B135" t="s">
        <v>141</v>
      </c>
      <c r="C135" t="s">
        <v>10</v>
      </c>
      <c r="D135" s="12">
        <f>D134*((D133/D132)^(D15/((D15-1)*D46)))</f>
        <v>129.62141671682767</v>
      </c>
      <c r="E135" s="27">
        <f>CONVERT(D135*1000,"Pa","psi")</f>
        <v>18.799997041993407</v>
      </c>
      <c r="F135" s="27">
        <v>18.8</v>
      </c>
      <c r="G135" s="31">
        <f t="shared" si="23"/>
        <v>-1.5734077624709369E-7</v>
      </c>
      <c r="H135" s="31"/>
      <c r="I135" s="12">
        <f>I134*((I133/I132)^(I15/((I15-1)*I46)))</f>
        <v>274.28724636773245</v>
      </c>
      <c r="J135" s="12">
        <f>J134*((J133/J132)^(J15/((J15-1)*J46)))</f>
        <v>274.28724636773245</v>
      </c>
      <c r="K135" s="27">
        <f>CONVERT(J135*1000,"Pa","psi")</f>
        <v>39.782001701424463</v>
      </c>
      <c r="L135" s="27">
        <v>39.781999999999996</v>
      </c>
      <c r="M135" s="31">
        <f t="shared" si="24"/>
        <v>4.2768701075989799E-8</v>
      </c>
      <c r="N135" s="31"/>
      <c r="O135" s="37"/>
    </row>
    <row r="136" spans="1:16" x14ac:dyDescent="0.25">
      <c r="B136" t="s">
        <v>134</v>
      </c>
      <c r="C136" s="7" t="s">
        <v>107</v>
      </c>
      <c r="D136" s="12">
        <f>(D110*D14*(D132-D133))/1000000</f>
        <v>26.556059065316862</v>
      </c>
      <c r="E136" s="12"/>
      <c r="F136" s="12"/>
      <c r="G136" s="31"/>
      <c r="H136" s="31"/>
      <c r="I136" s="12">
        <f>(I110*I14*(I132-I133))/1000000</f>
        <v>45.911064024307052</v>
      </c>
      <c r="J136" s="12">
        <f>(J110*J14*(J132-J133))/1000000</f>
        <v>45.911064024307052</v>
      </c>
      <c r="K136" s="12"/>
      <c r="L136" s="12"/>
      <c r="M136" s="31"/>
      <c r="N136" s="31"/>
      <c r="O136" s="37"/>
    </row>
    <row r="137" spans="1:16" s="42" customFormat="1" x14ac:dyDescent="0.25">
      <c r="B137" s="42" t="s">
        <v>142</v>
      </c>
      <c r="D137" s="43">
        <f>D110*SQRT(D133)/D135</f>
        <v>27.216716918328547</v>
      </c>
      <c r="E137" s="43"/>
      <c r="F137" s="43"/>
      <c r="G137" s="43"/>
      <c r="H137" s="43"/>
      <c r="I137" s="43">
        <f>I110*SQRT(I133)/I135</f>
        <v>24.504437598365406</v>
      </c>
      <c r="J137" s="43">
        <f>J110*SQRT(J133)/J135</f>
        <v>24.504437598365406</v>
      </c>
      <c r="K137" s="43"/>
      <c r="L137" s="43"/>
      <c r="M137" s="43"/>
      <c r="N137" s="43"/>
      <c r="O137" s="44"/>
    </row>
    <row r="138" spans="1:16" x14ac:dyDescent="0.25">
      <c r="B138" s="4" t="s">
        <v>124</v>
      </c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</row>
    <row r="139" spans="1:16" x14ac:dyDescent="0.25">
      <c r="B139" s="4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</row>
    <row r="140" spans="1:16" x14ac:dyDescent="0.25">
      <c r="A140" t="s">
        <v>36</v>
      </c>
      <c r="B140" s="4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</row>
    <row r="141" spans="1:16" x14ac:dyDescent="0.25">
      <c r="B141" t="s">
        <v>137</v>
      </c>
      <c r="C141" t="s">
        <v>65</v>
      </c>
      <c r="D141" s="12">
        <f>D131</f>
        <v>132.14583816478674</v>
      </c>
      <c r="E141" s="12">
        <f>D141*2.205</f>
        <v>291.38157315335479</v>
      </c>
      <c r="F141" s="12">
        <v>290.15899999999999</v>
      </c>
      <c r="G141" s="31">
        <f t="shared" ref="G141" si="25">(E141-F141)/F141</f>
        <v>4.2134593562660524E-3</v>
      </c>
      <c r="H141" s="31"/>
      <c r="I141" s="12">
        <f>I131</f>
        <v>248.86586465691855</v>
      </c>
      <c r="J141" s="12">
        <f>J131</f>
        <v>248.86586465691855</v>
      </c>
      <c r="K141" s="12">
        <f>J141*2.205</f>
        <v>548.74923156850537</v>
      </c>
      <c r="L141" s="12">
        <v>545.72500000000002</v>
      </c>
      <c r="M141" s="31">
        <f t="shared" ref="M141" si="26">(K141-L141)/L141</f>
        <v>5.5416767941826794E-3</v>
      </c>
      <c r="N141" s="31"/>
      <c r="O141" s="37"/>
    </row>
    <row r="142" spans="1:16" x14ac:dyDescent="0.25">
      <c r="B142" t="s">
        <v>139</v>
      </c>
      <c r="C142" t="s">
        <v>8</v>
      </c>
      <c r="D142" s="12">
        <f>D133</f>
        <v>882.89388888961844</v>
      </c>
      <c r="E142" s="12">
        <f>D142*1.8</f>
        <v>1589.2090000013131</v>
      </c>
      <c r="F142" s="12">
        <v>1589.72</v>
      </c>
      <c r="G142" s="12">
        <f>E142-F142</f>
        <v>-0.51099999868688428</v>
      </c>
      <c r="H142" s="12"/>
      <c r="I142" s="12">
        <f>I133</f>
        <v>903.51611111262889</v>
      </c>
      <c r="J142" s="12">
        <f>J133</f>
        <v>903.51611111262889</v>
      </c>
      <c r="K142" s="12">
        <f>J142*1.8</f>
        <v>1626.3290000027321</v>
      </c>
      <c r="L142" s="12">
        <v>1626.84</v>
      </c>
      <c r="M142" s="12">
        <f>K142-L142</f>
        <v>-0.51099999726784517</v>
      </c>
      <c r="N142" s="12"/>
      <c r="O142">
        <v>542.65099999999995</v>
      </c>
    </row>
    <row r="143" spans="1:16" x14ac:dyDescent="0.25">
      <c r="B143" t="s">
        <v>147</v>
      </c>
      <c r="C143" t="s">
        <v>8</v>
      </c>
      <c r="D143" s="12">
        <f>D142</f>
        <v>882.89388888961844</v>
      </c>
      <c r="E143" s="12">
        <f>D143*1.8</f>
        <v>1589.2090000013131</v>
      </c>
      <c r="F143" s="12">
        <v>1589.72</v>
      </c>
      <c r="G143" s="12">
        <f>E143-F143</f>
        <v>-0.51099999868688428</v>
      </c>
      <c r="H143" s="12"/>
      <c r="I143" s="12">
        <f>I142</f>
        <v>903.51611111262889</v>
      </c>
      <c r="J143" s="12">
        <f>J142</f>
        <v>903.51611111262889</v>
      </c>
      <c r="K143" s="12">
        <f>J143*1.8</f>
        <v>1626.3290000027321</v>
      </c>
      <c r="L143" s="12">
        <v>1626.84</v>
      </c>
      <c r="M143" s="12">
        <f>K143-L143</f>
        <v>-0.51099999726784517</v>
      </c>
      <c r="N143" s="12"/>
      <c r="O143">
        <v>482.959</v>
      </c>
      <c r="P143" s="12">
        <f>O142-O143</f>
        <v>59.69199999999995</v>
      </c>
    </row>
    <row r="144" spans="1:16" x14ac:dyDescent="0.25">
      <c r="B144" t="s">
        <v>141</v>
      </c>
      <c r="C144" t="s">
        <v>10</v>
      </c>
      <c r="D144" s="12">
        <f>D135</f>
        <v>129.62141671682767</v>
      </c>
      <c r="E144" s="27">
        <f>CONVERT(D144*1000,"Pa","psi")</f>
        <v>18.799997041993407</v>
      </c>
      <c r="F144" s="27">
        <v>18.8</v>
      </c>
      <c r="G144" s="31">
        <f t="shared" ref="G144:G145" si="27">(E144-F144)/F144</f>
        <v>-1.5734077624709369E-7</v>
      </c>
      <c r="H144" s="31"/>
      <c r="I144" s="12">
        <f>I135</f>
        <v>274.28724636773245</v>
      </c>
      <c r="J144" s="12">
        <f>J135</f>
        <v>274.28724636773245</v>
      </c>
      <c r="K144" s="27">
        <f>CONVERT(J144*1000,"Pa","psi")</f>
        <v>39.782001701424463</v>
      </c>
      <c r="L144" s="27">
        <v>39.781999999999996</v>
      </c>
      <c r="M144" s="31">
        <f t="shared" ref="M144:M150" si="28">(K144-L144)/L144</f>
        <v>4.2768701075989799E-8</v>
      </c>
      <c r="N144" s="31"/>
      <c r="O144" s="37">
        <v>491.46</v>
      </c>
      <c r="P144" s="12">
        <f>O144-O143</f>
        <v>8.5009999999999764</v>
      </c>
    </row>
    <row r="145" spans="1:16" x14ac:dyDescent="0.25">
      <c r="B145" t="s">
        <v>151</v>
      </c>
      <c r="C145" t="s">
        <v>10</v>
      </c>
      <c r="D145" s="12">
        <f>D32*D144</f>
        <v>127.02898838249111</v>
      </c>
      <c r="E145" s="27">
        <f>CONVERT(D145*1000,"Pa","psi")</f>
        <v>18.423997101153539</v>
      </c>
      <c r="F145" s="27">
        <v>18.423999999999999</v>
      </c>
      <c r="G145" s="31">
        <f t="shared" si="27"/>
        <v>-1.573407761969577E-7</v>
      </c>
      <c r="H145" s="31"/>
      <c r="I145" s="12">
        <f>I32*I144</f>
        <v>269.85390569731646</v>
      </c>
      <c r="J145" s="12">
        <f>J32*J144</f>
        <v>269.85390569731646</v>
      </c>
      <c r="K145" s="27">
        <f>CONVERT(J145*1000,"Pa","psi")</f>
        <v>39.138999999999996</v>
      </c>
      <c r="L145" s="27">
        <v>39.139000000000003</v>
      </c>
      <c r="M145" s="31">
        <f t="shared" si="28"/>
        <v>-1.8154340574876724E-16</v>
      </c>
      <c r="N145" s="31"/>
      <c r="O145" s="37">
        <v>518.59199999999998</v>
      </c>
      <c r="P145">
        <f>(O145-O144)/O142</f>
        <v>4.9998986457225746E-2</v>
      </c>
    </row>
    <row r="146" spans="1:16" x14ac:dyDescent="0.25">
      <c r="B146" t="s">
        <v>196</v>
      </c>
      <c r="C146" t="s">
        <v>65</v>
      </c>
      <c r="D146" s="12">
        <f>D148*D106</f>
        <v>0.25893877661880854</v>
      </c>
      <c r="E146" s="12">
        <f>D146*2.205</f>
        <v>0.57096000244447287</v>
      </c>
      <c r="F146" s="12">
        <v>0</v>
      </c>
      <c r="G146" s="31"/>
      <c r="H146" s="31"/>
      <c r="I146" s="12">
        <f>I148*I153</f>
        <v>0.12981244724497315</v>
      </c>
      <c r="J146" s="12">
        <f>J148*J153</f>
        <v>2.2589734034746143</v>
      </c>
      <c r="K146" s="12">
        <f>J146*2.205</f>
        <v>4.9810363546615246</v>
      </c>
      <c r="L146" s="12">
        <f>11.74174-8.5005</f>
        <v>3.2412399999999995</v>
      </c>
      <c r="M146" s="31">
        <f t="shared" si="28"/>
        <v>0.53676875352072828</v>
      </c>
      <c r="N146" s="31"/>
      <c r="O146" s="37">
        <v>545.72500000000002</v>
      </c>
      <c r="P146">
        <f>O146-O145</f>
        <v>27.133000000000038</v>
      </c>
    </row>
    <row r="147" spans="1:16" x14ac:dyDescent="0.25">
      <c r="B147" t="s">
        <v>197</v>
      </c>
      <c r="C147" t="s">
        <v>65</v>
      </c>
      <c r="D147" s="12">
        <f>D141+D146</f>
        <v>132.40477694140554</v>
      </c>
      <c r="E147" s="12">
        <f>D147*2.205</f>
        <v>291.95253315579924</v>
      </c>
      <c r="F147" s="12"/>
      <c r="G147" s="31"/>
      <c r="H147" s="31"/>
      <c r="I147" s="12">
        <f>I141+I146</f>
        <v>248.99567710416352</v>
      </c>
      <c r="J147" s="12">
        <f>J141+J146</f>
        <v>251.12483806039316</v>
      </c>
      <c r="K147" s="12">
        <f>J147*2.205</f>
        <v>553.73026792316693</v>
      </c>
      <c r="L147" s="12">
        <v>545.72500000000002</v>
      </c>
      <c r="M147" s="31">
        <f t="shared" si="28"/>
        <v>1.4669051121291698E-2</v>
      </c>
      <c r="N147" s="31"/>
      <c r="O147" s="37"/>
      <c r="P147">
        <f>P145+P146</f>
        <v>27.182998986457264</v>
      </c>
    </row>
    <row r="148" spans="1:16" x14ac:dyDescent="0.25">
      <c r="B148" t="s">
        <v>198</v>
      </c>
      <c r="D148" s="27">
        <f>((1+D108)*((D16*D143)-(D14*D142)))/((D18*D44*1000)-(D16*D143))</f>
        <v>1.9732844958249593E-3</v>
      </c>
      <c r="E148" s="27"/>
      <c r="F148" s="27"/>
      <c r="G148" s="27"/>
      <c r="H148" s="27"/>
      <c r="I148" s="27">
        <f>((1+I108)*((I16*I157)-(I14*I149)))/((I18*I44*1000)-(I16*I157))</f>
        <v>1.1509456245105167E-3</v>
      </c>
      <c r="J148" s="27">
        <f>((1+J108)*((J16*J157)-(J14*J149)))/((J18*J44*1000)-(J16*J157))</f>
        <v>2.0028553577056282E-2</v>
      </c>
      <c r="K148" s="27"/>
      <c r="L148" s="27">
        <f>L146/L147</f>
        <v>5.9393284163269033E-3</v>
      </c>
      <c r="M148" s="31">
        <f t="shared" si="28"/>
        <v>-1</v>
      </c>
      <c r="N148" s="27"/>
      <c r="P148" s="12">
        <f>P147-P143</f>
        <v>-32.509001013542687</v>
      </c>
    </row>
    <row r="149" spans="1:16" x14ac:dyDescent="0.25">
      <c r="B149" t="s">
        <v>199</v>
      </c>
      <c r="C149" t="s">
        <v>8</v>
      </c>
      <c r="D149" s="27"/>
      <c r="E149" s="27"/>
      <c r="F149" s="27"/>
      <c r="G149" s="27"/>
      <c r="H149" s="27"/>
      <c r="I149" s="45">
        <f>L149/1.8*0+I143</f>
        <v>903.51611111262889</v>
      </c>
      <c r="J149" s="45">
        <f>L149/1.8</f>
        <v>502.11111111111109</v>
      </c>
      <c r="K149" s="12">
        <f>J149*1.8</f>
        <v>903.8</v>
      </c>
      <c r="L149" s="27">
        <v>903.8</v>
      </c>
      <c r="M149" s="12">
        <f>K149-L149</f>
        <v>0</v>
      </c>
      <c r="N149" s="27"/>
    </row>
    <row r="150" spans="1:16" x14ac:dyDescent="0.25">
      <c r="B150" t="s">
        <v>200</v>
      </c>
      <c r="C150" t="s">
        <v>10</v>
      </c>
      <c r="D150" s="27"/>
      <c r="E150" s="27"/>
      <c r="F150" s="27"/>
      <c r="G150" s="27"/>
      <c r="H150" s="27"/>
      <c r="I150" s="27">
        <f>I145</f>
        <v>269.85390569731646</v>
      </c>
      <c r="J150" s="27">
        <f>J145</f>
        <v>269.85390569731646</v>
      </c>
      <c r="K150" s="27">
        <f>CONVERT(J150*1000,"Pa","psi")</f>
        <v>39.138999999999996</v>
      </c>
      <c r="L150" s="27">
        <v>39.139000000000003</v>
      </c>
      <c r="M150" s="31">
        <f t="shared" si="28"/>
        <v>-1.8154340574876724E-16</v>
      </c>
      <c r="N150" s="27"/>
    </row>
    <row r="151" spans="1:16" x14ac:dyDescent="0.25">
      <c r="A151" t="s">
        <v>39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</row>
    <row r="152" spans="1:16" x14ac:dyDescent="0.25">
      <c r="B152" t="s">
        <v>161</v>
      </c>
      <c r="D152" s="30"/>
      <c r="E152" s="12"/>
      <c r="F152" s="12"/>
      <c r="G152" s="12"/>
      <c r="H152" s="12"/>
      <c r="I152" s="30"/>
      <c r="J152" s="30"/>
      <c r="K152" s="12"/>
      <c r="L152" s="12"/>
      <c r="M152" s="12"/>
      <c r="N152" s="12"/>
    </row>
    <row r="153" spans="1:16" x14ac:dyDescent="0.25">
      <c r="B153" t="s">
        <v>162</v>
      </c>
      <c r="C153" t="s">
        <v>65</v>
      </c>
      <c r="D153" s="30">
        <f>D141*(1-D58)</f>
        <v>132.14583816478674</v>
      </c>
      <c r="E153" s="12">
        <f>D153*2.205</f>
        <v>291.38157315335479</v>
      </c>
      <c r="F153" s="12">
        <v>290.15899999999999</v>
      </c>
      <c r="G153" s="31">
        <f t="shared" ref="G153" si="29">(E153-F153)/F153</f>
        <v>4.2134593562660524E-3</v>
      </c>
      <c r="H153" s="12"/>
      <c r="I153" s="30">
        <f>I141*(1-I58)</f>
        <v>112.78764563719579</v>
      </c>
      <c r="J153" s="30">
        <f>J141*(1-J58)</f>
        <v>112.78764563719579</v>
      </c>
      <c r="K153" s="12">
        <f>J153*2.205</f>
        <v>248.69675863001675</v>
      </c>
      <c r="L153" s="12">
        <v>249.00700000000001</v>
      </c>
      <c r="M153" s="31">
        <f t="shared" ref="M153:M156" si="30">(K153-L153)/L153</f>
        <v>-1.2459142513393583E-3</v>
      </c>
      <c r="N153" s="12"/>
    </row>
    <row r="154" spans="1:16" x14ac:dyDescent="0.25">
      <c r="B154" t="s">
        <v>163</v>
      </c>
      <c r="C154" t="s">
        <v>65</v>
      </c>
      <c r="D154" s="30"/>
      <c r="E154" s="12"/>
      <c r="F154" s="12"/>
      <c r="G154" s="31"/>
      <c r="H154" s="12"/>
      <c r="I154" s="30">
        <f>I141+I146</f>
        <v>248.99567710416352</v>
      </c>
      <c r="J154" s="30">
        <f>J141+J146</f>
        <v>251.12483806039316</v>
      </c>
      <c r="K154" s="12">
        <f>J154*2.205</f>
        <v>553.73026792316693</v>
      </c>
      <c r="L154" s="12">
        <v>548.96600000000001</v>
      </c>
      <c r="M154" s="31">
        <f t="shared" si="30"/>
        <v>8.6786211225593681E-3</v>
      </c>
      <c r="N154" s="12"/>
    </row>
    <row r="155" spans="1:16" x14ac:dyDescent="0.25">
      <c r="B155" t="s">
        <v>164</v>
      </c>
      <c r="C155" t="s">
        <v>10</v>
      </c>
      <c r="D155" s="12">
        <f>D145*D31</f>
        <v>127.02898838249111</v>
      </c>
      <c r="E155" s="27">
        <f>CONVERT(D155*1000,"Pa","psi")</f>
        <v>18.423997101153539</v>
      </c>
      <c r="F155" s="27">
        <v>18.423999999999999</v>
      </c>
      <c r="G155" s="31">
        <f t="shared" ref="G155:G156" si="31">(E155-F155)/F155</f>
        <v>-1.573407761969577E-7</v>
      </c>
      <c r="H155" s="31"/>
      <c r="I155" s="12">
        <f>I145*I31</f>
        <v>267.15536664034329</v>
      </c>
      <c r="J155" s="12">
        <f>J145*J31</f>
        <v>261.55261791634183</v>
      </c>
      <c r="K155" s="27">
        <f>CONVERT(J155*1000,"Pa","psi")</f>
        <v>37.935000000000009</v>
      </c>
      <c r="L155" s="27">
        <v>37.935000000000002</v>
      </c>
      <c r="M155" s="31">
        <f t="shared" si="30"/>
        <v>1.873053211440886E-16</v>
      </c>
      <c r="N155" s="31"/>
      <c r="O155" s="37"/>
    </row>
    <row r="156" spans="1:16" x14ac:dyDescent="0.25">
      <c r="B156" t="s">
        <v>165</v>
      </c>
      <c r="C156" t="s">
        <v>10</v>
      </c>
      <c r="D156" s="12">
        <f>D155*D33</f>
        <v>124.48840861484128</v>
      </c>
      <c r="E156" s="27">
        <f>CONVERT(D156*1000,"Pa","psi")</f>
        <v>18.055517159130467</v>
      </c>
      <c r="F156" s="27">
        <v>18.423999999999999</v>
      </c>
      <c r="G156" s="31">
        <f t="shared" si="31"/>
        <v>-2.0000154193960729E-2</v>
      </c>
      <c r="H156" s="31"/>
      <c r="I156" s="12">
        <f>I155*I33</f>
        <v>261.81225930753641</v>
      </c>
      <c r="J156" s="12">
        <f>J155*J33</f>
        <v>261.55261791634183</v>
      </c>
      <c r="K156" s="27">
        <f>CONVERT(J156*1000,"Pa","psi")</f>
        <v>37.935000000000009</v>
      </c>
      <c r="L156" s="27">
        <v>37.935000000000002</v>
      </c>
      <c r="M156" s="31">
        <f t="shared" si="30"/>
        <v>1.873053211440886E-16</v>
      </c>
      <c r="N156" s="31"/>
      <c r="O156" s="37"/>
    </row>
    <row r="157" spans="1:16" x14ac:dyDescent="0.25">
      <c r="B157" t="s">
        <v>166</v>
      </c>
      <c r="C157" t="s">
        <v>8</v>
      </c>
      <c r="D157" s="12">
        <f>IF(ISBLANK(D63),D143,D63)</f>
        <v>882.89388888961844</v>
      </c>
      <c r="E157" s="12">
        <f>D157*1.8</f>
        <v>1589.2090000013131</v>
      </c>
      <c r="F157" s="12">
        <v>1589.72</v>
      </c>
      <c r="G157" s="12">
        <f>E157-F157</f>
        <v>-0.51099999868688428</v>
      </c>
      <c r="H157" s="12"/>
      <c r="I157" s="12">
        <f>IF(ISBLANK(I63),I143,I63)</f>
        <v>903.51611111262889</v>
      </c>
      <c r="J157" s="12">
        <f>IF(ISBLANK(J63),J143,J63)</f>
        <v>1100</v>
      </c>
      <c r="K157" s="12">
        <f>J157*1.8</f>
        <v>1980</v>
      </c>
      <c r="L157" s="12">
        <v>1977.5</v>
      </c>
      <c r="M157" s="12">
        <f>K157-L157</f>
        <v>2.5</v>
      </c>
      <c r="N157" s="12"/>
    </row>
    <row r="158" spans="1:16" x14ac:dyDescent="0.25">
      <c r="B158" t="s">
        <v>167</v>
      </c>
      <c r="C158" t="s">
        <v>8</v>
      </c>
      <c r="D158" s="12">
        <f>D157</f>
        <v>882.89388888961844</v>
      </c>
      <c r="E158" s="12">
        <f>D158*1.8</f>
        <v>1589.2090000013131</v>
      </c>
      <c r="F158" s="12">
        <v>1589.72</v>
      </c>
      <c r="G158" s="12">
        <f>E158-F158</f>
        <v>-0.51099999868688428</v>
      </c>
      <c r="H158" s="12"/>
      <c r="I158" s="12">
        <f>I157</f>
        <v>903.51611111262889</v>
      </c>
      <c r="J158" s="12">
        <f>J157</f>
        <v>1100</v>
      </c>
      <c r="K158" s="12">
        <f>J158*1.8</f>
        <v>1980</v>
      </c>
      <c r="L158" s="12">
        <v>1977.5</v>
      </c>
      <c r="M158" s="12">
        <f>K158-L158</f>
        <v>2.5</v>
      </c>
      <c r="N158" s="12"/>
    </row>
    <row r="159" spans="1:16" x14ac:dyDescent="0.25">
      <c r="B159" t="s">
        <v>168</v>
      </c>
      <c r="C159" t="s">
        <v>10</v>
      </c>
      <c r="D159" s="12">
        <f>D156/(1+(D15-1)/2)^((D15/(D15-1)))</f>
        <v>67.936777119496654</v>
      </c>
      <c r="E159" s="27">
        <f>CONVERT(D159*1000,"Pa","psi")</f>
        <v>9.8533964620932331</v>
      </c>
      <c r="F159" s="27">
        <v>9.8835200000000007</v>
      </c>
      <c r="G159" s="31">
        <f t="shared" ref="G159:G160" si="32">(E159-F159)/F159</f>
        <v>-3.0478552081411978E-3</v>
      </c>
      <c r="H159" s="31"/>
      <c r="I159" s="12">
        <f>I156/(1+(I15-1)/2)^((I15/(I15-1)))</f>
        <v>142.87821095664219</v>
      </c>
      <c r="J159" s="12">
        <f>J156/(1+(J15-1)/2)^((J15/(J15-1)))</f>
        <v>142.73651744862124</v>
      </c>
      <c r="K159" s="27">
        <f>CONVERT(J159*1000,"Pa","psi")</f>
        <v>20.702181582236559</v>
      </c>
      <c r="L159" s="27"/>
      <c r="M159" s="31" t="e">
        <f t="shared" ref="M159:M160" si="33">(K159-L159)/L159</f>
        <v>#DIV/0!</v>
      </c>
      <c r="N159" s="31"/>
      <c r="O159" s="37"/>
    </row>
    <row r="160" spans="1:16" x14ac:dyDescent="0.25">
      <c r="B160" t="s">
        <v>168</v>
      </c>
      <c r="C160" t="s">
        <v>10</v>
      </c>
      <c r="D160" s="12">
        <f>D8</f>
        <v>10.038766618853135</v>
      </c>
      <c r="E160" s="27">
        <f>CONVERT(D160*1000,"Pa","psi")</f>
        <v>1.456</v>
      </c>
      <c r="F160" s="27">
        <v>1.456</v>
      </c>
      <c r="G160" s="31">
        <f t="shared" si="32"/>
        <v>0</v>
      </c>
      <c r="H160" s="31"/>
      <c r="I160" s="12">
        <f>I8</f>
        <v>101.0958156351939</v>
      </c>
      <c r="J160" s="12">
        <f>J8</f>
        <v>101.0958156351939</v>
      </c>
      <c r="K160" s="27">
        <f>CONVERT(J160*1000,"Pa","psi")</f>
        <v>14.662708393718836</v>
      </c>
      <c r="L160" s="27"/>
      <c r="M160" s="31" t="e">
        <f t="shared" si="33"/>
        <v>#DIV/0!</v>
      </c>
      <c r="N160" s="31"/>
      <c r="O160" s="37"/>
    </row>
    <row r="161" spans="1:19" x14ac:dyDescent="0.25">
      <c r="B161" t="s">
        <v>169</v>
      </c>
      <c r="D161" s="12">
        <f>IF(D159&lt;D8,SQRT(((((D156/D160)^((D17-1)/D17))-1)*2)/(D17-1)),1)</f>
        <v>1</v>
      </c>
      <c r="E161" s="12"/>
      <c r="F161" s="12"/>
      <c r="G161" s="12"/>
      <c r="H161" s="12"/>
      <c r="I161" s="12">
        <f>IF(I159&lt;I8,SQRT(((((I156/I160)^((I17-1)/I17))-1)*2)/(I17-1)),1)</f>
        <v>1</v>
      </c>
      <c r="J161" s="12">
        <f>IF(J159&lt;J8,SQRT(((((J156/J160)^((J17-1)/J17))-1)*2)/(J17-1)),1)</f>
        <v>1</v>
      </c>
      <c r="K161" s="12"/>
      <c r="L161" s="12"/>
      <c r="M161" s="12"/>
      <c r="N161" s="12"/>
    </row>
    <row r="162" spans="1:19" x14ac:dyDescent="0.25">
      <c r="B162" t="s">
        <v>170</v>
      </c>
      <c r="D162" s="35">
        <v>2.0159500887918558</v>
      </c>
      <c r="E162" s="35"/>
      <c r="F162" s="35">
        <v>2.0462600000000002</v>
      </c>
      <c r="G162" s="34">
        <f>(D162-F162)/F162</f>
        <v>-1.4812346040163229E-2</v>
      </c>
      <c r="H162" s="34"/>
      <c r="I162" s="35">
        <v>1.3598526451338924</v>
      </c>
      <c r="J162" s="35">
        <f>I162</f>
        <v>1.3598526451338924</v>
      </c>
      <c r="K162" s="35"/>
      <c r="L162" s="35">
        <v>2.0462600000000002</v>
      </c>
      <c r="M162" s="34">
        <f>(J162-L162)/L162</f>
        <v>-0.33544483832265098</v>
      </c>
      <c r="N162" s="34"/>
      <c r="O162" s="37"/>
    </row>
    <row r="163" spans="1:19" x14ac:dyDescent="0.25">
      <c r="B163" t="s">
        <v>67</v>
      </c>
      <c r="D163" s="12">
        <f>(((1+((D15-1)/2)*(D162^2))/((D15+1)/2))^((D15+1)/(2*(D15-1))))/D162</f>
        <v>1.8000000827491376</v>
      </c>
      <c r="E163" s="12"/>
      <c r="F163" s="12"/>
      <c r="G163" s="12"/>
      <c r="H163" s="12"/>
      <c r="I163" s="12">
        <f>(((1+((I15-1)/2)*(I162^2))/((I15+1)/2))^((I15+1)/(2*(I15-1))))/I162</f>
        <v>1.1000017383982634</v>
      </c>
      <c r="J163" s="12">
        <f>(((1+((J15-1)/2)*(J162^2))/((J15+1)/2))^((J15+1)/(2*(J15-1))))/J162</f>
        <v>1.1000017383982634</v>
      </c>
      <c r="K163" s="12"/>
      <c r="L163" s="12">
        <v>1.05</v>
      </c>
      <c r="M163" s="12"/>
      <c r="N163" s="12"/>
      <c r="O163" s="12">
        <f>K146+K109</f>
        <v>15.07222384047502</v>
      </c>
    </row>
    <row r="164" spans="1:19" x14ac:dyDescent="0.25">
      <c r="B164" t="s">
        <v>171</v>
      </c>
      <c r="D164" s="12">
        <f>D163/D172</f>
        <v>1.2997092145542017</v>
      </c>
      <c r="E164" s="17">
        <f>D164*1550</f>
        <v>2014.5492825590127</v>
      </c>
      <c r="F164" s="12">
        <v>1247.57</v>
      </c>
      <c r="G164" s="31">
        <f>(E164-F164)/F164</f>
        <v>0.61477855555921734</v>
      </c>
      <c r="H164" s="12"/>
      <c r="I164" s="12">
        <f>I163/I172</f>
        <v>1.4107366458096073</v>
      </c>
      <c r="J164" s="12">
        <f>J163/J172</f>
        <v>1.2664521518590284</v>
      </c>
      <c r="K164" s="17">
        <f>J164*1550</f>
        <v>1963.000835381494</v>
      </c>
      <c r="L164" s="12">
        <v>1284.74</v>
      </c>
      <c r="M164" s="31">
        <f>(K164-L164)/L164</f>
        <v>0.52793626366540625</v>
      </c>
      <c r="N164" s="12"/>
    </row>
    <row r="165" spans="1:19" x14ac:dyDescent="0.25">
      <c r="B165" t="s">
        <v>172</v>
      </c>
      <c r="D165" s="12">
        <f>D156/D160</f>
        <v>12.400767279622572</v>
      </c>
      <c r="E165" s="12">
        <f>E156/E160</f>
        <v>12.400767279622574</v>
      </c>
      <c r="F165" s="12">
        <v>12.65199</v>
      </c>
      <c r="G165" s="34">
        <f>(D165-F165)/F165</f>
        <v>-1.9856379935285069E-2</v>
      </c>
      <c r="H165" s="12"/>
      <c r="I165" s="12">
        <f>I156/I160</f>
        <v>2.5897437758679422</v>
      </c>
      <c r="J165" s="12">
        <f>J156/J160</f>
        <v>2.5871755054646299</v>
      </c>
      <c r="K165" s="12">
        <f>K156/K160</f>
        <v>2.5871755054646304</v>
      </c>
      <c r="L165" s="12">
        <v>2.5813199999999998</v>
      </c>
      <c r="M165" s="34">
        <f>(J165-L165)/L165</f>
        <v>2.2684151769753829E-3</v>
      </c>
      <c r="N165" s="12"/>
    </row>
    <row r="166" spans="1:19" x14ac:dyDescent="0.25">
      <c r="B166" t="s">
        <v>173</v>
      </c>
      <c r="D166" s="12">
        <f>D156/((1+((D15-1)*0.5*(D162^2)))^(D15/(D15-1)))</f>
        <v>15.824918063583521</v>
      </c>
      <c r="E166" s="27">
        <f>CONVERT(D166*1000,"Pa","psi")</f>
        <v>2.2952103157080765</v>
      </c>
      <c r="F166" s="27">
        <v>2.1688000000000001</v>
      </c>
      <c r="G166" s="31">
        <f>(E166-F166)/F166</f>
        <v>5.8285833506121577E-2</v>
      </c>
      <c r="H166" s="31"/>
      <c r="I166" s="12">
        <f>I156/((1+((I15-1)*0.5*(I162^2)))^(I15/(I15-1)))</f>
        <v>90.629517069151476</v>
      </c>
      <c r="J166" s="12">
        <f>J156/((1+((J15-1)*0.5*(J162^2)))^(J15/(J15-1)))</f>
        <v>90.539639024642156</v>
      </c>
      <c r="K166" s="27">
        <f>CONVERT(J166*1000,"Pa","psi")</f>
        <v>13.131664419043863</v>
      </c>
      <c r="L166" s="27"/>
      <c r="M166" s="31"/>
      <c r="N166" s="31"/>
      <c r="O166" s="37"/>
    </row>
    <row r="167" spans="1:19" x14ac:dyDescent="0.25">
      <c r="B167" t="s">
        <v>174</v>
      </c>
      <c r="C167" t="s">
        <v>8</v>
      </c>
      <c r="D167" s="12">
        <f>D158/(1+((D15-1)*0.5*(D162^2)))</f>
        <v>548.51477593695279</v>
      </c>
      <c r="E167" s="12">
        <f>D167*1.8</f>
        <v>987.32659668651502</v>
      </c>
      <c r="F167" s="12">
        <v>904.03499999999997</v>
      </c>
      <c r="G167" s="12">
        <f>E167-F167</f>
        <v>83.291596686515049</v>
      </c>
      <c r="H167" s="12"/>
      <c r="I167" s="12">
        <f>I158/(1+((I15-1)*0.5*(I162^2)))</f>
        <v>707.31982201284097</v>
      </c>
      <c r="J167" s="12">
        <f>J158/(1+((J15-1)*0.5*(J162^2)))</f>
        <v>861.13772034014801</v>
      </c>
      <c r="K167" s="12">
        <f>J167*1.8</f>
        <v>1550.0478966122664</v>
      </c>
      <c r="L167" s="12"/>
      <c r="M167" s="12">
        <f>K167-L167</f>
        <v>1550.0478966122664</v>
      </c>
      <c r="N167" s="12"/>
    </row>
    <row r="168" spans="1:19" x14ac:dyDescent="0.25">
      <c r="B168" t="s">
        <v>175</v>
      </c>
      <c r="C168" t="s">
        <v>84</v>
      </c>
      <c r="D168" s="12">
        <f>SQRT((D15-1)*D14*D167)</f>
        <v>433.79772595908679</v>
      </c>
      <c r="E168" s="12">
        <f t="shared" ref="E168:E169" si="34">CONVERT(D168,"m","ft")</f>
        <v>1423.220885692542</v>
      </c>
      <c r="F168" s="12"/>
      <c r="G168" s="31"/>
      <c r="H168" s="31"/>
      <c r="I168" s="12">
        <f>SQRT((I15-1)*I14*I167)</f>
        <v>501.71892709159243</v>
      </c>
      <c r="J168" s="12">
        <f>SQRT((J15-1)*J14*J167)</f>
        <v>553.59081635140626</v>
      </c>
      <c r="K168" s="12">
        <f t="shared" ref="K168:K169" si="35">CONVERT(J168,"m","ft")</f>
        <v>1816.2428357985768</v>
      </c>
      <c r="L168" s="12"/>
      <c r="M168" s="31"/>
      <c r="N168" s="31"/>
      <c r="O168" s="37"/>
    </row>
    <row r="169" spans="1:19" x14ac:dyDescent="0.25">
      <c r="B169" t="s">
        <v>176</v>
      </c>
      <c r="C169" t="s">
        <v>84</v>
      </c>
      <c r="D169" s="12">
        <f>D168*D162</f>
        <v>874.51456416492613</v>
      </c>
      <c r="E169" s="12">
        <f t="shared" si="34"/>
        <v>2869.1422708823038</v>
      </c>
      <c r="F169" s="12">
        <v>2993.21</v>
      </c>
      <c r="G169" s="31">
        <f>(E169-F169)/F169</f>
        <v>-4.1449724248447728E-2</v>
      </c>
      <c r="H169" s="31"/>
      <c r="I169" s="12">
        <f>I168*I162</f>
        <v>682.26381011924047</v>
      </c>
      <c r="J169" s="12">
        <f>J168*J162</f>
        <v>752.80193593729064</v>
      </c>
      <c r="K169" s="12">
        <f t="shared" si="35"/>
        <v>2469.8226244661764</v>
      </c>
      <c r="L169" s="12"/>
      <c r="M169" s="31"/>
      <c r="N169" s="31"/>
      <c r="O169" s="37"/>
      <c r="Q169" t="s">
        <v>201</v>
      </c>
      <c r="R169" t="s">
        <v>65</v>
      </c>
      <c r="S169" s="3">
        <f>I64</f>
        <v>246.1</v>
      </c>
    </row>
    <row r="170" spans="1:19" x14ac:dyDescent="0.25">
      <c r="B170" t="s">
        <v>177</v>
      </c>
      <c r="C170" t="s">
        <v>87</v>
      </c>
      <c r="D170" s="30">
        <f>((D15-1)/D15)*D14/1000</f>
        <v>0.26390210760269295</v>
      </c>
      <c r="E170" s="12">
        <f>D170*0.2388</f>
        <v>6.3019823295523081E-2</v>
      </c>
      <c r="F170" s="12">
        <v>6.8606E-2</v>
      </c>
      <c r="G170" s="31">
        <f>(E170-F170)/F170</f>
        <v>-8.1424025660684476E-2</v>
      </c>
      <c r="H170" s="31"/>
      <c r="I170" s="30">
        <f>((I15-1)/I15)*I14/1000</f>
        <v>0.27375482878409529</v>
      </c>
      <c r="J170" s="30">
        <f>((J15-1)/J15)*J14/1000</f>
        <v>0.27375482878409529</v>
      </c>
      <c r="K170" s="12">
        <f>J170*0.2388</f>
        <v>6.537265311364196E-2</v>
      </c>
      <c r="L170" s="12"/>
      <c r="M170" s="31"/>
      <c r="N170" s="31"/>
      <c r="O170" s="37"/>
      <c r="Q170" t="s">
        <v>202</v>
      </c>
      <c r="R170" t="s">
        <v>30</v>
      </c>
      <c r="S170" s="32">
        <f>I108</f>
        <v>2.0894507803635411E-2</v>
      </c>
    </row>
    <row r="171" spans="1:19" x14ac:dyDescent="0.25">
      <c r="B171" t="s">
        <v>178</v>
      </c>
      <c r="C171" t="s">
        <v>179</v>
      </c>
      <c r="D171" s="12">
        <f>D166/(D170*D167)</f>
        <v>0.10932268266445716</v>
      </c>
      <c r="E171" s="12">
        <f>D171*0.062428</f>
        <v>6.8247964333767314E-3</v>
      </c>
      <c r="F171" s="12">
        <v>6.4275199999999999E-3</v>
      </c>
      <c r="G171" s="31">
        <f>(E171-F171)/F171</f>
        <v>6.1808665453663536E-2</v>
      </c>
      <c r="H171" s="31"/>
      <c r="I171" s="12">
        <f>I166/(I170*I167)</f>
        <v>0.46804978314360246</v>
      </c>
      <c r="J171" s="12">
        <f>J166/(J170*J167)</f>
        <v>0.3840646689395476</v>
      </c>
      <c r="K171" s="12">
        <f>J171*0.062428</f>
        <v>2.3976389152558078E-2</v>
      </c>
      <c r="L171" s="12"/>
      <c r="M171" s="31"/>
      <c r="N171" s="31"/>
      <c r="O171" s="37"/>
      <c r="Q171" t="s">
        <v>203</v>
      </c>
      <c r="R171" t="s">
        <v>204</v>
      </c>
      <c r="S171" s="3">
        <f>I142</f>
        <v>903.51611111262889</v>
      </c>
    </row>
    <row r="172" spans="1:19" x14ac:dyDescent="0.25">
      <c r="B172" t="s">
        <v>180</v>
      </c>
      <c r="C172" t="s">
        <v>95</v>
      </c>
      <c r="D172" s="17">
        <f>D147/(D171*D169)</f>
        <v>1.3849252298842361</v>
      </c>
      <c r="E172" s="17">
        <f>D172*1550</f>
        <v>2146.6341063205659</v>
      </c>
      <c r="F172" s="17">
        <v>2155.81</v>
      </c>
      <c r="G172" s="31">
        <f>(E172-F172)/F172</f>
        <v>-4.2563554670560074E-3</v>
      </c>
      <c r="H172" s="31"/>
      <c r="I172" s="17">
        <f>I147/(I171*I169)</f>
        <v>0.77973570876298015</v>
      </c>
      <c r="J172" s="17">
        <f>J147/(J171*J169)</f>
        <v>0.8685695205962326</v>
      </c>
      <c r="K172" s="17">
        <f>J172*1550</f>
        <v>1346.2827569241606</v>
      </c>
      <c r="L172" s="17"/>
      <c r="M172" s="31"/>
      <c r="N172" s="31"/>
      <c r="O172" s="37"/>
      <c r="Q172" t="s">
        <v>205</v>
      </c>
      <c r="R172" t="s">
        <v>10</v>
      </c>
      <c r="S172" s="3">
        <f>I144</f>
        <v>274.28724636773245</v>
      </c>
    </row>
    <row r="173" spans="1:19" x14ac:dyDescent="0.25">
      <c r="Q173" t="s">
        <v>210</v>
      </c>
      <c r="R173" t="s">
        <v>204</v>
      </c>
      <c r="S173" s="47">
        <v>1100</v>
      </c>
    </row>
    <row r="174" spans="1:19" x14ac:dyDescent="0.25">
      <c r="A174" t="s">
        <v>182</v>
      </c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</row>
    <row r="175" spans="1:19" x14ac:dyDescent="0.25">
      <c r="B175" t="s">
        <v>183</v>
      </c>
      <c r="C175" t="s">
        <v>184</v>
      </c>
      <c r="D175" s="28">
        <f>(D147*(D169-D81)+D172*1000*(D166-D8))</f>
        <v>45611.417442261845</v>
      </c>
      <c r="E175" s="28">
        <f>D175*0.225</f>
        <v>10262.568924508916</v>
      </c>
      <c r="F175" s="28">
        <v>10031</v>
      </c>
      <c r="G175" s="31">
        <f>(E175-F175)/F175</f>
        <v>2.3085327934295293E-2</v>
      </c>
      <c r="H175" s="31"/>
      <c r="I175" s="28">
        <f>(I147*(I169-I81)+I172*1000*(I166-I8))</f>
        <v>135658.53124705239</v>
      </c>
      <c r="J175" s="28">
        <f>(J147*(J169-J81)+J172*1000*(J166-J8))</f>
        <v>153594.37987589368</v>
      </c>
      <c r="K175" s="28">
        <f>J175*0.225</f>
        <v>34558.735472076078</v>
      </c>
      <c r="L175" s="28">
        <v>33611.07</v>
      </c>
      <c r="M175" s="31">
        <f>(K175-L175)/L175</f>
        <v>2.8195040267271407E-2</v>
      </c>
      <c r="N175" s="31"/>
      <c r="O175" s="37"/>
      <c r="Q175" t="s">
        <v>206</v>
      </c>
      <c r="R175" t="s">
        <v>54</v>
      </c>
      <c r="S175" s="3">
        <f>I58*100</f>
        <v>54.679342708296872</v>
      </c>
    </row>
    <row r="176" spans="1:19" x14ac:dyDescent="0.25">
      <c r="B176" t="s">
        <v>185</v>
      </c>
      <c r="C176" t="s">
        <v>186</v>
      </c>
      <c r="D176" s="12">
        <f>D175/D153</f>
        <v>345.15969685995032</v>
      </c>
      <c r="E176" s="12"/>
      <c r="F176" s="12"/>
      <c r="G176" s="12"/>
      <c r="H176" s="12"/>
      <c r="I176" s="12">
        <f>I175/I153</f>
        <v>1202.7782872906614</v>
      </c>
      <c r="J176" s="12">
        <f>J175/J153</f>
        <v>1361.8014544780992</v>
      </c>
      <c r="K176" s="28">
        <f>I175*0.225</f>
        <v>30523.169530586791</v>
      </c>
      <c r="L176" s="12"/>
      <c r="M176" s="12"/>
      <c r="N176" s="12"/>
      <c r="Q176" t="s">
        <v>207</v>
      </c>
      <c r="R176" t="s">
        <v>208</v>
      </c>
      <c r="S176" s="47">
        <f>I175</f>
        <v>135658.53124705239</v>
      </c>
    </row>
    <row r="177" spans="2:19" x14ac:dyDescent="0.25">
      <c r="B177" t="s">
        <v>187</v>
      </c>
      <c r="C177" t="s">
        <v>188</v>
      </c>
      <c r="D177" s="20">
        <f>D109/D175</f>
        <v>4.2569102886042417E-5</v>
      </c>
      <c r="E177" s="13"/>
      <c r="F177" s="13">
        <f>1197.67/1550</f>
        <v>0.77269032258064518</v>
      </c>
      <c r="G177" s="13"/>
      <c r="H177" s="13"/>
      <c r="I177" s="20">
        <f>I109/I175</f>
        <v>3.3735454888609129E-5</v>
      </c>
      <c r="J177" s="20">
        <f>J109/J175</f>
        <v>2.9796026813206204E-5</v>
      </c>
      <c r="K177" s="13"/>
      <c r="L177" s="13">
        <f>1197.67/1550</f>
        <v>0.77269032258064518</v>
      </c>
      <c r="M177" s="13"/>
      <c r="N177" s="13"/>
      <c r="Q177" t="s">
        <v>209</v>
      </c>
      <c r="R177" t="s">
        <v>208</v>
      </c>
      <c r="S177" s="47">
        <f>J175</f>
        <v>153594.37987589368</v>
      </c>
    </row>
    <row r="178" spans="2:19" x14ac:dyDescent="0.25">
      <c r="D178">
        <v>44582.222222222132</v>
      </c>
      <c r="I178">
        <v>44582.222222222132</v>
      </c>
      <c r="J178">
        <v>44582.222222222132</v>
      </c>
    </row>
    <row r="179" spans="2:19" x14ac:dyDescent="0.25">
      <c r="D179" s="15"/>
      <c r="E179" s="15"/>
      <c r="F179" s="15"/>
      <c r="G179" s="15"/>
      <c r="H179" s="15"/>
      <c r="I179" s="15"/>
      <c r="J179" s="15"/>
      <c r="K179" s="46">
        <f>K175-K176</f>
        <v>4035.5659414892871</v>
      </c>
      <c r="L179">
        <f>164945-139460</f>
        <v>25485</v>
      </c>
      <c r="M179" s="15"/>
      <c r="N179" s="15"/>
      <c r="O179" s="37"/>
    </row>
    <row r="180" spans="2:19" x14ac:dyDescent="0.25">
      <c r="E180" s="37"/>
      <c r="F180" s="39"/>
      <c r="G180" s="15"/>
      <c r="H180" s="15"/>
      <c r="K180" s="34">
        <f>K179/K176</f>
        <v>0.13221320077671847</v>
      </c>
      <c r="L180" s="34">
        <f>L179/139460</f>
        <v>0.1827405707729815</v>
      </c>
      <c r="M180" s="15"/>
      <c r="N180" s="15"/>
      <c r="O180" s="37"/>
    </row>
    <row r="181" spans="2:19" x14ac:dyDescent="0.25">
      <c r="K181" s="15"/>
    </row>
  </sheetData>
  <mergeCells count="1">
    <mergeCell ref="A4:B4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159"/>
  <sheetViews>
    <sheetView topLeftCell="A58" zoomScale="68" zoomScaleNormal="68" workbookViewId="0">
      <selection activeCell="J8" sqref="J8"/>
    </sheetView>
  </sheetViews>
  <sheetFormatPr defaultColWidth="9.140625" defaultRowHeight="15" x14ac:dyDescent="0.25"/>
  <cols>
    <col min="2" max="2" width="24.7109375" bestFit="1" customWidth="1"/>
    <col min="4" max="4" width="13.7109375" bestFit="1" customWidth="1"/>
    <col min="5" max="6" width="12" bestFit="1" customWidth="1"/>
    <col min="8" max="8" width="13.7109375" bestFit="1" customWidth="1"/>
    <col min="9" max="9" width="12.5703125" bestFit="1" customWidth="1"/>
    <col min="10" max="10" width="9.28515625" customWidth="1"/>
    <col min="14" max="14" width="10" bestFit="1" customWidth="1"/>
  </cols>
  <sheetData>
    <row r="1" spans="1:52" x14ac:dyDescent="0.25">
      <c r="A1" t="s">
        <v>0</v>
      </c>
    </row>
    <row r="4" spans="1:52" x14ac:dyDescent="0.25">
      <c r="A4" s="62" t="s">
        <v>1</v>
      </c>
      <c r="B4" s="62"/>
      <c r="D4" t="s">
        <v>211</v>
      </c>
      <c r="E4" t="s">
        <v>212</v>
      </c>
      <c r="I4" s="25" t="s">
        <v>33</v>
      </c>
      <c r="J4" s="25">
        <v>4.2284648447870801</v>
      </c>
      <c r="O4" s="12"/>
      <c r="AG4" s="12"/>
      <c r="AY4" s="12"/>
    </row>
    <row r="5" spans="1:52" x14ac:dyDescent="0.25">
      <c r="A5" t="s">
        <v>3</v>
      </c>
      <c r="B5" t="s">
        <v>4</v>
      </c>
      <c r="C5" t="s">
        <v>5</v>
      </c>
      <c r="D5">
        <v>0</v>
      </c>
      <c r="E5">
        <v>10668</v>
      </c>
      <c r="I5" s="25" t="s">
        <v>34</v>
      </c>
      <c r="J5" s="25">
        <v>4.5831485665020102</v>
      </c>
      <c r="P5" s="12"/>
      <c r="AH5" s="12"/>
      <c r="AZ5" s="12"/>
    </row>
    <row r="6" spans="1:52" x14ac:dyDescent="0.25">
      <c r="B6" t="s">
        <v>6</v>
      </c>
      <c r="C6" t="s">
        <v>7</v>
      </c>
      <c r="D6">
        <v>15</v>
      </c>
      <c r="E6">
        <v>-54.3</v>
      </c>
      <c r="F6" s="63" t="s">
        <v>213</v>
      </c>
      <c r="I6" s="25" t="s">
        <v>32</v>
      </c>
      <c r="J6" s="25">
        <v>1.5719000000000001</v>
      </c>
    </row>
    <row r="7" spans="1:52" x14ac:dyDescent="0.25">
      <c r="B7" t="s">
        <v>6</v>
      </c>
      <c r="C7" t="s">
        <v>8</v>
      </c>
      <c r="D7">
        <f>273+D6</f>
        <v>288</v>
      </c>
      <c r="E7">
        <f>E6+273</f>
        <v>218.7</v>
      </c>
      <c r="F7" s="63"/>
      <c r="I7" s="25" t="s">
        <v>214</v>
      </c>
      <c r="J7" s="25">
        <v>4.67</v>
      </c>
    </row>
    <row r="8" spans="1:52" x14ac:dyDescent="0.25">
      <c r="B8" t="s">
        <v>9</v>
      </c>
      <c r="C8" t="s">
        <v>10</v>
      </c>
      <c r="D8">
        <v>101.325</v>
      </c>
      <c r="E8">
        <v>23.8</v>
      </c>
      <c r="F8" s="63"/>
      <c r="I8" s="25" t="s">
        <v>61</v>
      </c>
      <c r="J8" s="25">
        <v>1452</v>
      </c>
    </row>
    <row r="9" spans="1:52" x14ac:dyDescent="0.25">
      <c r="B9" t="s">
        <v>11</v>
      </c>
      <c r="D9">
        <v>0</v>
      </c>
      <c r="E9">
        <v>0.8</v>
      </c>
    </row>
    <row r="11" spans="1:52" x14ac:dyDescent="0.25">
      <c r="A11" s="2" t="s">
        <v>12</v>
      </c>
      <c r="B11" s="2"/>
    </row>
    <row r="12" spans="1:52" x14ac:dyDescent="0.25">
      <c r="B12" t="s">
        <v>13</v>
      </c>
      <c r="C12" t="s">
        <v>14</v>
      </c>
      <c r="D12">
        <v>1004.83</v>
      </c>
      <c r="E12">
        <v>1004.83</v>
      </c>
    </row>
    <row r="13" spans="1:52" x14ac:dyDescent="0.25">
      <c r="B13" t="s">
        <v>15</v>
      </c>
      <c r="D13">
        <v>1.4</v>
      </c>
      <c r="E13">
        <v>1.4</v>
      </c>
      <c r="H13" t="s">
        <v>215</v>
      </c>
      <c r="I13">
        <f>D7/D43</f>
        <v>0.18231769501420167</v>
      </c>
    </row>
    <row r="14" spans="1:52" x14ac:dyDescent="0.25">
      <c r="B14" t="s">
        <v>16</v>
      </c>
      <c r="C14" t="s">
        <v>17</v>
      </c>
      <c r="D14">
        <v>1235.1099999999999</v>
      </c>
      <c r="E14">
        <v>1235.1099999999999</v>
      </c>
      <c r="H14" t="s">
        <v>216</v>
      </c>
      <c r="I14">
        <f>D25^((D13-1)/(D31*D13))</f>
        <v>1.5551959893160705</v>
      </c>
      <c r="J14">
        <f>D24^((D13-1)/(D31*E13))</f>
        <v>1.4884012088651863</v>
      </c>
    </row>
    <row r="15" spans="1:52" x14ac:dyDescent="0.25">
      <c r="B15" t="s">
        <v>18</v>
      </c>
      <c r="D15">
        <v>1.3</v>
      </c>
      <c r="E15">
        <v>1.3</v>
      </c>
      <c r="H15" t="s">
        <v>217</v>
      </c>
      <c r="I15">
        <f>(E7*(1+(E13-1)*E9^2/2))/E43</f>
        <v>0.169899173553719</v>
      </c>
      <c r="J15">
        <f>(E7*(1+(E13-1)*E9^2/2))/E43</f>
        <v>0.169899173553719</v>
      </c>
      <c r="K15" s="8"/>
    </row>
    <row r="16" spans="1:52" x14ac:dyDescent="0.25">
      <c r="B16" t="s">
        <v>21</v>
      </c>
      <c r="C16" t="s">
        <v>22</v>
      </c>
      <c r="D16">
        <v>42798.400000000001</v>
      </c>
      <c r="E16">
        <v>42798.400000000001</v>
      </c>
      <c r="H16" t="s">
        <v>218</v>
      </c>
      <c r="I16">
        <f>1+(I13/I15)*(I14-1)</f>
        <v>1.5957771950034281</v>
      </c>
      <c r="J16">
        <f>1+(I13/J15)*(J14-1)</f>
        <v>1.5241001517543951</v>
      </c>
    </row>
    <row r="17" spans="1:13" x14ac:dyDescent="0.25">
      <c r="H17" t="s">
        <v>219</v>
      </c>
      <c r="I17">
        <f>I16^((E13*E31)/(E13-1))</f>
        <v>4.3587564314618259</v>
      </c>
      <c r="J17">
        <f>J16^((E13*E31)/(E13-1))</f>
        <v>3.7713127113905052</v>
      </c>
    </row>
    <row r="18" spans="1:13" x14ac:dyDescent="0.25">
      <c r="A18" t="s">
        <v>23</v>
      </c>
    </row>
    <row r="19" spans="1:13" x14ac:dyDescent="0.25">
      <c r="A19" s="9" t="s">
        <v>28</v>
      </c>
      <c r="B19" s="9"/>
    </row>
    <row r="20" spans="1:13" x14ac:dyDescent="0.25">
      <c r="B20" t="s">
        <v>29</v>
      </c>
      <c r="D20">
        <v>0.97</v>
      </c>
      <c r="E20" s="12">
        <v>0.995</v>
      </c>
      <c r="F20">
        <v>0.995</v>
      </c>
    </row>
    <row r="21" spans="1:13" x14ac:dyDescent="0.25">
      <c r="B21" t="s">
        <v>31</v>
      </c>
      <c r="D21">
        <v>21.1</v>
      </c>
      <c r="E21" s="12">
        <f>E23*E24*E25</f>
        <v>30.462923066191973</v>
      </c>
    </row>
    <row r="22" spans="1:13" x14ac:dyDescent="0.25">
      <c r="B22" t="s">
        <v>219</v>
      </c>
      <c r="D22" s="13">
        <f>D21/D23</f>
        <v>14.066666666666668</v>
      </c>
      <c r="E22" s="12">
        <f>E24*E25</f>
        <v>19.379682591890052</v>
      </c>
    </row>
    <row r="23" spans="1:13" x14ac:dyDescent="0.25">
      <c r="B23" s="1" t="s">
        <v>32</v>
      </c>
      <c r="D23">
        <v>1.5</v>
      </c>
      <c r="E23" s="12">
        <v>1.5719000000000001</v>
      </c>
    </row>
    <row r="24" spans="1:13" x14ac:dyDescent="0.25">
      <c r="B24" s="2" t="s">
        <v>33</v>
      </c>
      <c r="D24" s="13">
        <v>3.5</v>
      </c>
      <c r="E24" s="12">
        <v>4.2284648447870801</v>
      </c>
      <c r="F24">
        <v>4.173</v>
      </c>
      <c r="G24">
        <v>118</v>
      </c>
      <c r="H24">
        <f>D23*D24*D25</f>
        <v>21.1</v>
      </c>
    </row>
    <row r="25" spans="1:13" x14ac:dyDescent="0.25">
      <c r="B25" s="2" t="s">
        <v>34</v>
      </c>
      <c r="D25" s="13">
        <f>D21/(D23*D24)</f>
        <v>4.019047619047619</v>
      </c>
      <c r="E25" s="12">
        <v>4.5831485665020102</v>
      </c>
      <c r="F25">
        <v>4.609</v>
      </c>
      <c r="G25">
        <v>110</v>
      </c>
    </row>
    <row r="26" spans="1:13" x14ac:dyDescent="0.25">
      <c r="B26" t="s">
        <v>35</v>
      </c>
      <c r="D26">
        <v>0.97</v>
      </c>
      <c r="E26">
        <f>D26</f>
        <v>0.97</v>
      </c>
    </row>
    <row r="27" spans="1:13" x14ac:dyDescent="0.25">
      <c r="B27" t="s">
        <v>220</v>
      </c>
      <c r="D27">
        <v>0.98</v>
      </c>
      <c r="E27">
        <f>D27</f>
        <v>0.98</v>
      </c>
    </row>
    <row r="28" spans="1:13" x14ac:dyDescent="0.25">
      <c r="B28" t="s">
        <v>39</v>
      </c>
      <c r="D28">
        <v>0.98</v>
      </c>
      <c r="E28">
        <f>D28</f>
        <v>0.98</v>
      </c>
    </row>
    <row r="29" spans="1:13" x14ac:dyDescent="0.25">
      <c r="K29">
        <v>1.4</v>
      </c>
      <c r="L29">
        <v>1.5</v>
      </c>
      <c r="M29">
        <v>1.55</v>
      </c>
    </row>
    <row r="30" spans="1:13" x14ac:dyDescent="0.25">
      <c r="A30" s="10" t="s">
        <v>42</v>
      </c>
      <c r="B30" s="10"/>
    </row>
    <row r="31" spans="1:13" x14ac:dyDescent="0.25">
      <c r="B31" t="s">
        <v>221</v>
      </c>
      <c r="D31">
        <v>0.9</v>
      </c>
      <c r="E31">
        <f>D31</f>
        <v>0.9</v>
      </c>
    </row>
    <row r="32" spans="1:13" x14ac:dyDescent="0.25">
      <c r="B32" t="s">
        <v>43</v>
      </c>
      <c r="D32">
        <v>0.89</v>
      </c>
      <c r="E32">
        <f t="shared" ref="E32:E35" si="0">D32</f>
        <v>0.89</v>
      </c>
    </row>
    <row r="33" spans="1:79" x14ac:dyDescent="0.25">
      <c r="B33" t="s">
        <v>35</v>
      </c>
      <c r="D33">
        <v>0.98</v>
      </c>
      <c r="E33">
        <f t="shared" si="0"/>
        <v>0.98</v>
      </c>
    </row>
    <row r="34" spans="1:79" x14ac:dyDescent="0.25">
      <c r="B34" t="s">
        <v>222</v>
      </c>
      <c r="D34">
        <v>0.9</v>
      </c>
      <c r="E34">
        <f t="shared" si="0"/>
        <v>0.9</v>
      </c>
      <c r="H34" t="s">
        <v>211</v>
      </c>
    </row>
    <row r="35" spans="1:79" x14ac:dyDescent="0.25">
      <c r="B35" t="s">
        <v>223</v>
      </c>
      <c r="D35">
        <v>0.99</v>
      </c>
      <c r="E35">
        <f t="shared" si="0"/>
        <v>0.99</v>
      </c>
      <c r="H35" s="12">
        <f>D150</f>
        <v>166.36299945216803</v>
      </c>
    </row>
    <row r="36" spans="1:79" x14ac:dyDescent="0.25">
      <c r="H36">
        <v>166.363</v>
      </c>
    </row>
    <row r="37" spans="1:79" x14ac:dyDescent="0.25">
      <c r="B37" t="s">
        <v>50</v>
      </c>
      <c r="D37" s="12">
        <f>(D24^((D13-1)/D13)-1)/(D24^((D13-1)/(D13*D31))-1)</f>
        <v>0.88117871150720373</v>
      </c>
      <c r="E37" s="12">
        <f>(E24^((E13-1)/E13)-1)/(E24^((E13-1)/(E13*E31))-1)</f>
        <v>0.87818299784650911</v>
      </c>
      <c r="H37" t="s">
        <v>224</v>
      </c>
    </row>
    <row r="38" spans="1:79" x14ac:dyDescent="0.25">
      <c r="B38" t="s">
        <v>51</v>
      </c>
      <c r="D38" s="12">
        <f>(D25^((D13-1)/D13)-1)/(D25^((D13-1)/(D13*D31))-1)</f>
        <v>0.87899161813606863</v>
      </c>
      <c r="E38" s="12">
        <f>(E25^((E13-1)/E13)-1)/(E25^((E13-1)/(E13*E31))-1)</f>
        <v>0.87689498325890924</v>
      </c>
      <c r="H38">
        <f>E150</f>
        <v>37.601341703370771</v>
      </c>
    </row>
    <row r="39" spans="1:79" x14ac:dyDescent="0.25">
      <c r="B39" t="s">
        <v>225</v>
      </c>
      <c r="D39" s="12">
        <f>(D23^((D13-1)/D13)-1)/(D23^((D13-1)/(D13*D32))-1)</f>
        <v>0.88352150832340992</v>
      </c>
      <c r="E39" s="12">
        <f>(E23^((E13-1)/E13)-1)/(E23^((E13-1)/(E13*E32))-1)</f>
        <v>0.88275979163463081</v>
      </c>
      <c r="H39">
        <v>37.600999999999999</v>
      </c>
    </row>
    <row r="40" spans="1:79" x14ac:dyDescent="0.25">
      <c r="H40" s="12">
        <f>E77</f>
        <v>1.8659429563003866</v>
      </c>
      <c r="I40" s="12">
        <f>E143</f>
        <v>0.30845585755027088</v>
      </c>
    </row>
    <row r="41" spans="1:79" x14ac:dyDescent="0.25">
      <c r="D41">
        <f>D43/D7</f>
        <v>5.48493112488124</v>
      </c>
      <c r="H41" s="12">
        <f>D77</f>
        <v>1.8660679665029207</v>
      </c>
      <c r="I41" s="12">
        <f>D143</f>
        <v>0.30783503267805351</v>
      </c>
    </row>
    <row r="42" spans="1:79" x14ac:dyDescent="0.25">
      <c r="B42" t="s">
        <v>60</v>
      </c>
    </row>
    <row r="43" spans="1:79" x14ac:dyDescent="0.25">
      <c r="B43" t="s">
        <v>61</v>
      </c>
      <c r="C43" t="s">
        <v>8</v>
      </c>
      <c r="D43" s="14">
        <v>1579.6601639657972</v>
      </c>
      <c r="E43" s="5">
        <v>1452</v>
      </c>
      <c r="G43">
        <f>((E33*E97*E16*1000)+(E96*E12*E91))/(E98*E14)</f>
        <v>897.16393243627022</v>
      </c>
      <c r="H43">
        <f>((D102*E107)/E98)^2</f>
        <v>1452</v>
      </c>
    </row>
    <row r="44" spans="1:79" x14ac:dyDescent="0.25">
      <c r="B44" t="s">
        <v>226</v>
      </c>
      <c r="C44" t="s">
        <v>65</v>
      </c>
      <c r="D44">
        <v>518</v>
      </c>
      <c r="E44" s="12">
        <f>E50</f>
        <v>292.35072914701993</v>
      </c>
      <c r="O44" s="12"/>
      <c r="AV44" s="12"/>
      <c r="BS44">
        <v>4.5999999999999996</v>
      </c>
      <c r="BT44">
        <v>4.6500000000000004</v>
      </c>
      <c r="BU44">
        <v>4.7</v>
      </c>
      <c r="BV44">
        <v>4.75</v>
      </c>
      <c r="BW44">
        <v>4.8</v>
      </c>
      <c r="BX44">
        <v>4.8499999999999996</v>
      </c>
      <c r="BY44">
        <v>4.9000000000000004</v>
      </c>
      <c r="BZ44">
        <v>4.95</v>
      </c>
      <c r="CA44">
        <v>5</v>
      </c>
    </row>
    <row r="45" spans="1:79" x14ac:dyDescent="0.25">
      <c r="B45" t="s">
        <v>227</v>
      </c>
      <c r="D45">
        <v>4.4000000000000004</v>
      </c>
      <c r="E45" s="12">
        <v>4.67</v>
      </c>
      <c r="G45">
        <f>(E45-D45)/D45</f>
        <v>6.1363636363636259E-2</v>
      </c>
      <c r="BS45">
        <v>24.533180000000002</v>
      </c>
      <c r="BT45">
        <v>24.799845000000001</v>
      </c>
      <c r="BU45">
        <v>25.066510000000001</v>
      </c>
      <c r="BV45">
        <v>25.333175000000001</v>
      </c>
      <c r="BW45">
        <v>25.59984</v>
      </c>
      <c r="BX45">
        <v>25.866504999999997</v>
      </c>
      <c r="BY45">
        <v>26.133170000000003</v>
      </c>
      <c r="BZ45">
        <v>26.399834999999999</v>
      </c>
      <c r="CA45">
        <v>26.666499999999999</v>
      </c>
    </row>
    <row r="46" spans="1:79" x14ac:dyDescent="0.25">
      <c r="BS46">
        <v>24.883654</v>
      </c>
      <c r="BT46">
        <v>25.154128499999999</v>
      </c>
      <c r="BU46">
        <v>25.424603000000001</v>
      </c>
      <c r="BV46">
        <v>25.6950775</v>
      </c>
      <c r="BW46">
        <v>25.965551999999999</v>
      </c>
      <c r="BX46">
        <v>26.236026499999998</v>
      </c>
      <c r="BY46">
        <v>26.506501</v>
      </c>
      <c r="BZ46">
        <v>26.776975499999999</v>
      </c>
      <c r="CA46">
        <v>27.047449999999998</v>
      </c>
    </row>
    <row r="47" spans="1:79" x14ac:dyDescent="0.25">
      <c r="A47" t="s">
        <v>68</v>
      </c>
      <c r="BS47">
        <v>25.234128000000002</v>
      </c>
      <c r="BT47">
        <v>25.508412000000003</v>
      </c>
      <c r="BU47">
        <v>25.782696000000005</v>
      </c>
      <c r="BV47">
        <v>26.056980000000003</v>
      </c>
      <c r="BW47">
        <v>26.331264000000001</v>
      </c>
      <c r="BX47">
        <v>26.605547999999999</v>
      </c>
      <c r="BY47">
        <v>26.879832000000004</v>
      </c>
      <c r="BZ47">
        <v>27.154116000000002</v>
      </c>
      <c r="CA47">
        <v>27.4284</v>
      </c>
    </row>
    <row r="48" spans="1:79" x14ac:dyDescent="0.25">
      <c r="B48" t="s">
        <v>193</v>
      </c>
      <c r="C48" t="s">
        <v>65</v>
      </c>
      <c r="D48">
        <f>D44/((1+D45))</f>
        <v>95.925925925925924</v>
      </c>
      <c r="E48" s="12">
        <f>E96</f>
        <v>51.560975158204577</v>
      </c>
      <c r="I48" t="s">
        <v>228</v>
      </c>
      <c r="J48" t="s">
        <v>229</v>
      </c>
      <c r="BS48">
        <v>25.584602</v>
      </c>
      <c r="BT48">
        <v>25.862695500000001</v>
      </c>
      <c r="BU48">
        <v>26.140789000000002</v>
      </c>
      <c r="BV48">
        <v>26.418882500000002</v>
      </c>
      <c r="BW48">
        <v>26.696975999999999</v>
      </c>
      <c r="BX48">
        <v>26.975069499999996</v>
      </c>
      <c r="BY48">
        <v>27.253163000000001</v>
      </c>
      <c r="BZ48">
        <v>27.531256500000001</v>
      </c>
      <c r="CA48">
        <v>27.809349999999998</v>
      </c>
    </row>
    <row r="49" spans="1:79" x14ac:dyDescent="0.25">
      <c r="B49" t="s">
        <v>230</v>
      </c>
      <c r="C49" t="s">
        <v>65</v>
      </c>
      <c r="D49">
        <f>D48*D45</f>
        <v>422.07407407407408</v>
      </c>
      <c r="E49">
        <f>E48*E45</f>
        <v>240.78975398881536</v>
      </c>
      <c r="I49" t="s">
        <v>231</v>
      </c>
      <c r="J49" t="s">
        <v>232</v>
      </c>
      <c r="BS49">
        <v>25.935076000000002</v>
      </c>
      <c r="BT49">
        <v>26.216979000000002</v>
      </c>
      <c r="BU49">
        <v>26.498882000000005</v>
      </c>
      <c r="BV49">
        <v>26.780785000000002</v>
      </c>
      <c r="BW49">
        <v>27.062688000000001</v>
      </c>
      <c r="BX49">
        <v>27.344590999999998</v>
      </c>
      <c r="BY49">
        <v>27.626494000000005</v>
      </c>
      <c r="BZ49">
        <v>27.908397000000001</v>
      </c>
      <c r="CA49">
        <v>28.190300000000001</v>
      </c>
    </row>
    <row r="50" spans="1:79" x14ac:dyDescent="0.25">
      <c r="C50" t="s">
        <v>65</v>
      </c>
      <c r="D50">
        <f>D48+D49</f>
        <v>518</v>
      </c>
      <c r="E50" s="12">
        <f>E48+E49</f>
        <v>292.35072914701993</v>
      </c>
      <c r="I50" t="s">
        <v>233</v>
      </c>
      <c r="BS50">
        <v>26.285550000000001</v>
      </c>
      <c r="BT50">
        <v>26.571262500000003</v>
      </c>
      <c r="BU50">
        <v>26.856975000000002</v>
      </c>
      <c r="BV50">
        <v>27.142687500000001</v>
      </c>
      <c r="BW50">
        <v>27.4284</v>
      </c>
      <c r="BX50">
        <v>27.714112499999999</v>
      </c>
      <c r="BY50">
        <v>27.999825000000001</v>
      </c>
      <c r="BZ50">
        <v>28.2855375</v>
      </c>
      <c r="CA50">
        <v>28.571249999999999</v>
      </c>
    </row>
    <row r="51" spans="1:79" x14ac:dyDescent="0.25">
      <c r="A51" t="s">
        <v>76</v>
      </c>
      <c r="BS51">
        <v>26.636023999999999</v>
      </c>
      <c r="BT51">
        <v>26.925546000000001</v>
      </c>
      <c r="BU51">
        <v>27.215068000000002</v>
      </c>
      <c r="BV51">
        <v>27.50459</v>
      </c>
      <c r="BW51">
        <v>27.794111999999998</v>
      </c>
      <c r="BX51">
        <v>28.083633999999996</v>
      </c>
      <c r="BY51">
        <v>28.373156000000002</v>
      </c>
      <c r="BZ51">
        <v>28.662678</v>
      </c>
      <c r="CA51">
        <v>28.952199999999998</v>
      </c>
    </row>
    <row r="52" spans="1:79" x14ac:dyDescent="0.25">
      <c r="A52" t="s">
        <v>88</v>
      </c>
      <c r="BS52">
        <v>26.986498000000001</v>
      </c>
      <c r="BT52">
        <v>27.279829500000002</v>
      </c>
      <c r="BU52">
        <v>27.573161000000002</v>
      </c>
      <c r="BV52">
        <v>27.866492500000003</v>
      </c>
      <c r="BW52">
        <v>28.159824</v>
      </c>
      <c r="BX52">
        <v>28.453155499999998</v>
      </c>
      <c r="BY52">
        <v>28.746487000000002</v>
      </c>
      <c r="BZ52">
        <v>29.039818500000003</v>
      </c>
      <c r="CA52">
        <v>29.33315</v>
      </c>
    </row>
    <row r="53" spans="1:79" x14ac:dyDescent="0.25">
      <c r="B53" t="s">
        <v>234</v>
      </c>
      <c r="C53" t="s">
        <v>8</v>
      </c>
      <c r="D53" s="12">
        <f>D7</f>
        <v>288</v>
      </c>
      <c r="E53" s="12">
        <f>E7</f>
        <v>218.7</v>
      </c>
      <c r="BS53">
        <v>27.336971999999999</v>
      </c>
      <c r="BT53">
        <v>27.634112999999999</v>
      </c>
      <c r="BU53">
        <v>27.931254000000003</v>
      </c>
      <c r="BV53">
        <v>28.228394999999999</v>
      </c>
      <c r="BW53">
        <v>28.525535999999999</v>
      </c>
      <c r="BX53">
        <v>28.822676999999995</v>
      </c>
      <c r="BY53">
        <v>29.119818000000002</v>
      </c>
      <c r="BZ53">
        <v>29.416958999999999</v>
      </c>
      <c r="CA53">
        <v>29.714099999999998</v>
      </c>
    </row>
    <row r="54" spans="1:79" x14ac:dyDescent="0.25">
      <c r="B54" t="s">
        <v>83</v>
      </c>
      <c r="C54" t="s">
        <v>84</v>
      </c>
      <c r="D54" s="12">
        <f>SQRT((D13-1)*D12*D53)</f>
        <v>340.22994577197341</v>
      </c>
      <c r="E54" s="12">
        <f>SQRT((E13-1)*E12*E53)</f>
        <v>296.48360561757875</v>
      </c>
      <c r="BS54">
        <v>27.687446000000001</v>
      </c>
      <c r="BT54">
        <v>27.988396500000004</v>
      </c>
      <c r="BU54">
        <v>28.289347000000003</v>
      </c>
      <c r="BV54">
        <v>28.590297500000002</v>
      </c>
      <c r="BW54">
        <v>28.891248000000001</v>
      </c>
      <c r="BX54">
        <v>29.1921985</v>
      </c>
      <c r="BY54">
        <v>29.493149000000003</v>
      </c>
      <c r="BZ54">
        <v>29.794099500000002</v>
      </c>
      <c r="CA54">
        <v>30.095050000000001</v>
      </c>
    </row>
    <row r="55" spans="1:79" x14ac:dyDescent="0.25">
      <c r="B55" t="s">
        <v>85</v>
      </c>
      <c r="C55" t="s">
        <v>84</v>
      </c>
      <c r="D55" s="12">
        <f>D9*D54</f>
        <v>0</v>
      </c>
      <c r="E55" s="12">
        <f>E54*E9</f>
        <v>237.18688449406301</v>
      </c>
      <c r="BS55">
        <v>28.03792</v>
      </c>
      <c r="BT55">
        <v>28.342680000000001</v>
      </c>
      <c r="BU55">
        <v>28.647440000000003</v>
      </c>
      <c r="BV55">
        <v>28.952200000000001</v>
      </c>
      <c r="BW55">
        <v>29.256959999999999</v>
      </c>
      <c r="BX55">
        <v>29.561719999999998</v>
      </c>
      <c r="BY55">
        <v>29.866480000000003</v>
      </c>
      <c r="BZ55">
        <v>30.171240000000001</v>
      </c>
      <c r="CA55">
        <v>30.475999999999999</v>
      </c>
    </row>
    <row r="56" spans="1:79" x14ac:dyDescent="0.25">
      <c r="B56" t="s">
        <v>80</v>
      </c>
      <c r="C56" t="s">
        <v>10</v>
      </c>
      <c r="D56" s="12">
        <f>D8</f>
        <v>101.325</v>
      </c>
      <c r="E56" s="12">
        <f>E8*(1+((E13-1)*E9^2)/2)^(E13/(E13-1))</f>
        <v>36.279292227495837</v>
      </c>
      <c r="BS56">
        <v>28.388393999999998</v>
      </c>
      <c r="BT56">
        <v>28.696963499999999</v>
      </c>
      <c r="BU56">
        <v>29.005533000000003</v>
      </c>
      <c r="BV56">
        <v>29.314102500000001</v>
      </c>
      <c r="BW56">
        <v>29.622671999999998</v>
      </c>
      <c r="BX56">
        <v>29.931241499999995</v>
      </c>
      <c r="BY56">
        <v>30.239811000000003</v>
      </c>
      <c r="BZ56">
        <v>30.5483805</v>
      </c>
      <c r="CA56">
        <v>30.856949999999998</v>
      </c>
    </row>
    <row r="57" spans="1:79" x14ac:dyDescent="0.25">
      <c r="B57" t="s">
        <v>82</v>
      </c>
      <c r="C57" t="s">
        <v>8</v>
      </c>
      <c r="D57" s="12">
        <f>D53</f>
        <v>288</v>
      </c>
      <c r="E57" s="12">
        <f>E53*(1+((E13-1)*E9^2)/2)</f>
        <v>246.6936</v>
      </c>
      <c r="BS57">
        <v>28.738867999999997</v>
      </c>
      <c r="BT57">
        <v>29.051247</v>
      </c>
      <c r="BU57">
        <v>29.363626</v>
      </c>
      <c r="BV57">
        <v>29.676005</v>
      </c>
      <c r="BW57">
        <v>29.988383999999996</v>
      </c>
      <c r="BX57">
        <v>30.300762999999996</v>
      </c>
      <c r="BY57">
        <v>30.613142</v>
      </c>
      <c r="BZ57">
        <v>30.925521</v>
      </c>
      <c r="CA57">
        <v>31.237899999999996</v>
      </c>
    </row>
    <row r="58" spans="1:79" x14ac:dyDescent="0.25">
      <c r="B58" t="s">
        <v>91</v>
      </c>
      <c r="C58" t="s">
        <v>10</v>
      </c>
      <c r="D58" s="12">
        <f>D56*D20</f>
        <v>98.285250000000005</v>
      </c>
      <c r="E58" s="12">
        <f>E56*E20</f>
        <v>36.097895766358356</v>
      </c>
      <c r="BS58">
        <v>29.089342000000002</v>
      </c>
      <c r="BT58">
        <v>29.405530500000005</v>
      </c>
      <c r="BU58">
        <v>29.721719000000007</v>
      </c>
      <c r="BV58">
        <v>30.037907500000003</v>
      </c>
      <c r="BW58">
        <v>30.354096000000002</v>
      </c>
      <c r="BX58">
        <v>30.670284500000001</v>
      </c>
      <c r="BY58">
        <v>30.986473000000007</v>
      </c>
      <c r="BZ58">
        <v>31.302661500000003</v>
      </c>
      <c r="CA58">
        <v>31.618850000000002</v>
      </c>
    </row>
    <row r="59" spans="1:79" x14ac:dyDescent="0.25">
      <c r="B59" t="s">
        <v>93</v>
      </c>
      <c r="C59" t="s">
        <v>8</v>
      </c>
      <c r="D59" s="12">
        <f>D57</f>
        <v>288</v>
      </c>
      <c r="E59" s="12">
        <f>E53</f>
        <v>218.7</v>
      </c>
      <c r="BS59">
        <v>29.439816</v>
      </c>
      <c r="BT59">
        <v>29.759814000000002</v>
      </c>
      <c r="BU59">
        <v>30.079812000000004</v>
      </c>
      <c r="BV59">
        <v>30.399810000000002</v>
      </c>
      <c r="BW59">
        <v>30.719808</v>
      </c>
      <c r="BX59">
        <v>31.039805999999999</v>
      </c>
      <c r="BY59">
        <v>31.359804000000004</v>
      </c>
      <c r="BZ59">
        <v>31.679802000000002</v>
      </c>
      <c r="CA59">
        <v>31.9998</v>
      </c>
    </row>
    <row r="60" spans="1:79" x14ac:dyDescent="0.25">
      <c r="BS60">
        <v>29.790289999999999</v>
      </c>
      <c r="BT60">
        <v>30.1140975</v>
      </c>
      <c r="BU60">
        <v>30.437905000000004</v>
      </c>
      <c r="BV60">
        <v>30.761712500000002</v>
      </c>
      <c r="BW60">
        <v>31.085519999999999</v>
      </c>
      <c r="BX60">
        <v>31.409327499999996</v>
      </c>
      <c r="BY60">
        <v>31.733135000000004</v>
      </c>
      <c r="BZ60">
        <v>32.056942499999998</v>
      </c>
      <c r="CA60">
        <v>32.380749999999999</v>
      </c>
    </row>
    <row r="61" spans="1:79" x14ac:dyDescent="0.25">
      <c r="A61" t="s">
        <v>94</v>
      </c>
      <c r="BS61">
        <v>30.140763999999997</v>
      </c>
      <c r="BT61">
        <v>30.468381000000001</v>
      </c>
      <c r="BU61">
        <v>30.795998000000001</v>
      </c>
      <c r="BV61">
        <v>31.123615000000001</v>
      </c>
      <c r="BW61">
        <v>31.451231999999997</v>
      </c>
      <c r="BX61">
        <v>31.778848999999997</v>
      </c>
      <c r="BY61">
        <v>32.106466000000005</v>
      </c>
      <c r="BZ61">
        <v>32.434083000000001</v>
      </c>
      <c r="CA61">
        <v>32.761699999999998</v>
      </c>
    </row>
    <row r="62" spans="1:79" x14ac:dyDescent="0.25">
      <c r="B62" t="s">
        <v>114</v>
      </c>
      <c r="C62" s="7" t="s">
        <v>107</v>
      </c>
      <c r="D62" s="12">
        <f>(D49*D12*(D64-D59))/1000000</f>
        <v>16.980121515732687</v>
      </c>
      <c r="E62" s="12">
        <f>(E49*E12*(E64-E59))/1000000</f>
        <v>8.2688266677855093</v>
      </c>
      <c r="BS62">
        <v>30.491237999999996</v>
      </c>
      <c r="BT62">
        <v>30.822664499999998</v>
      </c>
      <c r="BU62">
        <v>31.154091000000001</v>
      </c>
      <c r="BV62">
        <v>31.4855175</v>
      </c>
      <c r="BW62">
        <v>31.816943999999996</v>
      </c>
      <c r="BX62">
        <v>32.148370499999992</v>
      </c>
      <c r="BY62">
        <v>32.479796999999998</v>
      </c>
      <c r="BZ62">
        <v>32.811223499999997</v>
      </c>
      <c r="CA62">
        <v>33.142649999999996</v>
      </c>
    </row>
    <row r="63" spans="1:79" x14ac:dyDescent="0.25">
      <c r="B63" t="s">
        <v>97</v>
      </c>
      <c r="C63" t="s">
        <v>10</v>
      </c>
      <c r="D63" s="12">
        <f>D58*D23</f>
        <v>147.427875</v>
      </c>
      <c r="E63" s="12">
        <f>E58*E23</f>
        <v>56.742282355138705</v>
      </c>
      <c r="BS63">
        <v>30.841712000000001</v>
      </c>
      <c r="BT63">
        <v>31.176948000000003</v>
      </c>
      <c r="BU63">
        <v>31.512184000000005</v>
      </c>
      <c r="BV63">
        <v>31.847420000000003</v>
      </c>
      <c r="BW63">
        <v>32.182656000000001</v>
      </c>
      <c r="BX63">
        <v>32.517892000000003</v>
      </c>
      <c r="BY63">
        <v>32.853128000000005</v>
      </c>
      <c r="BZ63">
        <v>33.188364000000007</v>
      </c>
      <c r="CA63">
        <v>33.523600000000002</v>
      </c>
    </row>
    <row r="64" spans="1:79" x14ac:dyDescent="0.25">
      <c r="B64" t="s">
        <v>100</v>
      </c>
      <c r="C64" t="s">
        <v>8</v>
      </c>
      <c r="D64" s="12">
        <f>D59*(D63/D58)^((D13-1)/(D13*D32))</f>
        <v>328.03681531337918</v>
      </c>
      <c r="E64" s="12">
        <f>E59*(E63/E58)^((E13-1)/(E13*E32))</f>
        <v>252.8753752975372</v>
      </c>
      <c r="BS64">
        <v>31.192186</v>
      </c>
      <c r="BT64">
        <v>31.531231500000004</v>
      </c>
      <c r="BU64">
        <v>31.870277000000005</v>
      </c>
      <c r="BV64">
        <v>32.209322500000006</v>
      </c>
      <c r="BW64">
        <v>32.548368000000004</v>
      </c>
      <c r="BX64">
        <v>32.887413500000001</v>
      </c>
      <c r="BY64">
        <v>33.226459000000006</v>
      </c>
      <c r="BZ64">
        <v>33.565504500000003</v>
      </c>
      <c r="CA64">
        <v>33.90455</v>
      </c>
    </row>
    <row r="65" spans="1:79" x14ac:dyDescent="0.25">
      <c r="D65" s="12"/>
      <c r="E65" s="12"/>
      <c r="BS65">
        <v>31.542659999999998</v>
      </c>
      <c r="BT65">
        <v>31.885515000000002</v>
      </c>
      <c r="BU65">
        <v>32.228370000000005</v>
      </c>
      <c r="BV65">
        <v>32.571224999999998</v>
      </c>
      <c r="BW65">
        <v>32.914079999999998</v>
      </c>
      <c r="BX65">
        <v>33.256934999999999</v>
      </c>
      <c r="BY65">
        <v>33.599790000000006</v>
      </c>
      <c r="BZ65">
        <v>33.942644999999999</v>
      </c>
      <c r="CA65">
        <v>34.285499999999999</v>
      </c>
    </row>
    <row r="66" spans="1:79" x14ac:dyDescent="0.25">
      <c r="A66" t="s">
        <v>220</v>
      </c>
      <c r="D66" s="12"/>
      <c r="E66" s="12"/>
      <c r="BS66">
        <v>31.893134</v>
      </c>
      <c r="BT66">
        <v>32.239798499999999</v>
      </c>
      <c r="BU66">
        <v>32.586463000000002</v>
      </c>
      <c r="BV66">
        <v>32.933127499999998</v>
      </c>
      <c r="BW66">
        <v>33.279792</v>
      </c>
      <c r="BX66">
        <v>33.626456499999996</v>
      </c>
      <c r="BY66">
        <v>33.973120999999999</v>
      </c>
      <c r="BZ66">
        <v>34.319785500000002</v>
      </c>
      <c r="CA66">
        <v>34.666449999999998</v>
      </c>
    </row>
    <row r="67" spans="1:79" x14ac:dyDescent="0.25">
      <c r="B67" t="s">
        <v>235</v>
      </c>
      <c r="C67" t="s">
        <v>10</v>
      </c>
      <c r="D67" s="12">
        <f>D63*D27</f>
        <v>144.47931750000001</v>
      </c>
      <c r="E67" s="12">
        <f>E63*E27</f>
        <v>55.607436708035934</v>
      </c>
      <c r="BS67">
        <v>32.243607999999995</v>
      </c>
      <c r="BT67">
        <v>32.594082</v>
      </c>
      <c r="BU67">
        <v>32.944555999999999</v>
      </c>
      <c r="BV67">
        <v>33.295029999999997</v>
      </c>
      <c r="BW67">
        <v>33.645503999999995</v>
      </c>
      <c r="BX67">
        <v>33.995977999999994</v>
      </c>
      <c r="BY67">
        <v>34.346451999999999</v>
      </c>
      <c r="BZ67">
        <v>34.696925999999998</v>
      </c>
      <c r="CA67">
        <v>35.047399999999996</v>
      </c>
    </row>
    <row r="68" spans="1:79" x14ac:dyDescent="0.25">
      <c r="B68" t="s">
        <v>236</v>
      </c>
      <c r="C68" t="s">
        <v>8</v>
      </c>
      <c r="D68" s="12">
        <f>D64</f>
        <v>328.03681531337918</v>
      </c>
      <c r="E68" s="12">
        <f>E64</f>
        <v>252.8753752975372</v>
      </c>
      <c r="BS68">
        <v>32.594082</v>
      </c>
      <c r="BT68">
        <v>32.948365500000001</v>
      </c>
      <c r="BU68">
        <v>33.302649000000009</v>
      </c>
      <c r="BV68">
        <v>33.656932500000003</v>
      </c>
      <c r="BW68">
        <v>34.011216000000005</v>
      </c>
      <c r="BX68">
        <v>34.365499499999999</v>
      </c>
      <c r="BY68">
        <v>34.719783000000007</v>
      </c>
      <c r="BZ68">
        <v>35.074066500000001</v>
      </c>
      <c r="CA68">
        <v>35.428350000000002</v>
      </c>
    </row>
    <row r="69" spans="1:79" x14ac:dyDescent="0.25">
      <c r="B69" s="6" t="s">
        <v>237</v>
      </c>
      <c r="C69" s="6" t="s">
        <v>10</v>
      </c>
      <c r="D69" s="16">
        <f>D67/(1+(D13-1)/2)^((D13/(D13-1)))</f>
        <v>76.325792137057206</v>
      </c>
      <c r="E69" s="16">
        <f>E67/(1+(E13-1)/2)^((E13/(E13-1)))</f>
        <v>29.376396074490835</v>
      </c>
      <c r="G69" t="s">
        <v>238</v>
      </c>
      <c r="O69" s="24"/>
      <c r="BS69">
        <v>32.944555999999999</v>
      </c>
      <c r="BT69">
        <v>33.302649000000002</v>
      </c>
      <c r="BU69">
        <v>33.660742000000006</v>
      </c>
      <c r="BV69">
        <v>34.018835000000003</v>
      </c>
      <c r="BW69">
        <v>34.376927999999999</v>
      </c>
      <c r="BX69">
        <v>34.735020999999996</v>
      </c>
      <c r="BY69">
        <v>35.093114000000007</v>
      </c>
      <c r="BZ69">
        <v>35.451207000000004</v>
      </c>
      <c r="CA69">
        <v>35.8093</v>
      </c>
    </row>
    <row r="70" spans="1:79" x14ac:dyDescent="0.25">
      <c r="B70" s="6" t="s">
        <v>237</v>
      </c>
      <c r="C70" s="6" t="s">
        <v>10</v>
      </c>
      <c r="D70" s="16">
        <f>D8</f>
        <v>101.325</v>
      </c>
      <c r="E70" s="16">
        <f>E8</f>
        <v>23.8</v>
      </c>
      <c r="BS70">
        <v>33.295029999999997</v>
      </c>
      <c r="BT70">
        <v>33.656932500000003</v>
      </c>
      <c r="BU70">
        <v>34.018835000000003</v>
      </c>
      <c r="BV70">
        <v>34.380737500000002</v>
      </c>
      <c r="BW70">
        <v>34.742640000000002</v>
      </c>
      <c r="BX70">
        <v>35.104542499999994</v>
      </c>
      <c r="BY70">
        <v>35.466445</v>
      </c>
      <c r="BZ70">
        <v>35.8283475</v>
      </c>
      <c r="CA70">
        <v>36.190249999999999</v>
      </c>
    </row>
    <row r="71" spans="1:79" x14ac:dyDescent="0.25">
      <c r="B71" s="6" t="s">
        <v>239</v>
      </c>
      <c r="C71" s="6"/>
      <c r="D71" s="16">
        <f>IF(D69&lt;D8,SQRT(((((D67/D70)^((D13-1)/D13))-1)*2)/(D13-1)),1)</f>
        <v>0.73037192767980119</v>
      </c>
      <c r="E71" s="16">
        <f>IF(E69&lt;E8,SQRT(((((E67/E70)^((E13-1)/E13))-1)*2)/(E13-1)),1)</f>
        <v>1</v>
      </c>
      <c r="BS71">
        <v>33.645503999999995</v>
      </c>
      <c r="BT71">
        <v>34.011215999999997</v>
      </c>
      <c r="BU71">
        <v>34.376927999999999</v>
      </c>
      <c r="BV71">
        <v>34.742640000000002</v>
      </c>
      <c r="BW71">
        <v>35.108351999999996</v>
      </c>
      <c r="BX71">
        <v>35.474063999999998</v>
      </c>
      <c r="BY71">
        <v>35.839776000000001</v>
      </c>
      <c r="BZ71">
        <v>36.205488000000003</v>
      </c>
      <c r="CA71">
        <v>36.571199999999997</v>
      </c>
    </row>
    <row r="72" spans="1:79" x14ac:dyDescent="0.25">
      <c r="B72" s="6" t="s">
        <v>240</v>
      </c>
      <c r="C72" s="6" t="s">
        <v>8</v>
      </c>
      <c r="D72" s="16">
        <f>IF(D69&lt;D8,D68/(1+((D13-1)/2)*(D71^2)),D68)</f>
        <v>296.4129261459787</v>
      </c>
      <c r="E72" s="16">
        <f>IF(E69&lt;E8,E68/(1+((E13-1)/2)*(E71^2)),E68)</f>
        <v>252.8753752975372</v>
      </c>
      <c r="BS72">
        <v>33.995977999999994</v>
      </c>
      <c r="BT72">
        <v>34.365499499999999</v>
      </c>
      <c r="BU72">
        <v>34.735021000000003</v>
      </c>
      <c r="BV72">
        <v>35.104542500000001</v>
      </c>
      <c r="BW72">
        <v>35.474063999999998</v>
      </c>
      <c r="BX72">
        <v>35.843585499999996</v>
      </c>
      <c r="BY72">
        <v>36.213107000000001</v>
      </c>
      <c r="BZ72">
        <v>36.582628499999998</v>
      </c>
      <c r="CA72">
        <v>36.952149999999996</v>
      </c>
    </row>
    <row r="73" spans="1:79" x14ac:dyDescent="0.25">
      <c r="B73" t="s">
        <v>241</v>
      </c>
      <c r="C73" t="s">
        <v>84</v>
      </c>
      <c r="D73" s="12">
        <f>SQRT((D13-1)*D12*D72)</f>
        <v>345.16349782632795</v>
      </c>
      <c r="E73" s="12">
        <f>SQRT((E13-1)*E12*E72)</f>
        <v>318.80825796094069</v>
      </c>
      <c r="G73" t="s">
        <v>242</v>
      </c>
      <c r="L73">
        <f>D67/D8</f>
        <v>1.4258999999999999</v>
      </c>
      <c r="M73">
        <f>E67/E8</f>
        <v>2.3364469205057112</v>
      </c>
      <c r="BS73">
        <v>34.346451999999999</v>
      </c>
      <c r="BT73">
        <v>34.719783000000007</v>
      </c>
      <c r="BU73">
        <v>35.093114000000007</v>
      </c>
      <c r="BV73">
        <v>35.466445000000007</v>
      </c>
      <c r="BW73">
        <v>35.839776000000001</v>
      </c>
      <c r="BX73">
        <v>36.213107000000001</v>
      </c>
      <c r="BY73">
        <v>36.586438000000008</v>
      </c>
      <c r="BZ73">
        <v>36.959769000000001</v>
      </c>
      <c r="CA73">
        <v>37.333100000000002</v>
      </c>
    </row>
    <row r="74" spans="1:79" x14ac:dyDescent="0.25">
      <c r="B74" t="s">
        <v>243</v>
      </c>
      <c r="C74" t="s">
        <v>84</v>
      </c>
      <c r="D74" s="12">
        <f>D71*D73</f>
        <v>252.09772927211802</v>
      </c>
      <c r="E74" s="12">
        <f>E71*E73</f>
        <v>318.80825796094069</v>
      </c>
      <c r="BS74">
        <v>34.696925999999934</v>
      </c>
      <c r="BT74">
        <v>35.074066499999937</v>
      </c>
      <c r="BU74">
        <v>35.451206999999933</v>
      </c>
      <c r="BV74">
        <v>35.828347499999936</v>
      </c>
      <c r="BW74">
        <v>36.205487999999932</v>
      </c>
      <c r="BX74">
        <v>36.582628499999927</v>
      </c>
      <c r="BY74">
        <v>36.95976899999993</v>
      </c>
      <c r="BZ74">
        <v>37.336909499999926</v>
      </c>
      <c r="CA74">
        <v>37.714049999999929</v>
      </c>
    </row>
    <row r="75" spans="1:79" x14ac:dyDescent="0.25">
      <c r="B75" t="s">
        <v>244</v>
      </c>
      <c r="C75" t="s">
        <v>87</v>
      </c>
      <c r="D75" s="12">
        <v>0.28699999999999998</v>
      </c>
      <c r="E75" s="12">
        <v>0.28699999999999998</v>
      </c>
      <c r="BS75">
        <v>35.047399999999932</v>
      </c>
      <c r="BT75">
        <v>35.428349999999931</v>
      </c>
      <c r="BU75">
        <v>35.809299999999936</v>
      </c>
      <c r="BV75">
        <v>36.190249999999928</v>
      </c>
      <c r="BW75">
        <v>36.571199999999926</v>
      </c>
      <c r="BX75">
        <v>36.952149999999925</v>
      </c>
      <c r="BY75">
        <v>37.333099999999931</v>
      </c>
      <c r="BZ75">
        <v>37.714049999999929</v>
      </c>
      <c r="CA75">
        <v>38.094999999999928</v>
      </c>
    </row>
    <row r="76" spans="1:79" x14ac:dyDescent="0.25">
      <c r="B76" t="s">
        <v>178</v>
      </c>
      <c r="C76" t="s">
        <v>179</v>
      </c>
      <c r="D76" s="12">
        <f>D69/(D75*D72)</f>
        <v>0.89720623883650219</v>
      </c>
      <c r="E76" s="12">
        <f>E69/(E75*E72)</f>
        <v>0.40477164147327599</v>
      </c>
    </row>
    <row r="77" spans="1:79" x14ac:dyDescent="0.25">
      <c r="B77" t="s">
        <v>245</v>
      </c>
      <c r="C77" t="s">
        <v>95</v>
      </c>
      <c r="D77" s="17">
        <f>D49/(D76*D74)</f>
        <v>1.8660679665029207</v>
      </c>
      <c r="E77" s="17">
        <f>E49/(E76*E74)</f>
        <v>1.8659429563003866</v>
      </c>
      <c r="O77" s="12"/>
    </row>
    <row r="78" spans="1:79" x14ac:dyDescent="0.25">
      <c r="B78" s="21" t="s">
        <v>246</v>
      </c>
      <c r="C78" s="21"/>
      <c r="D78" s="22">
        <f>D74+((D73)^2*((1-D56/D69)/(D13*D74)))</f>
        <v>141.53527245444388</v>
      </c>
      <c r="E78" s="22">
        <f>E74+((E73)^2*((1-E56/E69)/(E13*E74)))</f>
        <v>265.29833183219228</v>
      </c>
    </row>
    <row r="79" spans="1:79" x14ac:dyDescent="0.25">
      <c r="D79" s="12"/>
      <c r="E79" s="12"/>
    </row>
    <row r="80" spans="1:79" x14ac:dyDescent="0.25">
      <c r="A80" t="s">
        <v>53</v>
      </c>
      <c r="D80" s="12"/>
      <c r="E80" s="12"/>
    </row>
    <row r="81" spans="1:8" x14ac:dyDescent="0.25">
      <c r="B81" t="s">
        <v>91</v>
      </c>
      <c r="C81" t="s">
        <v>10</v>
      </c>
      <c r="D81" s="12">
        <f>D58</f>
        <v>98.285250000000005</v>
      </c>
      <c r="E81" s="12">
        <f>E58</f>
        <v>36.097895766358356</v>
      </c>
    </row>
    <row r="82" spans="1:8" x14ac:dyDescent="0.25">
      <c r="B82" t="s">
        <v>93</v>
      </c>
      <c r="C82" t="s">
        <v>8</v>
      </c>
      <c r="D82" s="12">
        <f>D59</f>
        <v>288</v>
      </c>
      <c r="E82" s="12">
        <f>E59</f>
        <v>218.7</v>
      </c>
    </row>
    <row r="83" spans="1:8" x14ac:dyDescent="0.25">
      <c r="B83" t="s">
        <v>247</v>
      </c>
      <c r="C83" t="s">
        <v>10</v>
      </c>
      <c r="D83" s="12">
        <f>D81*D24</f>
        <v>343.99837500000001</v>
      </c>
      <c r="E83" s="12">
        <f>E81*E24</f>
        <v>152.63868321883467</v>
      </c>
    </row>
    <row r="84" spans="1:8" x14ac:dyDescent="0.25">
      <c r="B84" t="s">
        <v>248</v>
      </c>
      <c r="C84" t="s">
        <v>8</v>
      </c>
      <c r="D84" s="12">
        <f>D82*(D83/D81)^((D13-1)/(D13*D31))</f>
        <v>428.65954815317366</v>
      </c>
      <c r="E84" s="12">
        <f>E82*(E83/E81)^((D13-1)/(D13*E31))</f>
        <v>345.65030900031098</v>
      </c>
      <c r="H84">
        <f>0.0000183</f>
        <v>1.8300000000000001E-5</v>
      </c>
    </row>
    <row r="85" spans="1:8" x14ac:dyDescent="0.25">
      <c r="B85" t="s">
        <v>103</v>
      </c>
      <c r="C85" s="7" t="s">
        <v>107</v>
      </c>
      <c r="D85" s="12">
        <f>(D48*D12*(D84-D82))/1000000</f>
        <v>13.558068091342651</v>
      </c>
      <c r="E85" s="12">
        <f>(E48*E12*(E84-E82))/1000000</f>
        <v>6.5772973714410092</v>
      </c>
      <c r="H85">
        <f>H84*37601</f>
        <v>0.68809830000000005</v>
      </c>
    </row>
    <row r="86" spans="1:8" x14ac:dyDescent="0.25">
      <c r="D86" s="12"/>
      <c r="E86" s="12"/>
    </row>
    <row r="87" spans="1:8" x14ac:dyDescent="0.25">
      <c r="A87" t="s">
        <v>108</v>
      </c>
      <c r="D87" s="12"/>
      <c r="E87" s="12"/>
    </row>
    <row r="88" spans="1:8" x14ac:dyDescent="0.25">
      <c r="B88" t="s">
        <v>247</v>
      </c>
      <c r="C88" t="s">
        <v>10</v>
      </c>
      <c r="D88" s="12">
        <f>D83</f>
        <v>343.99837500000001</v>
      </c>
      <c r="E88" s="12">
        <f>E83</f>
        <v>152.63868321883467</v>
      </c>
    </row>
    <row r="89" spans="1:8" x14ac:dyDescent="0.25">
      <c r="B89" t="s">
        <v>249</v>
      </c>
      <c r="C89" t="s">
        <v>8</v>
      </c>
      <c r="D89" s="12">
        <f>D84</f>
        <v>428.65954815317366</v>
      </c>
      <c r="E89" s="12">
        <f>E84</f>
        <v>345.65030900031098</v>
      </c>
    </row>
    <row r="90" spans="1:8" x14ac:dyDescent="0.25">
      <c r="B90" t="s">
        <v>111</v>
      </c>
      <c r="C90" t="s">
        <v>10</v>
      </c>
      <c r="D90" s="12">
        <f>D88*D25</f>
        <v>1382.54585</v>
      </c>
      <c r="E90" s="12">
        <f>E88*E25</f>
        <v>699.56576218715657</v>
      </c>
    </row>
    <row r="91" spans="1:8" x14ac:dyDescent="0.25">
      <c r="B91" t="s">
        <v>113</v>
      </c>
      <c r="C91" t="s">
        <v>8</v>
      </c>
      <c r="D91" s="12">
        <f>D89*(D90/D88)^((D13-1)/(D13*D31))</f>
        <v>666.6496100698547</v>
      </c>
      <c r="E91" s="12">
        <f>E89*(E90/E88)^((E13-1)/(E13*E31))</f>
        <v>560.44146843782471</v>
      </c>
    </row>
    <row r="92" spans="1:8" x14ac:dyDescent="0.25">
      <c r="B92" t="s">
        <v>114</v>
      </c>
      <c r="C92" s="7" t="s">
        <v>107</v>
      </c>
      <c r="D92" s="12">
        <f>(D48*D12*(D91-D89))/1000000</f>
        <v>22.939683134880109</v>
      </c>
      <c r="E92" s="12">
        <f>(E48*E12*(E91-E89))/1000000</f>
        <v>11.128333121061289</v>
      </c>
    </row>
    <row r="93" spans="1:8" x14ac:dyDescent="0.25">
      <c r="D93" s="12"/>
      <c r="E93" s="12"/>
    </row>
    <row r="94" spans="1:8" x14ac:dyDescent="0.25">
      <c r="A94" t="s">
        <v>35</v>
      </c>
      <c r="D94" s="12"/>
      <c r="E94" s="12"/>
    </row>
    <row r="95" spans="1:8" x14ac:dyDescent="0.25">
      <c r="B95" t="s">
        <v>117</v>
      </c>
      <c r="C95" t="s">
        <v>30</v>
      </c>
      <c r="D95" s="12">
        <f>((D14*D105)-(D12*D91))/((D16*D33*1000)-(D14*D105))</f>
        <v>3.2036518959546408E-2</v>
      </c>
      <c r="E95" s="12">
        <f>((E14*E105)-(E12*E91))/((E16*E26*1000)-(E14*E105))</f>
        <v>3.097175812587738E-2</v>
      </c>
    </row>
    <row r="96" spans="1:8" ht="18" x14ac:dyDescent="0.35">
      <c r="B96" t="s">
        <v>250</v>
      </c>
      <c r="C96" t="s">
        <v>65</v>
      </c>
      <c r="D96" s="12">
        <f>D48</f>
        <v>95.925925925925924</v>
      </c>
      <c r="E96" s="12">
        <f>(D102/(SQRT(E105)/E107))-E97</f>
        <v>51.560975158204577</v>
      </c>
    </row>
    <row r="97" spans="1:8" ht="18" x14ac:dyDescent="0.35">
      <c r="B97" t="s">
        <v>251</v>
      </c>
      <c r="C97" t="s">
        <v>65</v>
      </c>
      <c r="D97" s="12">
        <f>D96*D95</f>
        <v>3.0731327446379701</v>
      </c>
      <c r="E97" s="12">
        <f>E152*J151</f>
        <v>0.68809830000000005</v>
      </c>
    </row>
    <row r="98" spans="1:8" x14ac:dyDescent="0.25">
      <c r="B98" t="s">
        <v>252</v>
      </c>
      <c r="C98" t="s">
        <v>65</v>
      </c>
      <c r="D98" s="12">
        <f>D96+D97</f>
        <v>98.999058670563898</v>
      </c>
      <c r="E98" s="12">
        <f>E96+E97</f>
        <v>52.249073458204577</v>
      </c>
    </row>
    <row r="99" spans="1:8" x14ac:dyDescent="0.25">
      <c r="B99" t="s">
        <v>120</v>
      </c>
      <c r="C99" t="s">
        <v>10</v>
      </c>
      <c r="D99" s="12">
        <f>D90*D26</f>
        <v>1341.0694744999998</v>
      </c>
      <c r="E99" s="12">
        <f>E90*E26</f>
        <v>678.57878932154188</v>
      </c>
    </row>
    <row r="100" spans="1:8" x14ac:dyDescent="0.25">
      <c r="D100" s="12"/>
      <c r="E100" s="12"/>
    </row>
    <row r="101" spans="1:8" x14ac:dyDescent="0.25">
      <c r="B101" t="s">
        <v>122</v>
      </c>
      <c r="C101" t="s">
        <v>107</v>
      </c>
      <c r="D101" s="12">
        <f>(D98*D105*D14-D96*D91*D12)/1000000</f>
        <v>128.89466116895142</v>
      </c>
      <c r="E101" s="12">
        <f>(E98*E105*E14-E96*E91*E12)/1000000</f>
        <v>64.665948028292632</v>
      </c>
    </row>
    <row r="102" spans="1:8" x14ac:dyDescent="0.25">
      <c r="B102" s="4" t="s">
        <v>123</v>
      </c>
      <c r="D102" s="18">
        <f>D98*(SQRT(D105))/D99</f>
        <v>2.934010211705552</v>
      </c>
      <c r="E102" s="18">
        <f>E98*(SQRT(E105))/E99</f>
        <v>2.934010211705552</v>
      </c>
    </row>
    <row r="103" spans="1:8" x14ac:dyDescent="0.25">
      <c r="B103" s="4" t="s">
        <v>124</v>
      </c>
      <c r="C103" t="s">
        <v>54</v>
      </c>
      <c r="D103" s="12"/>
      <c r="E103" s="13">
        <f>((E102-D102)/D102)*100</f>
        <v>0</v>
      </c>
    </row>
    <row r="104" spans="1:8" x14ac:dyDescent="0.25">
      <c r="A104" t="s">
        <v>125</v>
      </c>
      <c r="D104" s="12"/>
      <c r="E104" s="12"/>
    </row>
    <row r="105" spans="1:8" x14ac:dyDescent="0.25">
      <c r="B105" t="s">
        <v>121</v>
      </c>
      <c r="C105" t="s">
        <v>8</v>
      </c>
      <c r="D105" s="12">
        <f>D43</f>
        <v>1579.6601639657972</v>
      </c>
      <c r="E105" s="12">
        <f>E43</f>
        <v>1452</v>
      </c>
    </row>
    <row r="106" spans="1:8" x14ac:dyDescent="0.25">
      <c r="B106" t="s">
        <v>253</v>
      </c>
      <c r="C106" t="s">
        <v>8</v>
      </c>
      <c r="D106" s="19">
        <f>D105-((D92*1000000)/(D35*D98*D14))</f>
        <v>1390.1574138288715</v>
      </c>
      <c r="E106" s="19">
        <f>E105-((E92*1000000)/(E35*E98*E14))</f>
        <v>1277.8150245873176</v>
      </c>
    </row>
    <row r="107" spans="1:8" x14ac:dyDescent="0.25">
      <c r="B107" t="s">
        <v>120</v>
      </c>
      <c r="C107" t="s">
        <v>10</v>
      </c>
      <c r="D107" s="12">
        <f>D99</f>
        <v>1341.0694744999998</v>
      </c>
      <c r="E107" s="12">
        <f>E99</f>
        <v>678.57878932154188</v>
      </c>
    </row>
    <row r="108" spans="1:8" x14ac:dyDescent="0.25">
      <c r="B108" t="s">
        <v>254</v>
      </c>
      <c r="C108" t="s">
        <v>10</v>
      </c>
      <c r="D108" s="12">
        <f>D107*((D106/D105)^(D15/((D15-1)*D34)))</f>
        <v>724.82066479527066</v>
      </c>
      <c r="E108" s="12">
        <f>E107*((E106/E105)^(E15/((E15-1)*E34)))</f>
        <v>366.76228808549354</v>
      </c>
    </row>
    <row r="109" spans="1:8" x14ac:dyDescent="0.25">
      <c r="B109" t="s">
        <v>134</v>
      </c>
      <c r="C109" s="7" t="s">
        <v>107</v>
      </c>
      <c r="D109" s="12">
        <f>(D98*D14*(D105-D106))/1000000</f>
        <v>23.171397105939509</v>
      </c>
      <c r="E109" s="12">
        <f>(E98*E14*(E105-E106))/1000000</f>
        <v>11.240740526324533</v>
      </c>
    </row>
    <row r="110" spans="1:8" x14ac:dyDescent="0.25">
      <c r="B110" s="4" t="s">
        <v>255</v>
      </c>
      <c r="D110" s="18">
        <f>D98*SQRT(D106)/D108</f>
        <v>5.0925170129245867</v>
      </c>
      <c r="E110" s="18">
        <f>E98*SQRT(E106)/E108</f>
        <v>5.0924633852491699</v>
      </c>
      <c r="G110" t="s">
        <v>34</v>
      </c>
      <c r="H110">
        <v>4.5683350797249247</v>
      </c>
    </row>
    <row r="111" spans="1:8" x14ac:dyDescent="0.25">
      <c r="B111" s="4" t="s">
        <v>124</v>
      </c>
      <c r="C111" t="s">
        <v>54</v>
      </c>
      <c r="D111" s="12"/>
      <c r="E111" s="13">
        <f>((E110-D110)/D110)*100</f>
        <v>-1.0530681641461265E-3</v>
      </c>
    </row>
    <row r="112" spans="1:8" x14ac:dyDescent="0.25">
      <c r="A112" t="s">
        <v>256</v>
      </c>
      <c r="D112" s="12"/>
      <c r="E112" s="12"/>
    </row>
    <row r="113" spans="1:8" x14ac:dyDescent="0.25">
      <c r="B113" t="s">
        <v>253</v>
      </c>
      <c r="C113" t="s">
        <v>8</v>
      </c>
      <c r="D113" s="12">
        <f>D106</f>
        <v>1390.1574138288715</v>
      </c>
      <c r="E113" s="12">
        <f>E106</f>
        <v>1277.8150245873176</v>
      </c>
    </row>
    <row r="114" spans="1:8" x14ac:dyDescent="0.25">
      <c r="B114" t="s">
        <v>257</v>
      </c>
      <c r="C114" t="s">
        <v>8</v>
      </c>
      <c r="D114" s="12">
        <f>D113-(D85*1000000)/(D35*D98*D14)</f>
        <v>1278.1553789818213</v>
      </c>
      <c r="E114" s="12">
        <f>E113-(E85*1000000)/(E35*E98*E14)</f>
        <v>1174.8646214619757</v>
      </c>
    </row>
    <row r="115" spans="1:8" x14ac:dyDescent="0.25">
      <c r="B115" t="s">
        <v>254</v>
      </c>
      <c r="C115" t="s">
        <v>10</v>
      </c>
      <c r="D115" s="12">
        <f>D108</f>
        <v>724.82066479527066</v>
      </c>
      <c r="E115" s="12">
        <f>E108</f>
        <v>366.76228808549354</v>
      </c>
    </row>
    <row r="116" spans="1:8" x14ac:dyDescent="0.25">
      <c r="B116" t="s">
        <v>258</v>
      </c>
      <c r="C116" t="s">
        <v>10</v>
      </c>
      <c r="D116" s="12">
        <f>D115*((D114/D113)^(D15/((D15-1)*D34)))</f>
        <v>483.70941691960127</v>
      </c>
      <c r="E116" s="12">
        <f>E115*((E114/E113)^(E15/((E15-1)*E34)))</f>
        <v>244.75943318399851</v>
      </c>
    </row>
    <row r="117" spans="1:8" x14ac:dyDescent="0.25">
      <c r="B117" t="s">
        <v>134</v>
      </c>
      <c r="C117" s="7" t="s">
        <v>107</v>
      </c>
      <c r="D117" s="12">
        <f>(D98*D14*(D113-D114))/1000000</f>
        <v>13.695018274083496</v>
      </c>
      <c r="E117" s="12">
        <f>(E98*E14*(E113-E114))/1000000</f>
        <v>6.6437347186272824</v>
      </c>
    </row>
    <row r="118" spans="1:8" x14ac:dyDescent="0.25">
      <c r="B118" s="4" t="s">
        <v>259</v>
      </c>
      <c r="D118" s="18">
        <f>D98*SQRT(D114)/D116</f>
        <v>7.3170891898698951</v>
      </c>
      <c r="E118" s="18">
        <f>E98*SQRT(E114)/E116</f>
        <v>7.3170002138154633</v>
      </c>
      <c r="G118" t="s">
        <v>33</v>
      </c>
      <c r="H118">
        <v>4.2311707226328235</v>
      </c>
    </row>
    <row r="119" spans="1:8" x14ac:dyDescent="0.25">
      <c r="B119" s="4" t="s">
        <v>124</v>
      </c>
      <c r="C119" t="s">
        <v>54</v>
      </c>
      <c r="D119" s="12"/>
      <c r="E119" s="23">
        <f>((E118-D118)/D118)*100</f>
        <v>-1.2160034150600924E-3</v>
      </c>
    </row>
    <row r="120" spans="1:8" x14ac:dyDescent="0.25">
      <c r="A120" t="s">
        <v>58</v>
      </c>
      <c r="B120" s="4"/>
      <c r="D120" s="12"/>
      <c r="E120" s="12"/>
    </row>
    <row r="121" spans="1:8" x14ac:dyDescent="0.25">
      <c r="B121" t="s">
        <v>257</v>
      </c>
      <c r="C121" t="s">
        <v>8</v>
      </c>
      <c r="D121" s="12">
        <f>D114</f>
        <v>1278.1553789818213</v>
      </c>
      <c r="E121" s="12">
        <f>E114</f>
        <v>1174.8646214619757</v>
      </c>
    </row>
    <row r="122" spans="1:8" x14ac:dyDescent="0.25">
      <c r="B122" t="s">
        <v>139</v>
      </c>
      <c r="C122" t="s">
        <v>8</v>
      </c>
      <c r="D122" s="12">
        <f>D121-(D62*1000000)/(D35*D98*D14)</f>
        <v>1137.8840550070865</v>
      </c>
      <c r="E122" s="12">
        <f>E121-(E62*1000000)/(E35*E98*E14)</f>
        <v>1045.4377473604038</v>
      </c>
    </row>
    <row r="123" spans="1:8" x14ac:dyDescent="0.25">
      <c r="B123" t="s">
        <v>258</v>
      </c>
      <c r="C123" t="s">
        <v>10</v>
      </c>
      <c r="D123" s="12">
        <f>D116</f>
        <v>483.70941691960127</v>
      </c>
      <c r="E123" s="12">
        <f>E116</f>
        <v>244.75943318399851</v>
      </c>
    </row>
    <row r="124" spans="1:8" x14ac:dyDescent="0.25">
      <c r="B124" t="s">
        <v>141</v>
      </c>
      <c r="C124" t="s">
        <v>10</v>
      </c>
      <c r="D124" s="12">
        <f>D123*((D122/D121)^(D15/((D15-1)*D34)))</f>
        <v>276.3793134032108</v>
      </c>
      <c r="E124" s="12">
        <f>E123*((E122/E121)^(E15/((E15-1)*E34)))</f>
        <v>139.53339625969099</v>
      </c>
    </row>
    <row r="125" spans="1:8" x14ac:dyDescent="0.25">
      <c r="B125" t="s">
        <v>134</v>
      </c>
      <c r="C125" s="7" t="s">
        <v>107</v>
      </c>
      <c r="D125" s="12">
        <f>(D98*D14*(D121-D122))/1000000</f>
        <v>17.151637894679478</v>
      </c>
      <c r="E125" s="12">
        <f>(E98*E14*(E121-E122))/1000000</f>
        <v>8.3523501694803137</v>
      </c>
    </row>
    <row r="126" spans="1:8" x14ac:dyDescent="0.25">
      <c r="B126" s="4" t="s">
        <v>142</v>
      </c>
      <c r="D126" s="18">
        <f>D98*SQRT(D122)/D124</f>
        <v>12.082993376718205</v>
      </c>
      <c r="E126" s="18">
        <f>E98*SQRT(E122)/E124</f>
        <v>12.107361697483535</v>
      </c>
      <c r="G126" t="s">
        <v>32</v>
      </c>
      <c r="H126">
        <v>1.4362090290583955</v>
      </c>
    </row>
    <row r="127" spans="1:8" x14ac:dyDescent="0.25">
      <c r="B127" s="4" t="s">
        <v>124</v>
      </c>
      <c r="D127" s="12"/>
      <c r="E127" s="23">
        <f>((E126-D126)/D126)*100</f>
        <v>0.20167453548624176</v>
      </c>
    </row>
    <row r="128" spans="1:8" x14ac:dyDescent="0.25">
      <c r="A128" t="s">
        <v>39</v>
      </c>
      <c r="D128" s="12"/>
      <c r="E128" s="12"/>
    </row>
    <row r="129" spans="2:7" x14ac:dyDescent="0.25">
      <c r="B129" t="s">
        <v>164</v>
      </c>
      <c r="C129" t="s">
        <v>10</v>
      </c>
      <c r="D129" s="12">
        <f>D124</f>
        <v>276.3793134032108</v>
      </c>
      <c r="E129" s="12">
        <f>E124</f>
        <v>139.53339625969099</v>
      </c>
    </row>
    <row r="130" spans="2:7" x14ac:dyDescent="0.25">
      <c r="B130" t="s">
        <v>260</v>
      </c>
      <c r="C130" t="s">
        <v>10</v>
      </c>
      <c r="D130" s="12">
        <f>D129*D28</f>
        <v>270.85172713514658</v>
      </c>
      <c r="E130" s="12">
        <f>E129*E28</f>
        <v>136.74272833449717</v>
      </c>
    </row>
    <row r="131" spans="2:7" x14ac:dyDescent="0.25">
      <c r="B131" t="s">
        <v>166</v>
      </c>
      <c r="C131" t="s">
        <v>8</v>
      </c>
      <c r="D131" s="12">
        <f>D122</f>
        <v>1137.8840550070865</v>
      </c>
      <c r="E131" s="12">
        <f>E122</f>
        <v>1045.4377473604038</v>
      </c>
    </row>
    <row r="132" spans="2:7" x14ac:dyDescent="0.25">
      <c r="B132" t="s">
        <v>261</v>
      </c>
      <c r="C132" t="s">
        <v>8</v>
      </c>
      <c r="D132" s="12">
        <f>D131</f>
        <v>1137.8840550070865</v>
      </c>
      <c r="E132" s="12">
        <f>E131</f>
        <v>1045.4377473604038</v>
      </c>
    </row>
    <row r="133" spans="2:7" x14ac:dyDescent="0.25">
      <c r="B133" t="s">
        <v>170</v>
      </c>
      <c r="D133" s="12">
        <v>1</v>
      </c>
      <c r="E133" s="12">
        <v>1</v>
      </c>
    </row>
    <row r="134" spans="2:7" x14ac:dyDescent="0.25">
      <c r="B134" t="s">
        <v>262</v>
      </c>
      <c r="D134" s="12">
        <f>((D15+1)/2)^(D15/(D15-1))</f>
        <v>1.8324155765569177</v>
      </c>
      <c r="E134" s="12">
        <f>((E15+1)/2)^(E15/(E15-1))</f>
        <v>1.8324155765569177</v>
      </c>
    </row>
    <row r="135" spans="2:7" x14ac:dyDescent="0.25">
      <c r="B135" t="s">
        <v>263</v>
      </c>
      <c r="D135" s="12">
        <f>(D15+1)/2</f>
        <v>1.1499999999999999</v>
      </c>
      <c r="E135" s="12">
        <f>(E15+1)/2</f>
        <v>1.1499999999999999</v>
      </c>
    </row>
    <row r="136" spans="2:7" x14ac:dyDescent="0.25">
      <c r="B136" t="s">
        <v>264</v>
      </c>
      <c r="D136" s="12">
        <f>D129/D8</f>
        <v>2.727651748366255</v>
      </c>
      <c r="E136" s="12">
        <f>E129/E8</f>
        <v>5.8627477420038225</v>
      </c>
      <c r="G136" t="s">
        <v>265</v>
      </c>
    </row>
    <row r="137" spans="2:7" x14ac:dyDescent="0.25">
      <c r="B137" t="s">
        <v>173</v>
      </c>
      <c r="C137" t="s">
        <v>10</v>
      </c>
      <c r="D137" s="12">
        <f>D129/D134</f>
        <v>150.82785637662147</v>
      </c>
      <c r="E137" s="12">
        <f>E129/E134</f>
        <v>76.1472441321811</v>
      </c>
    </row>
    <row r="138" spans="2:7" x14ac:dyDescent="0.25">
      <c r="B138" t="s">
        <v>174</v>
      </c>
      <c r="C138" t="s">
        <v>8</v>
      </c>
      <c r="D138" s="12">
        <f>D131/D135</f>
        <v>989.46439565833623</v>
      </c>
      <c r="E138" s="12">
        <f>E131/E135</f>
        <v>909.07630205252508</v>
      </c>
    </row>
    <row r="139" spans="2:7" x14ac:dyDescent="0.25">
      <c r="B139" t="s">
        <v>175</v>
      </c>
      <c r="D139" s="12">
        <f>SQRT((D15-1)*D14*D138)</f>
        <v>605.49914196179532</v>
      </c>
      <c r="E139" s="12">
        <f>SQRT((E15-1)*E14*E138)</f>
        <v>580.38157226813144</v>
      </c>
    </row>
    <row r="140" spans="2:7" x14ac:dyDescent="0.25">
      <c r="B140" t="s">
        <v>266</v>
      </c>
      <c r="D140" s="12">
        <f>D139*D133</f>
        <v>605.49914196179532</v>
      </c>
      <c r="E140" s="12">
        <f>E139*E133</f>
        <v>580.38157226813144</v>
      </c>
    </row>
    <row r="141" spans="2:7" x14ac:dyDescent="0.25">
      <c r="B141" t="s">
        <v>244</v>
      </c>
      <c r="C141" t="s">
        <v>87</v>
      </c>
      <c r="D141" s="12">
        <v>0.28699999999999998</v>
      </c>
      <c r="E141" s="12">
        <v>0.28699999999999998</v>
      </c>
    </row>
    <row r="142" spans="2:7" x14ac:dyDescent="0.25">
      <c r="B142" t="s">
        <v>178</v>
      </c>
      <c r="C142" t="s">
        <v>179</v>
      </c>
      <c r="D142" s="12">
        <f>D137/(D141*D138)</f>
        <v>0.53112835885898124</v>
      </c>
      <c r="E142" s="12">
        <f>E137/(E141*E138)</f>
        <v>0.29185823844161402</v>
      </c>
    </row>
    <row r="143" spans="2:7" x14ac:dyDescent="0.25">
      <c r="B143" t="s">
        <v>180</v>
      </c>
      <c r="C143" t="s">
        <v>95</v>
      </c>
      <c r="D143" s="17">
        <f>D98/(D142*D140)</f>
        <v>0.30783503267805351</v>
      </c>
      <c r="E143" s="17">
        <f>E98/(E142*E140)</f>
        <v>0.30845585755027088</v>
      </c>
    </row>
    <row r="144" spans="2:7" x14ac:dyDescent="0.25">
      <c r="B144" t="s">
        <v>267</v>
      </c>
      <c r="D144" s="12">
        <f>D140+(((D137-D8)*D143)/D98)</f>
        <v>605.65306982348397</v>
      </c>
      <c r="E144" s="12">
        <f>E140+(((E137-E8)*E143)/E98)</f>
        <v>580.69060768274221</v>
      </c>
    </row>
    <row r="145" spans="1:14" x14ac:dyDescent="0.25">
      <c r="D145" s="12"/>
      <c r="E145" s="12"/>
    </row>
    <row r="146" spans="1:14" x14ac:dyDescent="0.25">
      <c r="D146" s="12"/>
      <c r="E146" s="12"/>
    </row>
    <row r="147" spans="1:14" x14ac:dyDescent="0.25">
      <c r="B147" t="s">
        <v>268</v>
      </c>
      <c r="C147" t="s">
        <v>208</v>
      </c>
      <c r="D147" s="12">
        <f>(D98*(D140-D55)+D143*(D137-D8))/1000</f>
        <v>59.959083793462227</v>
      </c>
      <c r="E147" s="12">
        <f>(E98*(E140-E55)+E143*(E137-E8))/1000</f>
        <v>17.947751266052069</v>
      </c>
    </row>
    <row r="148" spans="1:14" x14ac:dyDescent="0.25">
      <c r="B148" t="s">
        <v>269</v>
      </c>
      <c r="C148" t="s">
        <v>208</v>
      </c>
      <c r="D148" s="12">
        <f>(D49*(D74-D55)+D77*(D70-D8))/1000</f>
        <v>106.40391565870581</v>
      </c>
      <c r="E148" s="12">
        <f>(E49*(E74-E55)+E77*(E70-E8))/1000</f>
        <v>19.653590437318702</v>
      </c>
    </row>
    <row r="149" spans="1:14" x14ac:dyDescent="0.25">
      <c r="A149" t="s">
        <v>182</v>
      </c>
      <c r="D149" s="12"/>
      <c r="E149" s="12"/>
      <c r="F149" t="s">
        <v>270</v>
      </c>
    </row>
    <row r="150" spans="1:14" x14ac:dyDescent="0.25">
      <c r="B150" t="s">
        <v>183</v>
      </c>
      <c r="C150" t="s">
        <v>208</v>
      </c>
      <c r="D150" s="11">
        <f>D147+D148</f>
        <v>166.36299945216803</v>
      </c>
      <c r="E150" s="11">
        <f>E147+E148</f>
        <v>37.601341703370771</v>
      </c>
      <c r="F150" t="s">
        <v>271</v>
      </c>
      <c r="G150">
        <v>37.600999999999999</v>
      </c>
      <c r="H150" t="s">
        <v>208</v>
      </c>
      <c r="J150">
        <v>166363</v>
      </c>
      <c r="K150" t="s">
        <v>208</v>
      </c>
    </row>
    <row r="151" spans="1:14" x14ac:dyDescent="0.25">
      <c r="B151" t="s">
        <v>185</v>
      </c>
      <c r="C151" t="s">
        <v>186</v>
      </c>
      <c r="D151" s="12">
        <f>(D98*D140+(D137-D8)*D143)/D98+(D49*D74+(D70-D8)*D77)/D49</f>
        <v>857.75079909560202</v>
      </c>
      <c r="E151" s="12">
        <f>(E98*E140+(E137-E8)*E143)/E98+(E49*E74+(E70-E8)*E77)/E49</f>
        <v>899.49886564368285</v>
      </c>
      <c r="F151" t="s">
        <v>211</v>
      </c>
      <c r="G151">
        <v>166.363</v>
      </c>
      <c r="H151" t="s">
        <v>208</v>
      </c>
      <c r="J151">
        <v>37601</v>
      </c>
      <c r="K151" t="s">
        <v>184</v>
      </c>
    </row>
    <row r="152" spans="1:14" x14ac:dyDescent="0.25">
      <c r="B152" t="s">
        <v>187</v>
      </c>
      <c r="C152" t="s">
        <v>188</v>
      </c>
      <c r="D152" s="20">
        <f>D97/(D150*1000)</f>
        <v>1.8472453338529424E-5</v>
      </c>
      <c r="E152" s="20">
        <v>1.8300000000000001E-5</v>
      </c>
    </row>
    <row r="153" spans="1:14" x14ac:dyDescent="0.25">
      <c r="H153" s="3"/>
    </row>
    <row r="154" spans="1:14" x14ac:dyDescent="0.25">
      <c r="D154" s="15">
        <f>(D150*1000-J150)/J150</f>
        <v>-3.2929916230024361E-9</v>
      </c>
      <c r="E154" s="15">
        <f>(E150*1000-J151)/J151</f>
        <v>9.087613913825625E-6</v>
      </c>
    </row>
    <row r="155" spans="1:14" x14ac:dyDescent="0.25">
      <c r="D155" s="15"/>
      <c r="E155" s="15"/>
    </row>
    <row r="156" spans="1:14" x14ac:dyDescent="0.25">
      <c r="E156">
        <f>D150</f>
        <v>166.36299945216803</v>
      </c>
      <c r="F156" s="1">
        <v>1590</v>
      </c>
      <c r="G156" s="1">
        <v>1585</v>
      </c>
      <c r="H156" s="1">
        <v>1582</v>
      </c>
      <c r="I156" s="1">
        <v>1580</v>
      </c>
      <c r="J156" s="1">
        <v>1579.9</v>
      </c>
      <c r="K156" s="1">
        <v>1579.8</v>
      </c>
      <c r="L156" s="1">
        <v>1579.7</v>
      </c>
      <c r="M156" s="1">
        <v>1579.66</v>
      </c>
      <c r="N156" s="1">
        <v>1579.6</v>
      </c>
    </row>
    <row r="157" spans="1:14" x14ac:dyDescent="0.25">
      <c r="E157">
        <v>1.4</v>
      </c>
      <c r="F157">
        <f t="dataTable" ref="F157:N159" dt2D="1" dtr="1" r1="D43" r2="D23"/>
        <v>155.49060005647624</v>
      </c>
      <c r="G157">
        <v>155.34884809396721</v>
      </c>
      <c r="H157">
        <v>155.26367819297769</v>
      </c>
      <c r="I157">
        <v>155.20684854846354</v>
      </c>
      <c r="J157">
        <v>155.20400601970607</v>
      </c>
      <c r="K157">
        <v>155.20116339117129</v>
      </c>
      <c r="L157">
        <v>155.19832066284457</v>
      </c>
      <c r="M157">
        <v>155.19718354356885</v>
      </c>
      <c r="N157">
        <v>155.1954778347112</v>
      </c>
    </row>
    <row r="158" spans="1:14" x14ac:dyDescent="0.25">
      <c r="E158">
        <v>1.5</v>
      </c>
      <c r="F158">
        <v>166.6581424440127</v>
      </c>
      <c r="G158">
        <v>166.51555626274626</v>
      </c>
      <c r="H158">
        <v>166.42988322570241</v>
      </c>
      <c r="I158">
        <v>166.37271706353934</v>
      </c>
      <c r="J158">
        <v>166.36985768584412</v>
      </c>
      <c r="K158">
        <v>166.36699820617221</v>
      </c>
      <c r="L158">
        <v>166.36413862450843</v>
      </c>
      <c r="M158">
        <v>166.36299476328179</v>
      </c>
      <c r="N158">
        <v>166.36127894083754</v>
      </c>
    </row>
    <row r="159" spans="1:14" x14ac:dyDescent="0.25">
      <c r="E159">
        <v>1.6</v>
      </c>
      <c r="F159">
        <v>176.27838412906195</v>
      </c>
      <c r="G159">
        <v>176.13495816669692</v>
      </c>
      <c r="H159">
        <v>176.04877858509218</v>
      </c>
      <c r="I159">
        <v>175.99127360292891</v>
      </c>
      <c r="J159">
        <v>175.98839726054393</v>
      </c>
      <c r="K159">
        <v>175.98552081392222</v>
      </c>
      <c r="L159">
        <v>175.98264426304809</v>
      </c>
      <c r="M159">
        <v>175.98149361350423</v>
      </c>
      <c r="N159">
        <v>175.97976760790576</v>
      </c>
    </row>
  </sheetData>
  <mergeCells count="2">
    <mergeCell ref="A4:B4"/>
    <mergeCell ref="F6:F8"/>
  </mergeCells>
  <conditionalFormatting sqref="F157:N159">
    <cfRule type="cellIs" dxfId="22" priority="32" operator="between">
      <formula>166.3</formula>
      <formula>166.4</formula>
    </cfRule>
  </conditionalFormatting>
  <conditionalFormatting sqref="H38">
    <cfRule type="cellIs" dxfId="21" priority="31" operator="equal">
      <formula>37.601</formula>
    </cfRule>
  </conditionalFormatting>
  <conditionalFormatting sqref="O44:T75 AR44:AT75">
    <cfRule type="cellIs" dxfId="20" priority="6" operator="between">
      <formula>37.5</formula>
      <formula>37.7</formula>
    </cfRule>
  </conditionalFormatting>
  <conditionalFormatting sqref="O77:T108 AR77:AT108">
    <cfRule type="cellIs" dxfId="19" priority="7" operator="between">
      <formula>22</formula>
      <formula>28</formula>
    </cfRule>
  </conditionalFormatting>
  <conditionalFormatting sqref="O4:AE4 O5:AF32 AX5:AX40 O33:T42 AR41:AZ41 AX42:AZ43 AX76:AZ78 AU79:AZ95">
    <cfRule type="cellIs" dxfId="18" priority="28" operator="between">
      <formula>37.6</formula>
      <formula>37.7</formula>
    </cfRule>
  </conditionalFormatting>
  <conditionalFormatting sqref="AG4 AH5:AW32 AR33:AW40">
    <cfRule type="cellIs" dxfId="17" priority="24" operator="between">
      <formula>1.86</formula>
      <formula>1.87</formula>
    </cfRule>
    <cfRule type="cellIs" dxfId="16" priority="27" operator="between">
      <formula>37.5</formula>
      <formula>37.7</formula>
    </cfRule>
  </conditionalFormatting>
  <conditionalFormatting sqref="AG5:AG32">
    <cfRule type="cellIs" dxfId="15" priority="21" operator="between">
      <formula>37.5</formula>
      <formula>37.7</formula>
    </cfRule>
  </conditionalFormatting>
  <conditionalFormatting sqref="AH4:AW4">
    <cfRule type="cellIs" dxfId="14" priority="13" operator="between">
      <formula>37.5</formula>
      <formula>37.7</formula>
    </cfRule>
  </conditionalFormatting>
  <conditionalFormatting sqref="AR78:AT108">
    <cfRule type="cellIs" dxfId="13" priority="9" operator="between">
      <formula>0.3</formula>
      <formula>0.31</formula>
    </cfRule>
    <cfRule type="cellIs" dxfId="12" priority="10" operator="between">
      <formula>37.5</formula>
      <formula>37.7</formula>
    </cfRule>
  </conditionalFormatting>
  <conditionalFormatting sqref="AR45:AU75 AR43:AW43 AU44 AR76:AW76 AU77:AW78">
    <cfRule type="cellIs" dxfId="11" priority="16" operator="between">
      <formula>0.3</formula>
      <formula>0.31</formula>
    </cfRule>
  </conditionalFormatting>
  <conditionalFormatting sqref="AR42:AW42">
    <cfRule type="cellIs" dxfId="10" priority="14" operator="between">
      <formula>37.5</formula>
      <formula>37.7</formula>
    </cfRule>
  </conditionalFormatting>
  <conditionalFormatting sqref="AR43:AW43 AU44 AR45:AU75 AR76:AW76 AU77:AW78">
    <cfRule type="cellIs" dxfId="9" priority="17" operator="between">
      <formula>37.5</formula>
      <formula>37.7</formula>
    </cfRule>
  </conditionalFormatting>
  <conditionalFormatting sqref="AV44:CA75">
    <cfRule type="cellIs" dxfId="8" priority="1" operator="between">
      <formula>22</formula>
      <formula>28</formula>
    </cfRule>
  </conditionalFormatting>
  <conditionalFormatting sqref="AY4 AZ5:BO40">
    <cfRule type="cellIs" dxfId="7" priority="25" operator="between">
      <formula>0.305</formula>
      <formula>0.31</formula>
    </cfRule>
    <cfRule type="cellIs" dxfId="6" priority="26" operator="between">
      <formula>37.5</formula>
      <formula>37.7</formula>
    </cfRule>
  </conditionalFormatting>
  <conditionalFormatting sqref="AY5:AY40">
    <cfRule type="cellIs" dxfId="5" priority="20" operator="between">
      <formula>37.5</formula>
      <formula>37.7</formula>
    </cfRule>
  </conditionalFormatting>
  <conditionalFormatting sqref="AZ4:BO4">
    <cfRule type="cellIs" dxfId="4" priority="12" operator="between">
      <formula>37.5</formula>
      <formula>37.7</formula>
    </cfRule>
  </conditionalFormatting>
  <conditionalFormatting sqref="BM45:BM75">
    <cfRule type="cellIs" dxfId="3" priority="5" operator="between">
      <formula>36</formula>
      <formula>38</formula>
    </cfRule>
  </conditionalFormatting>
  <conditionalFormatting sqref="BN45:BN75">
    <cfRule type="cellIs" dxfId="2" priority="2" operator="between">
      <formula>37.5</formula>
      <formula>37.7</formula>
    </cfRule>
  </conditionalFormatting>
  <conditionalFormatting sqref="BO45:CA75">
    <cfRule type="cellIs" dxfId="1" priority="3" operator="between">
      <formula>0.3</formula>
      <formula>0.31</formula>
    </cfRule>
    <cfRule type="cellIs" dxfId="0" priority="4" operator="between">
      <formula>37.5</formula>
      <formula>37.7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740C39E2553B4E95866569EE74F386" ma:contentTypeVersion="4" ma:contentTypeDescription="Create a new document." ma:contentTypeScope="" ma:versionID="8e0abba1a8a1c8d4527dd54c82fa37f9">
  <xsd:schema xmlns:xsd="http://www.w3.org/2001/XMLSchema" xmlns:xs="http://www.w3.org/2001/XMLSchema" xmlns:p="http://schemas.microsoft.com/office/2006/metadata/properties" xmlns:ns2="4de4a01d-40c2-44f8-acd4-1a2958d848f0" targetNamespace="http://schemas.microsoft.com/office/2006/metadata/properties" ma:root="true" ma:fieldsID="62b2112c1f81da56f9658db92f558802" ns2:_="">
    <xsd:import namespace="4de4a01d-40c2-44f8-acd4-1a2958d848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e4a01d-40c2-44f8-acd4-1a2958d848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0BAB24-3F9D-485F-BBC5-BB64F4D4D46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7C1237-9824-417A-8C32-0C569AD156E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74ADDE6-A65D-42E8-A7FD-20AE4C9059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e4a01d-40c2-44f8-acd4-1a2958d848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TF Main Iterations</vt:lpstr>
      <vt:lpstr>TF Main CalcsR1</vt:lpstr>
      <vt:lpstr>TJ Main Calcs</vt:lpstr>
      <vt:lpstr>GasTurb14</vt:lpstr>
      <vt:lpstr>Sheet1 (2)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Treviño</dc:creator>
  <cp:keywords/>
  <dc:description/>
  <cp:lastModifiedBy>Leonardo Valadez Ortiz</cp:lastModifiedBy>
  <cp:revision/>
  <dcterms:created xsi:type="dcterms:W3CDTF">2020-11-10T18:48:09Z</dcterms:created>
  <dcterms:modified xsi:type="dcterms:W3CDTF">2025-05-09T22:20:06Z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0x010100A4740C39E2553B4E95866569EE74F386</vt:lpwstr>
  </property>
</Properties>
</file>